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3.xml" ContentType="application/vnd.openxmlformats-officedocument.spreadsheetml.pivotTable+xml"/>
  <Override PartName="/xl/tables/table4.xml" ContentType="application/vnd.openxmlformats-officedocument.spreadsheetml.table+xml"/>
  <Override PartName="/xl/pivotTables/pivotTable4.xml" ContentType="application/vnd.openxmlformats-officedocument.spreadsheetml.pivotTable+xml"/>
  <Override PartName="/xl/tables/table5.xml" ContentType="application/vnd.openxmlformats-officedocument.spreadsheetml.table+xml"/>
  <Override PartName="/xl/pivotTables/pivotTable5.xml" ContentType="application/vnd.openxmlformats-officedocument.spreadsheetml.pivot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pivotTables/pivotTable6.xml" ContentType="application/vnd.openxmlformats-officedocument.spreadsheetml.pivotTable+xml"/>
  <Override PartName="/xl/tables/table8.xml" ContentType="application/vnd.openxmlformats-officedocument.spreadsheetml.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tables/table9.xml" ContentType="application/vnd.openxmlformats-officedocument.spreadsheetml.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pivotTables/pivotTable16.xml" ContentType="application/vnd.openxmlformats-officedocument.spreadsheetml.pivot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kasutaja\Desktop\Finants\2020\Eelarve 2020\EA esitamiseks\"/>
    </mc:Choice>
  </mc:AlternateContent>
  <bookViews>
    <workbookView xWindow="0" yWindow="0" windowWidth="28800" windowHeight="12435" tabRatio="691"/>
  </bookViews>
  <sheets>
    <sheet name="EA_aruanne" sheetId="8" r:id="rId1"/>
    <sheet name="Raamatukogud" sheetId="59" state="hidden" r:id="rId2"/>
    <sheet name="Sheet37" sheetId="58" state="hidden" r:id="rId3"/>
    <sheet name="Klubid" sheetId="61" state="hidden" r:id="rId4"/>
    <sheet name="Sheet39" sheetId="60" state="hidden" r:id="rId5"/>
    <sheet name="Alusharidus 1" sheetId="65" state="hidden" r:id="rId6"/>
    <sheet name="Sheet47" sheetId="68" state="hidden" r:id="rId7"/>
    <sheet name="Põhiharidus 1" sheetId="67" state="hidden" r:id="rId8"/>
    <sheet name="Eakad 2" sheetId="80" state="hidden" r:id="rId9"/>
    <sheet name="Eakate" sheetId="79" state="hidden" r:id="rId10"/>
    <sheet name="Piikonnad2" sheetId="86" state="hidden" r:id="rId11"/>
    <sheet name="Piikonnad" sheetId="85" state="hidden" r:id="rId12"/>
    <sheet name="Investeeringud lisa 1" sheetId="92" r:id="rId13"/>
    <sheet name="Investeeringud" sheetId="91" state="hidden" r:id="rId14"/>
    <sheet name="Sheet2" sheetId="24" state="hidden" r:id="rId15"/>
    <sheet name="Sheet1" sheetId="4" state="hidden" r:id="rId16"/>
    <sheet name="Tegevusalade analüüs" sheetId="25" state="hidden" r:id="rId17"/>
    <sheet name="Alusharidus 2" sheetId="66" state="hidden" r:id="rId18"/>
    <sheet name="Abivahend tegevualade eelarve" sheetId="93" state="hidden" r:id="rId19"/>
    <sheet name="Toetused,majandamis,muud lisa 2" sheetId="97" r:id="rId20"/>
    <sheet name="Majandamiskulud, toetused" sheetId="96" state="hidden" r:id="rId21"/>
    <sheet name="Koond_kulud" sheetId="1" state="hidden" r:id="rId22"/>
    <sheet name="Lisavajadused" sheetId="5" state="hidden" r:id="rId23"/>
    <sheet name="Sheet3" sheetId="12" state="hidden" r:id="rId24"/>
    <sheet name="Personalikulud lisa 3" sheetId="101" r:id="rId25"/>
    <sheet name="Töötasude lisa" sheetId="100" state="hidden" r:id="rId26"/>
    <sheet name="Töötasud" sheetId="6" state="hidden" r:id="rId27"/>
    <sheet name="Sheet8" sheetId="17" state="hidden" r:id="rId28"/>
    <sheet name="Tulud" sheetId="9" state="hidden" r:id="rId29"/>
    <sheet name="Kontode täpsustused" sheetId="3" state="hidden" r:id="rId30"/>
    <sheet name="Tegevusalade nimetused" sheetId="2" state="hidden" r:id="rId31"/>
  </sheets>
  <definedNames>
    <definedName name="_xlnm.Print_Area" localSheetId="30">Table4[[#All],[Tegevusala kood]:[Tegevusala nimetus]]</definedName>
  </definedNames>
  <calcPr calcId="152511"/>
  <pivotCaches>
    <pivotCache cacheId="1" r:id="rId32"/>
    <pivotCache cacheId="2" r:id="rId33"/>
    <pivotCache cacheId="3" r:id="rId34"/>
    <pivotCache cacheId="4" r:id="rId35"/>
    <pivotCache cacheId="5" r:id="rId36"/>
    <pivotCache cacheId="6" r:id="rId37"/>
    <pivotCache cacheId="7" r:id="rId38"/>
    <pivotCache cacheId="14" r:id="rId39"/>
    <pivotCache cacheId="32" r:id="rId40"/>
    <pivotCache cacheId="10" r:id="rId41"/>
    <pivotCache cacheId="29" r:id="rId42"/>
    <pivotCache cacheId="40" r:id="rId4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9" i="100" l="1"/>
  <c r="A410" i="100"/>
  <c r="A411" i="100"/>
  <c r="C409" i="100"/>
  <c r="E409" i="100" s="1"/>
  <c r="C410" i="100"/>
  <c r="C411" i="100"/>
  <c r="D409" i="100"/>
  <c r="D410" i="100"/>
  <c r="D411" i="100"/>
  <c r="E410" i="100"/>
  <c r="E411" i="100"/>
  <c r="K409" i="100"/>
  <c r="K410" i="100"/>
  <c r="K411" i="100"/>
  <c r="K408" i="100"/>
  <c r="N408" i="100" s="1"/>
  <c r="O408" i="100" s="1"/>
  <c r="E408" i="100"/>
  <c r="D408" i="100"/>
  <c r="C408" i="100"/>
  <c r="A408" i="100"/>
  <c r="O407" i="100"/>
  <c r="K407" i="100"/>
  <c r="N407" i="100" s="1"/>
  <c r="D407" i="100"/>
  <c r="C407" i="100"/>
  <c r="E407" i="100" s="1"/>
  <c r="A407" i="100"/>
  <c r="N406" i="100"/>
  <c r="O406" i="100" s="1"/>
  <c r="K406" i="100"/>
  <c r="D406" i="100"/>
  <c r="C406" i="100"/>
  <c r="E406" i="100" s="1"/>
  <c r="A406" i="100"/>
  <c r="K405" i="100"/>
  <c r="N405" i="100" s="1"/>
  <c r="O405" i="100" s="1"/>
  <c r="E405" i="100"/>
  <c r="D405" i="100"/>
  <c r="C405" i="100"/>
  <c r="A405" i="100"/>
  <c r="O404" i="100"/>
  <c r="N404" i="100"/>
  <c r="K404" i="100"/>
  <c r="E404" i="100"/>
  <c r="D404" i="100"/>
  <c r="C404" i="100"/>
  <c r="A404" i="100"/>
  <c r="O403" i="100"/>
  <c r="N403" i="100"/>
  <c r="K403" i="100"/>
  <c r="D403" i="100"/>
  <c r="C403" i="100"/>
  <c r="E403" i="100" s="1"/>
  <c r="A403" i="100"/>
  <c r="N402" i="100"/>
  <c r="O402" i="100" s="1"/>
  <c r="K402" i="100"/>
  <c r="D402" i="100"/>
  <c r="C402" i="100"/>
  <c r="E402" i="100" s="1"/>
  <c r="A402" i="100"/>
  <c r="K401" i="100"/>
  <c r="N401" i="100" s="1"/>
  <c r="O401" i="100" s="1"/>
  <c r="E401" i="100"/>
  <c r="D401" i="100"/>
  <c r="C401" i="100"/>
  <c r="A401" i="100"/>
  <c r="O400" i="100"/>
  <c r="N400" i="100"/>
  <c r="K400" i="100"/>
  <c r="E400" i="100"/>
  <c r="D400" i="100"/>
  <c r="C400" i="100"/>
  <c r="A400" i="100"/>
  <c r="O399" i="100"/>
  <c r="N399" i="100"/>
  <c r="K399" i="100"/>
  <c r="D399" i="100"/>
  <c r="C399" i="100"/>
  <c r="E399" i="100" s="1"/>
  <c r="A399" i="100"/>
  <c r="N398" i="100"/>
  <c r="O398" i="100" s="1"/>
  <c r="K398" i="100"/>
  <c r="D398" i="100"/>
  <c r="C398" i="100"/>
  <c r="E398" i="100" s="1"/>
  <c r="A398" i="100"/>
  <c r="K397" i="100"/>
  <c r="N397" i="100" s="1"/>
  <c r="O397" i="100" s="1"/>
  <c r="E397" i="100"/>
  <c r="D397" i="100"/>
  <c r="C397" i="100"/>
  <c r="A397" i="100"/>
  <c r="K396" i="100"/>
  <c r="N396" i="100" s="1"/>
  <c r="O396" i="100" s="1"/>
  <c r="E396" i="100"/>
  <c r="D396" i="100"/>
  <c r="C396" i="100"/>
  <c r="A396" i="100"/>
  <c r="O395" i="100"/>
  <c r="N395" i="100"/>
  <c r="K395" i="100"/>
  <c r="D395" i="100"/>
  <c r="C395" i="100"/>
  <c r="E395" i="100" s="1"/>
  <c r="A395" i="100"/>
  <c r="N394" i="100"/>
  <c r="O394" i="100" s="1"/>
  <c r="K394" i="100"/>
  <c r="D394" i="100"/>
  <c r="C394" i="100"/>
  <c r="E394" i="100" s="1"/>
  <c r="A394" i="100"/>
  <c r="K393" i="100"/>
  <c r="N393" i="100" s="1"/>
  <c r="O393" i="100" s="1"/>
  <c r="E393" i="100"/>
  <c r="D393" i="100"/>
  <c r="C393" i="100"/>
  <c r="A393" i="100"/>
  <c r="K392" i="100"/>
  <c r="N392" i="100" s="1"/>
  <c r="O392" i="100" s="1"/>
  <c r="E392" i="100"/>
  <c r="D392" i="100"/>
  <c r="C392" i="100"/>
  <c r="A392" i="100"/>
  <c r="O391" i="100"/>
  <c r="N391" i="100"/>
  <c r="K391" i="100"/>
  <c r="D391" i="100"/>
  <c r="C391" i="100"/>
  <c r="E391" i="100" s="1"/>
  <c r="A391" i="100"/>
  <c r="N390" i="100"/>
  <c r="O390" i="100" s="1"/>
  <c r="M390" i="100"/>
  <c r="K390" i="100"/>
  <c r="D390" i="100"/>
  <c r="C390" i="100"/>
  <c r="E390" i="100" s="1"/>
  <c r="A390" i="100"/>
  <c r="N389" i="100"/>
  <c r="O389" i="100" s="1"/>
  <c r="K389" i="100"/>
  <c r="D389" i="100"/>
  <c r="C389" i="100"/>
  <c r="E389" i="100" s="1"/>
  <c r="A389" i="100"/>
  <c r="K388" i="100"/>
  <c r="N388" i="100" s="1"/>
  <c r="O388" i="100" s="1"/>
  <c r="E388" i="100"/>
  <c r="D388" i="100"/>
  <c r="C388" i="100"/>
  <c r="A388" i="100"/>
  <c r="O387" i="100"/>
  <c r="N387" i="100"/>
  <c r="K387" i="100"/>
  <c r="E387" i="100"/>
  <c r="D387" i="100"/>
  <c r="C387" i="100"/>
  <c r="A387" i="100"/>
  <c r="O386" i="100"/>
  <c r="N386" i="100"/>
  <c r="K386" i="100"/>
  <c r="D386" i="100"/>
  <c r="C386" i="100"/>
  <c r="E386" i="100" s="1"/>
  <c r="A386" i="100"/>
  <c r="N385" i="100"/>
  <c r="O385" i="100" s="1"/>
  <c r="K385" i="100"/>
  <c r="D385" i="100"/>
  <c r="C385" i="100"/>
  <c r="E385" i="100" s="1"/>
  <c r="A385" i="100"/>
  <c r="K384" i="100"/>
  <c r="N384" i="100" s="1"/>
  <c r="O384" i="100" s="1"/>
  <c r="E384" i="100"/>
  <c r="D384" i="100"/>
  <c r="C384" i="100"/>
  <c r="A384" i="100"/>
  <c r="O383" i="100"/>
  <c r="N383" i="100"/>
  <c r="K383" i="100"/>
  <c r="E383" i="100"/>
  <c r="D383" i="100"/>
  <c r="C383" i="100"/>
  <c r="A383" i="100"/>
  <c r="O382" i="100"/>
  <c r="N382" i="100"/>
  <c r="K382" i="100"/>
  <c r="D382" i="100"/>
  <c r="C382" i="100"/>
  <c r="E382" i="100" s="1"/>
  <c r="A382" i="100"/>
  <c r="N381" i="100"/>
  <c r="O381" i="100" s="1"/>
  <c r="K381" i="100"/>
  <c r="D381" i="100"/>
  <c r="C381" i="100"/>
  <c r="E381" i="100" s="1"/>
  <c r="A381" i="100"/>
  <c r="K380" i="100"/>
  <c r="N380" i="100" s="1"/>
  <c r="O380" i="100" s="1"/>
  <c r="E380" i="100"/>
  <c r="D380" i="100"/>
  <c r="C380" i="100"/>
  <c r="A380" i="100"/>
  <c r="K379" i="100"/>
  <c r="N379" i="100" s="1"/>
  <c r="O379" i="100" s="1"/>
  <c r="E379" i="100"/>
  <c r="D379" i="100"/>
  <c r="C379" i="100"/>
  <c r="A379" i="100"/>
  <c r="O378" i="100"/>
  <c r="N378" i="100"/>
  <c r="K378" i="100"/>
  <c r="D378" i="100"/>
  <c r="C378" i="100"/>
  <c r="E378" i="100" s="1"/>
  <c r="A378" i="100"/>
  <c r="N377" i="100"/>
  <c r="O377" i="100" s="1"/>
  <c r="K377" i="100"/>
  <c r="D377" i="100"/>
  <c r="C377" i="100"/>
  <c r="E377" i="100" s="1"/>
  <c r="A377" i="100"/>
  <c r="K376" i="100"/>
  <c r="N376" i="100" s="1"/>
  <c r="O376" i="100" s="1"/>
  <c r="E376" i="100"/>
  <c r="D376" i="100"/>
  <c r="C376" i="100"/>
  <c r="A376" i="100"/>
  <c r="K375" i="100"/>
  <c r="N375" i="100" s="1"/>
  <c r="O375" i="100" s="1"/>
  <c r="E375" i="100"/>
  <c r="D375" i="100"/>
  <c r="C375" i="100"/>
  <c r="A375" i="100"/>
  <c r="O374" i="100"/>
  <c r="N374" i="100"/>
  <c r="K374" i="100"/>
  <c r="D374" i="100"/>
  <c r="C374" i="100"/>
  <c r="E374" i="100" s="1"/>
  <c r="A374" i="100"/>
  <c r="N373" i="100"/>
  <c r="O373" i="100" s="1"/>
  <c r="K373" i="100"/>
  <c r="D373" i="100"/>
  <c r="C373" i="100"/>
  <c r="E373" i="100" s="1"/>
  <c r="A373" i="100"/>
  <c r="K372" i="100"/>
  <c r="N372" i="100" s="1"/>
  <c r="O372" i="100" s="1"/>
  <c r="E372" i="100"/>
  <c r="D372" i="100"/>
  <c r="C372" i="100"/>
  <c r="A372" i="100"/>
  <c r="K371" i="100"/>
  <c r="N371" i="100" s="1"/>
  <c r="O371" i="100" s="1"/>
  <c r="E371" i="100"/>
  <c r="D371" i="100"/>
  <c r="C371" i="100"/>
  <c r="A371" i="100"/>
  <c r="O370" i="100"/>
  <c r="N370" i="100"/>
  <c r="K370" i="100"/>
  <c r="D370" i="100"/>
  <c r="C370" i="100"/>
  <c r="E370" i="100" s="1"/>
  <c r="A370" i="100"/>
  <c r="N369" i="100"/>
  <c r="O369" i="100" s="1"/>
  <c r="K369" i="100"/>
  <c r="D369" i="100"/>
  <c r="C369" i="100"/>
  <c r="E369" i="100" s="1"/>
  <c r="A369" i="100"/>
  <c r="K368" i="100"/>
  <c r="N368" i="100" s="1"/>
  <c r="O368" i="100" s="1"/>
  <c r="E368" i="100"/>
  <c r="D368" i="100"/>
  <c r="C368" i="100"/>
  <c r="A368" i="100"/>
  <c r="K367" i="100"/>
  <c r="N367" i="100" s="1"/>
  <c r="O367" i="100" s="1"/>
  <c r="E367" i="100"/>
  <c r="D367" i="100"/>
  <c r="C367" i="100"/>
  <c r="A367" i="100"/>
  <c r="O366" i="100"/>
  <c r="N366" i="100"/>
  <c r="K366" i="100"/>
  <c r="D366" i="100"/>
  <c r="C366" i="100"/>
  <c r="E366" i="100" s="1"/>
  <c r="A366" i="100"/>
  <c r="N365" i="100"/>
  <c r="O365" i="100" s="1"/>
  <c r="K365" i="100"/>
  <c r="D365" i="100"/>
  <c r="C365" i="100"/>
  <c r="E365" i="100" s="1"/>
  <c r="A365" i="100"/>
  <c r="K364" i="100"/>
  <c r="N364" i="100" s="1"/>
  <c r="O364" i="100" s="1"/>
  <c r="E364" i="100"/>
  <c r="D364" i="100"/>
  <c r="C364" i="100"/>
  <c r="A364" i="100"/>
  <c r="K363" i="100"/>
  <c r="N363" i="100" s="1"/>
  <c r="O363" i="100" s="1"/>
  <c r="E363" i="100"/>
  <c r="D363" i="100"/>
  <c r="C363" i="100"/>
  <c r="A363" i="100"/>
  <c r="O362" i="100"/>
  <c r="N362" i="100"/>
  <c r="K362" i="100"/>
  <c r="D362" i="100"/>
  <c r="C362" i="100"/>
  <c r="E362" i="100" s="1"/>
  <c r="A362" i="100"/>
  <c r="N361" i="100"/>
  <c r="O361" i="100" s="1"/>
  <c r="K361" i="100"/>
  <c r="D361" i="100"/>
  <c r="C361" i="100"/>
  <c r="E361" i="100" s="1"/>
  <c r="A361" i="100"/>
  <c r="K360" i="100"/>
  <c r="N360" i="100" s="1"/>
  <c r="O360" i="100" s="1"/>
  <c r="E360" i="100"/>
  <c r="D360" i="100"/>
  <c r="C360" i="100"/>
  <c r="A360" i="100"/>
  <c r="K359" i="100"/>
  <c r="N359" i="100" s="1"/>
  <c r="O359" i="100" s="1"/>
  <c r="E359" i="100"/>
  <c r="D359" i="100"/>
  <c r="C359" i="100"/>
  <c r="A359" i="100"/>
  <c r="O358" i="100"/>
  <c r="N358" i="100"/>
  <c r="K358" i="100"/>
  <c r="D358" i="100"/>
  <c r="C358" i="100"/>
  <c r="E358" i="100" s="1"/>
  <c r="A358" i="100"/>
  <c r="N357" i="100"/>
  <c r="O357" i="100" s="1"/>
  <c r="K357" i="100"/>
  <c r="D357" i="100"/>
  <c r="C357" i="100"/>
  <c r="E357" i="100" s="1"/>
  <c r="A357" i="100"/>
  <c r="K356" i="100"/>
  <c r="N356" i="100" s="1"/>
  <c r="O356" i="100" s="1"/>
  <c r="E356" i="100"/>
  <c r="D356" i="100"/>
  <c r="C356" i="100"/>
  <c r="A356" i="100"/>
  <c r="K355" i="100"/>
  <c r="N355" i="100" s="1"/>
  <c r="O355" i="100" s="1"/>
  <c r="E355" i="100"/>
  <c r="D355" i="100"/>
  <c r="C355" i="100"/>
  <c r="A355" i="100"/>
  <c r="O354" i="100"/>
  <c r="N354" i="100"/>
  <c r="K354" i="100"/>
  <c r="D354" i="100"/>
  <c r="C354" i="100"/>
  <c r="E354" i="100" s="1"/>
  <c r="A354" i="100"/>
  <c r="N353" i="100"/>
  <c r="O353" i="100" s="1"/>
  <c r="K353" i="100"/>
  <c r="D353" i="100"/>
  <c r="C353" i="100"/>
  <c r="E353" i="100" s="1"/>
  <c r="A353" i="100"/>
  <c r="K352" i="100"/>
  <c r="N352" i="100" s="1"/>
  <c r="O352" i="100" s="1"/>
  <c r="E352" i="100"/>
  <c r="D352" i="100"/>
  <c r="C352" i="100"/>
  <c r="A352" i="100"/>
  <c r="K351" i="100"/>
  <c r="N351" i="100" s="1"/>
  <c r="O351" i="100" s="1"/>
  <c r="E351" i="100"/>
  <c r="D351" i="100"/>
  <c r="C351" i="100"/>
  <c r="A351" i="100"/>
  <c r="O350" i="100"/>
  <c r="N350" i="100"/>
  <c r="K350" i="100"/>
  <c r="D350" i="100"/>
  <c r="C350" i="100"/>
  <c r="E350" i="100" s="1"/>
  <c r="A350" i="100"/>
  <c r="N349" i="100"/>
  <c r="O349" i="100" s="1"/>
  <c r="K349" i="100"/>
  <c r="D349" i="100"/>
  <c r="C349" i="100"/>
  <c r="E349" i="100" s="1"/>
  <c r="A349" i="100"/>
  <c r="K348" i="100"/>
  <c r="N348" i="100" s="1"/>
  <c r="O348" i="100" s="1"/>
  <c r="E348" i="100"/>
  <c r="D348" i="100"/>
  <c r="C348" i="100"/>
  <c r="A348" i="100"/>
  <c r="K347" i="100"/>
  <c r="N347" i="100" s="1"/>
  <c r="O347" i="100" s="1"/>
  <c r="E347" i="100"/>
  <c r="D347" i="100"/>
  <c r="C347" i="100"/>
  <c r="A347" i="100"/>
  <c r="O346" i="100"/>
  <c r="N346" i="100"/>
  <c r="K346" i="100"/>
  <c r="D346" i="100"/>
  <c r="C346" i="100"/>
  <c r="E346" i="100" s="1"/>
  <c r="A346" i="100"/>
  <c r="N345" i="100"/>
  <c r="O345" i="100" s="1"/>
  <c r="K345" i="100"/>
  <c r="D345" i="100"/>
  <c r="C345" i="100"/>
  <c r="E345" i="100" s="1"/>
  <c r="A345" i="100"/>
  <c r="K344" i="100"/>
  <c r="N344" i="100" s="1"/>
  <c r="O344" i="100" s="1"/>
  <c r="E344" i="100"/>
  <c r="D344" i="100"/>
  <c r="C344" i="100"/>
  <c r="A344" i="100"/>
  <c r="K343" i="100"/>
  <c r="N343" i="100" s="1"/>
  <c r="O343" i="100" s="1"/>
  <c r="E343" i="100"/>
  <c r="D343" i="100"/>
  <c r="C343" i="100"/>
  <c r="A343" i="100"/>
  <c r="O342" i="100"/>
  <c r="N342" i="100"/>
  <c r="K342" i="100"/>
  <c r="D342" i="100"/>
  <c r="C342" i="100"/>
  <c r="E342" i="100" s="1"/>
  <c r="A342" i="100"/>
  <c r="N341" i="100"/>
  <c r="O341" i="100" s="1"/>
  <c r="K341" i="100"/>
  <c r="D341" i="100"/>
  <c r="C341" i="100"/>
  <c r="E341" i="100" s="1"/>
  <c r="A341" i="100"/>
  <c r="K340" i="100"/>
  <c r="N340" i="100" s="1"/>
  <c r="O340" i="100" s="1"/>
  <c r="E340" i="100"/>
  <c r="D340" i="100"/>
  <c r="C340" i="100"/>
  <c r="A340" i="100"/>
  <c r="K339" i="100"/>
  <c r="N339" i="100" s="1"/>
  <c r="O339" i="100" s="1"/>
  <c r="E339" i="100"/>
  <c r="D339" i="100"/>
  <c r="C339" i="100"/>
  <c r="A339" i="100"/>
  <c r="O338" i="100"/>
  <c r="N338" i="100"/>
  <c r="K338" i="100"/>
  <c r="D338" i="100"/>
  <c r="C338" i="100"/>
  <c r="E338" i="100" s="1"/>
  <c r="A338" i="100"/>
  <c r="N337" i="100"/>
  <c r="O337" i="100" s="1"/>
  <c r="K337" i="100"/>
  <c r="D337" i="100"/>
  <c r="C337" i="100"/>
  <c r="E337" i="100" s="1"/>
  <c r="A337" i="100"/>
  <c r="K336" i="100"/>
  <c r="N336" i="100" s="1"/>
  <c r="O336" i="100" s="1"/>
  <c r="E336" i="100"/>
  <c r="D336" i="100"/>
  <c r="C336" i="100"/>
  <c r="A336" i="100"/>
  <c r="K335" i="100"/>
  <c r="N335" i="100" s="1"/>
  <c r="O335" i="100" s="1"/>
  <c r="E335" i="100"/>
  <c r="D335" i="100"/>
  <c r="C335" i="100"/>
  <c r="A335" i="100"/>
  <c r="O334" i="100"/>
  <c r="N334" i="100"/>
  <c r="K334" i="100"/>
  <c r="D334" i="100"/>
  <c r="C334" i="100"/>
  <c r="E334" i="100" s="1"/>
  <c r="A334" i="100"/>
  <c r="N333" i="100"/>
  <c r="O333" i="100" s="1"/>
  <c r="K333" i="100"/>
  <c r="D333" i="100"/>
  <c r="C333" i="100"/>
  <c r="E333" i="100" s="1"/>
  <c r="A333" i="100"/>
  <c r="K332" i="100"/>
  <c r="N332" i="100" s="1"/>
  <c r="O332" i="100" s="1"/>
  <c r="E332" i="100"/>
  <c r="D332" i="100"/>
  <c r="C332" i="100"/>
  <c r="A332" i="100"/>
  <c r="K331" i="100"/>
  <c r="N331" i="100" s="1"/>
  <c r="O331" i="100" s="1"/>
  <c r="E331" i="100"/>
  <c r="D331" i="100"/>
  <c r="C331" i="100"/>
  <c r="A331" i="100"/>
  <c r="O330" i="100"/>
  <c r="N330" i="100"/>
  <c r="K330" i="100"/>
  <c r="D330" i="100"/>
  <c r="C330" i="100"/>
  <c r="E330" i="100" s="1"/>
  <c r="A330" i="100"/>
  <c r="N329" i="100"/>
  <c r="O329" i="100" s="1"/>
  <c r="K329" i="100"/>
  <c r="D329" i="100"/>
  <c r="C329" i="100"/>
  <c r="E329" i="100" s="1"/>
  <c r="A329" i="100"/>
  <c r="K328" i="100"/>
  <c r="N328" i="100" s="1"/>
  <c r="O328" i="100" s="1"/>
  <c r="E328" i="100"/>
  <c r="D328" i="100"/>
  <c r="C328" i="100"/>
  <c r="A328" i="100"/>
  <c r="O327" i="100"/>
  <c r="K327" i="100"/>
  <c r="N327" i="100" s="1"/>
  <c r="E327" i="100"/>
  <c r="D327" i="100"/>
  <c r="C327" i="100"/>
  <c r="A327" i="100"/>
  <c r="O326" i="100"/>
  <c r="N326" i="100"/>
  <c r="K326" i="100"/>
  <c r="D326" i="100"/>
  <c r="C326" i="100"/>
  <c r="E326" i="100" s="1"/>
  <c r="A326" i="100"/>
  <c r="N325" i="100"/>
  <c r="O325" i="100" s="1"/>
  <c r="K325" i="100"/>
  <c r="D325" i="100"/>
  <c r="C325" i="100"/>
  <c r="E325" i="100" s="1"/>
  <c r="A325" i="100"/>
  <c r="K324" i="100"/>
  <c r="N324" i="100" s="1"/>
  <c r="O324" i="100" s="1"/>
  <c r="E324" i="100"/>
  <c r="D324" i="100"/>
  <c r="C324" i="100"/>
  <c r="A324" i="100"/>
  <c r="O323" i="100"/>
  <c r="K323" i="100"/>
  <c r="N323" i="100" s="1"/>
  <c r="E323" i="100"/>
  <c r="D323" i="100"/>
  <c r="C323" i="100"/>
  <c r="A323" i="100"/>
  <c r="O322" i="100"/>
  <c r="N322" i="100"/>
  <c r="K322" i="100"/>
  <c r="D322" i="100"/>
  <c r="C322" i="100"/>
  <c r="E322" i="100" s="1"/>
  <c r="A322" i="100"/>
  <c r="N321" i="100"/>
  <c r="O321" i="100" s="1"/>
  <c r="K321" i="100"/>
  <c r="D321" i="100"/>
  <c r="C321" i="100"/>
  <c r="E321" i="100" s="1"/>
  <c r="A321" i="100"/>
  <c r="K320" i="100"/>
  <c r="N320" i="100" s="1"/>
  <c r="O320" i="100" s="1"/>
  <c r="E320" i="100"/>
  <c r="D320" i="100"/>
  <c r="C320" i="100"/>
  <c r="A320" i="100"/>
  <c r="O319" i="100"/>
  <c r="K319" i="100"/>
  <c r="N319" i="100" s="1"/>
  <c r="E319" i="100"/>
  <c r="D319" i="100"/>
  <c r="C319" i="100"/>
  <c r="A319" i="100"/>
  <c r="O318" i="100"/>
  <c r="N318" i="100"/>
  <c r="K318" i="100"/>
  <c r="D318" i="100"/>
  <c r="C318" i="100"/>
  <c r="E318" i="100" s="1"/>
  <c r="A318" i="100"/>
  <c r="N317" i="100"/>
  <c r="O317" i="100" s="1"/>
  <c r="K317" i="100"/>
  <c r="D317" i="100"/>
  <c r="C317" i="100"/>
  <c r="E317" i="100" s="1"/>
  <c r="A317" i="100"/>
  <c r="K316" i="100"/>
  <c r="N316" i="100" s="1"/>
  <c r="O316" i="100" s="1"/>
  <c r="E316" i="100"/>
  <c r="D316" i="100"/>
  <c r="C316" i="100"/>
  <c r="A316" i="100"/>
  <c r="O315" i="100"/>
  <c r="K315" i="100"/>
  <c r="N315" i="100" s="1"/>
  <c r="E315" i="100"/>
  <c r="D315" i="100"/>
  <c r="C315" i="100"/>
  <c r="A315" i="100"/>
  <c r="O314" i="100"/>
  <c r="N314" i="100"/>
  <c r="K314" i="100"/>
  <c r="D314" i="100"/>
  <c r="C314" i="100"/>
  <c r="E314" i="100" s="1"/>
  <c r="A314" i="100"/>
  <c r="N313" i="100"/>
  <c r="O313" i="100" s="1"/>
  <c r="K313" i="100"/>
  <c r="D313" i="100"/>
  <c r="C313" i="100"/>
  <c r="E313" i="100" s="1"/>
  <c r="A313" i="100"/>
  <c r="K312" i="100"/>
  <c r="N312" i="100" s="1"/>
  <c r="O312" i="100" s="1"/>
  <c r="E312" i="100"/>
  <c r="D312" i="100"/>
  <c r="C312" i="100"/>
  <c r="A312" i="100"/>
  <c r="O311" i="100"/>
  <c r="K311" i="100"/>
  <c r="N311" i="100" s="1"/>
  <c r="E311" i="100"/>
  <c r="D311" i="100"/>
  <c r="C311" i="100"/>
  <c r="A311" i="100"/>
  <c r="O310" i="100"/>
  <c r="N310" i="100"/>
  <c r="K310" i="100"/>
  <c r="D310" i="100"/>
  <c r="C310" i="100"/>
  <c r="E310" i="100" s="1"/>
  <c r="A310" i="100"/>
  <c r="K309" i="100"/>
  <c r="N309" i="100" s="1"/>
  <c r="O309" i="100" s="1"/>
  <c r="D309" i="100"/>
  <c r="C309" i="100"/>
  <c r="E309" i="100" s="1"/>
  <c r="A309" i="100"/>
  <c r="K308" i="100"/>
  <c r="N308" i="100" s="1"/>
  <c r="O308" i="100" s="1"/>
  <c r="E308" i="100"/>
  <c r="D308" i="100"/>
  <c r="C308" i="100"/>
  <c r="A308" i="100"/>
  <c r="O307" i="100"/>
  <c r="K307" i="100"/>
  <c r="N307" i="100" s="1"/>
  <c r="E307" i="100"/>
  <c r="D307" i="100"/>
  <c r="C307" i="100"/>
  <c r="A307" i="100"/>
  <c r="N306" i="100"/>
  <c r="O306" i="100" s="1"/>
  <c r="K306" i="100"/>
  <c r="D306" i="100"/>
  <c r="C306" i="100"/>
  <c r="E306" i="100" s="1"/>
  <c r="A306" i="100"/>
  <c r="N305" i="100"/>
  <c r="O305" i="100" s="1"/>
  <c r="K305" i="100"/>
  <c r="D305" i="100"/>
  <c r="C305" i="100"/>
  <c r="E305" i="100" s="1"/>
  <c r="A305" i="100"/>
  <c r="K304" i="100"/>
  <c r="N304" i="100" s="1"/>
  <c r="O304" i="100" s="1"/>
  <c r="E304" i="100"/>
  <c r="D304" i="100"/>
  <c r="C304" i="100"/>
  <c r="A304" i="100"/>
  <c r="O303" i="100"/>
  <c r="K303" i="100"/>
  <c r="N303" i="100" s="1"/>
  <c r="E303" i="100"/>
  <c r="D303" i="100"/>
  <c r="C303" i="100"/>
  <c r="A303" i="100"/>
  <c r="O302" i="100"/>
  <c r="N302" i="100"/>
  <c r="K302" i="100"/>
  <c r="D302" i="100"/>
  <c r="C302" i="100"/>
  <c r="E302" i="100" s="1"/>
  <c r="A302" i="100"/>
  <c r="K301" i="100"/>
  <c r="N301" i="100" s="1"/>
  <c r="O301" i="100" s="1"/>
  <c r="D301" i="100"/>
  <c r="C301" i="100"/>
  <c r="E301" i="100" s="1"/>
  <c r="A301" i="100"/>
  <c r="K300" i="100"/>
  <c r="N300" i="100" s="1"/>
  <c r="O300" i="100" s="1"/>
  <c r="E300" i="100"/>
  <c r="D300" i="100"/>
  <c r="C300" i="100"/>
  <c r="A300" i="100"/>
  <c r="O299" i="100"/>
  <c r="K299" i="100"/>
  <c r="N299" i="100" s="1"/>
  <c r="E299" i="100"/>
  <c r="D299" i="100"/>
  <c r="C299" i="100"/>
  <c r="A299" i="100"/>
  <c r="N298" i="100"/>
  <c r="O298" i="100" s="1"/>
  <c r="K298" i="100"/>
  <c r="D298" i="100"/>
  <c r="C298" i="100"/>
  <c r="E298" i="100" s="1"/>
  <c r="A298" i="100"/>
  <c r="N297" i="100"/>
  <c r="O297" i="100" s="1"/>
  <c r="K297" i="100"/>
  <c r="D297" i="100"/>
  <c r="C297" i="100"/>
  <c r="E297" i="100" s="1"/>
  <c r="A297" i="100"/>
  <c r="K296" i="100"/>
  <c r="N296" i="100" s="1"/>
  <c r="O296" i="100" s="1"/>
  <c r="D296" i="100"/>
  <c r="C296" i="100"/>
  <c r="E296" i="100" s="1"/>
  <c r="A296" i="100"/>
  <c r="N295" i="100"/>
  <c r="O295" i="100" s="1"/>
  <c r="K295" i="100"/>
  <c r="D295" i="100"/>
  <c r="C295" i="100"/>
  <c r="E295" i="100" s="1"/>
  <c r="A295" i="100"/>
  <c r="K294" i="100"/>
  <c r="N294" i="100" s="1"/>
  <c r="O294" i="100" s="1"/>
  <c r="D294" i="100"/>
  <c r="C294" i="100"/>
  <c r="E294" i="100" s="1"/>
  <c r="A294" i="100"/>
  <c r="K293" i="100"/>
  <c r="N293" i="100" s="1"/>
  <c r="O293" i="100" s="1"/>
  <c r="E293" i="100"/>
  <c r="D293" i="100"/>
  <c r="C293" i="100"/>
  <c r="A293" i="100"/>
  <c r="K292" i="100"/>
  <c r="N292" i="100" s="1"/>
  <c r="O292" i="100" s="1"/>
  <c r="D292" i="100"/>
  <c r="C292" i="100"/>
  <c r="E292" i="100" s="1"/>
  <c r="A292" i="100"/>
  <c r="N291" i="100"/>
  <c r="O291" i="100" s="1"/>
  <c r="K291" i="100"/>
  <c r="D291" i="100"/>
  <c r="C291" i="100"/>
  <c r="E291" i="100" s="1"/>
  <c r="A291" i="100"/>
  <c r="K290" i="100"/>
  <c r="N290" i="100" s="1"/>
  <c r="O290" i="100" s="1"/>
  <c r="D290" i="100"/>
  <c r="C290" i="100"/>
  <c r="E290" i="100" s="1"/>
  <c r="A290" i="100"/>
  <c r="K289" i="100"/>
  <c r="N289" i="100" s="1"/>
  <c r="O289" i="100" s="1"/>
  <c r="E289" i="100"/>
  <c r="D289" i="100"/>
  <c r="C289" i="100"/>
  <c r="A289" i="100"/>
  <c r="K288" i="100"/>
  <c r="N288" i="100" s="1"/>
  <c r="O288" i="100" s="1"/>
  <c r="D288" i="100"/>
  <c r="C288" i="100"/>
  <c r="E288" i="100" s="1"/>
  <c r="A288" i="100"/>
  <c r="N287" i="100"/>
  <c r="O287" i="100" s="1"/>
  <c r="K287" i="100"/>
  <c r="D287" i="100"/>
  <c r="C287" i="100"/>
  <c r="E287" i="100" s="1"/>
  <c r="A287" i="100"/>
  <c r="K286" i="100"/>
  <c r="N286" i="100" s="1"/>
  <c r="O286" i="100" s="1"/>
  <c r="D286" i="100"/>
  <c r="C286" i="100"/>
  <c r="E286" i="100" s="1"/>
  <c r="A286" i="100"/>
  <c r="K285" i="100"/>
  <c r="N285" i="100" s="1"/>
  <c r="O285" i="100" s="1"/>
  <c r="E285" i="100"/>
  <c r="D285" i="100"/>
  <c r="C285" i="100"/>
  <c r="A285" i="100"/>
  <c r="K284" i="100"/>
  <c r="N284" i="100" s="1"/>
  <c r="O284" i="100" s="1"/>
  <c r="D284" i="100"/>
  <c r="C284" i="100"/>
  <c r="E284" i="100" s="1"/>
  <c r="A284" i="100"/>
  <c r="N283" i="100"/>
  <c r="O283" i="100" s="1"/>
  <c r="K283" i="100"/>
  <c r="D283" i="100"/>
  <c r="C283" i="100"/>
  <c r="E283" i="100" s="1"/>
  <c r="A283" i="100"/>
  <c r="K282" i="100"/>
  <c r="N282" i="100" s="1"/>
  <c r="O282" i="100" s="1"/>
  <c r="D282" i="100"/>
  <c r="C282" i="100"/>
  <c r="E282" i="100" s="1"/>
  <c r="A282" i="100"/>
  <c r="N281" i="100"/>
  <c r="O281" i="100" s="1"/>
  <c r="K281" i="100"/>
  <c r="E281" i="100"/>
  <c r="D281" i="100"/>
  <c r="C281" i="100"/>
  <c r="A281" i="100"/>
  <c r="K280" i="100"/>
  <c r="N280" i="100" s="1"/>
  <c r="O280" i="100" s="1"/>
  <c r="D280" i="100"/>
  <c r="C280" i="100"/>
  <c r="E280" i="100" s="1"/>
  <c r="A280" i="100"/>
  <c r="N279" i="100"/>
  <c r="O279" i="100" s="1"/>
  <c r="K279" i="100"/>
  <c r="D279" i="100"/>
  <c r="C279" i="100"/>
  <c r="E279" i="100" s="1"/>
  <c r="A279" i="100"/>
  <c r="K278" i="100"/>
  <c r="N278" i="100" s="1"/>
  <c r="O278" i="100" s="1"/>
  <c r="D278" i="100"/>
  <c r="C278" i="100"/>
  <c r="E278" i="100" s="1"/>
  <c r="A278" i="100"/>
  <c r="N277" i="100"/>
  <c r="O277" i="100" s="1"/>
  <c r="K277" i="100"/>
  <c r="E277" i="100"/>
  <c r="D277" i="100"/>
  <c r="C277" i="100"/>
  <c r="A277" i="100"/>
  <c r="K276" i="100"/>
  <c r="N276" i="100" s="1"/>
  <c r="O276" i="100" s="1"/>
  <c r="D276" i="100"/>
  <c r="C276" i="100"/>
  <c r="E276" i="100" s="1"/>
  <c r="A276" i="100"/>
  <c r="N275" i="100"/>
  <c r="O275" i="100" s="1"/>
  <c r="K275" i="100"/>
  <c r="D275" i="100"/>
  <c r="C275" i="100"/>
  <c r="E275" i="100" s="1"/>
  <c r="A275" i="100"/>
  <c r="K274" i="100"/>
  <c r="N274" i="100" s="1"/>
  <c r="O274" i="100" s="1"/>
  <c r="D274" i="100"/>
  <c r="C274" i="100"/>
  <c r="E274" i="100" s="1"/>
  <c r="A274" i="100"/>
  <c r="N273" i="100"/>
  <c r="O273" i="100" s="1"/>
  <c r="K273" i="100"/>
  <c r="E273" i="100"/>
  <c r="D273" i="100"/>
  <c r="C273" i="100"/>
  <c r="A273" i="100"/>
  <c r="K272" i="100"/>
  <c r="N272" i="100" s="1"/>
  <c r="O272" i="100" s="1"/>
  <c r="D272" i="100"/>
  <c r="C272" i="100"/>
  <c r="E272" i="100" s="1"/>
  <c r="A272" i="100"/>
  <c r="N271" i="100"/>
  <c r="O271" i="100" s="1"/>
  <c r="K271" i="100"/>
  <c r="D271" i="100"/>
  <c r="C271" i="100"/>
  <c r="E271" i="100" s="1"/>
  <c r="A271" i="100"/>
  <c r="K270" i="100"/>
  <c r="N270" i="100" s="1"/>
  <c r="O270" i="100" s="1"/>
  <c r="D270" i="100"/>
  <c r="C270" i="100"/>
  <c r="E270" i="100" s="1"/>
  <c r="A270" i="100"/>
  <c r="N269" i="100"/>
  <c r="O269" i="100" s="1"/>
  <c r="K269" i="100"/>
  <c r="E269" i="100"/>
  <c r="D269" i="100"/>
  <c r="C269" i="100"/>
  <c r="A269" i="100"/>
  <c r="O268" i="100"/>
  <c r="K268" i="100"/>
  <c r="N268" i="100" s="1"/>
  <c r="D268" i="100"/>
  <c r="C268" i="100"/>
  <c r="E268" i="100" s="1"/>
  <c r="A268" i="100"/>
  <c r="N267" i="100"/>
  <c r="O267" i="100" s="1"/>
  <c r="K267" i="100"/>
  <c r="D267" i="100"/>
  <c r="C267" i="100"/>
  <c r="E267" i="100" s="1"/>
  <c r="A267" i="100"/>
  <c r="K266" i="100"/>
  <c r="N266" i="100" s="1"/>
  <c r="O266" i="100" s="1"/>
  <c r="D266" i="100"/>
  <c r="C266" i="100"/>
  <c r="E266" i="100" s="1"/>
  <c r="A266" i="100"/>
  <c r="N265" i="100"/>
  <c r="O265" i="100" s="1"/>
  <c r="K265" i="100"/>
  <c r="E265" i="100"/>
  <c r="D265" i="100"/>
  <c r="C265" i="100"/>
  <c r="A265" i="100"/>
  <c r="O264" i="100"/>
  <c r="K264" i="100"/>
  <c r="N264" i="100" s="1"/>
  <c r="D264" i="100"/>
  <c r="C264" i="100"/>
  <c r="E264" i="100" s="1"/>
  <c r="A264" i="100"/>
  <c r="N263" i="100"/>
  <c r="O263" i="100" s="1"/>
  <c r="K263" i="100"/>
  <c r="D263" i="100"/>
  <c r="C263" i="100"/>
  <c r="E263" i="100" s="1"/>
  <c r="A263" i="100"/>
  <c r="K262" i="100"/>
  <c r="N262" i="100" s="1"/>
  <c r="O262" i="100" s="1"/>
  <c r="E262" i="100"/>
  <c r="D262" i="100"/>
  <c r="C262" i="100"/>
  <c r="A262" i="100"/>
  <c r="O261" i="100"/>
  <c r="N261" i="100"/>
  <c r="K261" i="100"/>
  <c r="E261" i="100"/>
  <c r="D261" i="100"/>
  <c r="C261" i="100"/>
  <c r="A261" i="100"/>
  <c r="O260" i="100"/>
  <c r="N260" i="100"/>
  <c r="K260" i="100"/>
  <c r="D260" i="100"/>
  <c r="C260" i="100"/>
  <c r="E260" i="100" s="1"/>
  <c r="A260" i="100"/>
  <c r="N259" i="100"/>
  <c r="O259" i="100" s="1"/>
  <c r="K259" i="100"/>
  <c r="D259" i="100"/>
  <c r="C259" i="100"/>
  <c r="E259" i="100" s="1"/>
  <c r="A259" i="100"/>
  <c r="K258" i="100"/>
  <c r="N258" i="100" s="1"/>
  <c r="O258" i="100" s="1"/>
  <c r="E258" i="100"/>
  <c r="D258" i="100"/>
  <c r="C258" i="100"/>
  <c r="A258" i="100"/>
  <c r="O257" i="100"/>
  <c r="N257" i="100"/>
  <c r="K257" i="100"/>
  <c r="E257" i="100"/>
  <c r="D257" i="100"/>
  <c r="C257" i="100"/>
  <c r="A257" i="100"/>
  <c r="O256" i="100"/>
  <c r="N256" i="100"/>
  <c r="K256" i="100"/>
  <c r="D256" i="100"/>
  <c r="C256" i="100"/>
  <c r="E256" i="100" s="1"/>
  <c r="A256" i="100"/>
  <c r="N255" i="100"/>
  <c r="O255" i="100" s="1"/>
  <c r="K255" i="100"/>
  <c r="D255" i="100"/>
  <c r="C255" i="100"/>
  <c r="E255" i="100" s="1"/>
  <c r="A255" i="100"/>
  <c r="K254" i="100"/>
  <c r="N254" i="100" s="1"/>
  <c r="O254" i="100" s="1"/>
  <c r="E254" i="100"/>
  <c r="D254" i="100"/>
  <c r="C254" i="100"/>
  <c r="A254" i="100"/>
  <c r="O253" i="100"/>
  <c r="N253" i="100"/>
  <c r="K253" i="100"/>
  <c r="E253" i="100"/>
  <c r="D253" i="100"/>
  <c r="C253" i="100"/>
  <c r="A253" i="100"/>
  <c r="O252" i="100"/>
  <c r="N252" i="100"/>
  <c r="K252" i="100"/>
  <c r="D252" i="100"/>
  <c r="C252" i="100"/>
  <c r="E252" i="100" s="1"/>
  <c r="A252" i="100"/>
  <c r="N251" i="100"/>
  <c r="O251" i="100" s="1"/>
  <c r="K251" i="100"/>
  <c r="D251" i="100"/>
  <c r="C251" i="100"/>
  <c r="E251" i="100" s="1"/>
  <c r="A251" i="100"/>
  <c r="K250" i="100"/>
  <c r="N250" i="100" s="1"/>
  <c r="O250" i="100" s="1"/>
  <c r="E250" i="100"/>
  <c r="D250" i="100"/>
  <c r="C250" i="100"/>
  <c r="A250" i="100"/>
  <c r="O249" i="100"/>
  <c r="N249" i="100"/>
  <c r="K249" i="100"/>
  <c r="E249" i="100"/>
  <c r="D249" i="100"/>
  <c r="C249" i="100"/>
  <c r="A249" i="100"/>
  <c r="O248" i="100"/>
  <c r="N248" i="100"/>
  <c r="K248" i="100"/>
  <c r="D248" i="100"/>
  <c r="C248" i="100"/>
  <c r="E248" i="100" s="1"/>
  <c r="A248" i="100"/>
  <c r="N247" i="100"/>
  <c r="O247" i="100" s="1"/>
  <c r="K247" i="100"/>
  <c r="D247" i="100"/>
  <c r="C247" i="100"/>
  <c r="E247" i="100" s="1"/>
  <c r="A247" i="100"/>
  <c r="K246" i="100"/>
  <c r="N246" i="100" s="1"/>
  <c r="O246" i="100" s="1"/>
  <c r="E246" i="100"/>
  <c r="D246" i="100"/>
  <c r="C246" i="100"/>
  <c r="A246" i="100"/>
  <c r="O245" i="100"/>
  <c r="N245" i="100"/>
  <c r="K245" i="100"/>
  <c r="E245" i="100"/>
  <c r="D245" i="100"/>
  <c r="C245" i="100"/>
  <c r="A245" i="100"/>
  <c r="O244" i="100"/>
  <c r="N244" i="100"/>
  <c r="K244" i="100"/>
  <c r="D244" i="100"/>
  <c r="C244" i="100"/>
  <c r="E244" i="100" s="1"/>
  <c r="A244" i="100"/>
  <c r="N243" i="100"/>
  <c r="O243" i="100" s="1"/>
  <c r="K243" i="100"/>
  <c r="D243" i="100"/>
  <c r="C243" i="100"/>
  <c r="E243" i="100" s="1"/>
  <c r="A243" i="100"/>
  <c r="K242" i="100"/>
  <c r="N242" i="100" s="1"/>
  <c r="O242" i="100" s="1"/>
  <c r="E242" i="100"/>
  <c r="D242" i="100"/>
  <c r="C242" i="100"/>
  <c r="A242" i="100"/>
  <c r="O241" i="100"/>
  <c r="N241" i="100"/>
  <c r="K241" i="100"/>
  <c r="E241" i="100"/>
  <c r="D241" i="100"/>
  <c r="C241" i="100"/>
  <c r="A241" i="100"/>
  <c r="O240" i="100"/>
  <c r="N240" i="100"/>
  <c r="K240" i="100"/>
  <c r="D240" i="100"/>
  <c r="C240" i="100"/>
  <c r="E240" i="100" s="1"/>
  <c r="A240" i="100"/>
  <c r="N239" i="100"/>
  <c r="O239" i="100" s="1"/>
  <c r="K239" i="100"/>
  <c r="D239" i="100"/>
  <c r="C239" i="100"/>
  <c r="E239" i="100" s="1"/>
  <c r="A239" i="100"/>
  <c r="K238" i="100"/>
  <c r="N238" i="100" s="1"/>
  <c r="O238" i="100" s="1"/>
  <c r="E238" i="100"/>
  <c r="D238" i="100"/>
  <c r="C238" i="100"/>
  <c r="A238" i="100"/>
  <c r="O237" i="100"/>
  <c r="N237" i="100"/>
  <c r="K237" i="100"/>
  <c r="E237" i="100"/>
  <c r="D237" i="100"/>
  <c r="C237" i="100"/>
  <c r="A237" i="100"/>
  <c r="O236" i="100"/>
  <c r="N236" i="100"/>
  <c r="K236" i="100"/>
  <c r="D236" i="100"/>
  <c r="C236" i="100"/>
  <c r="E236" i="100" s="1"/>
  <c r="A236" i="100"/>
  <c r="N235" i="100"/>
  <c r="O235" i="100" s="1"/>
  <c r="K235" i="100"/>
  <c r="D235" i="100"/>
  <c r="C235" i="100"/>
  <c r="E235" i="100" s="1"/>
  <c r="A235" i="100"/>
  <c r="K234" i="100"/>
  <c r="N234" i="100" s="1"/>
  <c r="O234" i="100" s="1"/>
  <c r="E234" i="100"/>
  <c r="D234" i="100"/>
  <c r="C234" i="100"/>
  <c r="A234" i="100"/>
  <c r="O233" i="100"/>
  <c r="N233" i="100"/>
  <c r="K233" i="100"/>
  <c r="E233" i="100"/>
  <c r="D233" i="100"/>
  <c r="C233" i="100"/>
  <c r="A233" i="100"/>
  <c r="O232" i="100"/>
  <c r="N232" i="100"/>
  <c r="K232" i="100"/>
  <c r="D232" i="100"/>
  <c r="C232" i="100"/>
  <c r="E232" i="100" s="1"/>
  <c r="A232" i="100"/>
  <c r="N231" i="100"/>
  <c r="O231" i="100" s="1"/>
  <c r="K231" i="100"/>
  <c r="D231" i="100"/>
  <c r="C231" i="100"/>
  <c r="E231" i="100" s="1"/>
  <c r="A231" i="100"/>
  <c r="K230" i="100"/>
  <c r="N230" i="100" s="1"/>
  <c r="O230" i="100" s="1"/>
  <c r="E230" i="100"/>
  <c r="D230" i="100"/>
  <c r="C230" i="100"/>
  <c r="A230" i="100"/>
  <c r="O229" i="100"/>
  <c r="N229" i="100"/>
  <c r="K229" i="100"/>
  <c r="E229" i="100"/>
  <c r="D229" i="100"/>
  <c r="C229" i="100"/>
  <c r="A229" i="100"/>
  <c r="O228" i="100"/>
  <c r="N228" i="100"/>
  <c r="K228" i="100"/>
  <c r="D228" i="100"/>
  <c r="C228" i="100"/>
  <c r="E228" i="100" s="1"/>
  <c r="A228" i="100"/>
  <c r="N227" i="100"/>
  <c r="O227" i="100" s="1"/>
  <c r="K227" i="100"/>
  <c r="D227" i="100"/>
  <c r="C227" i="100"/>
  <c r="E227" i="100" s="1"/>
  <c r="A227" i="100"/>
  <c r="K226" i="100"/>
  <c r="N226" i="100" s="1"/>
  <c r="O226" i="100" s="1"/>
  <c r="E226" i="100"/>
  <c r="D226" i="100"/>
  <c r="C226" i="100"/>
  <c r="A226" i="100"/>
  <c r="O225" i="100"/>
  <c r="N225" i="100"/>
  <c r="K225" i="100"/>
  <c r="E225" i="100"/>
  <c r="D225" i="100"/>
  <c r="C225" i="100"/>
  <c r="A225" i="100"/>
  <c r="O224" i="100"/>
  <c r="N224" i="100"/>
  <c r="K224" i="100"/>
  <c r="D224" i="100"/>
  <c r="C224" i="100"/>
  <c r="E224" i="100" s="1"/>
  <c r="A224" i="100"/>
  <c r="N223" i="100"/>
  <c r="O223" i="100" s="1"/>
  <c r="K223" i="100"/>
  <c r="D223" i="100"/>
  <c r="C223" i="100"/>
  <c r="E223" i="100" s="1"/>
  <c r="A223" i="100"/>
  <c r="K222" i="100"/>
  <c r="N222" i="100" s="1"/>
  <c r="O222" i="100" s="1"/>
  <c r="E222" i="100"/>
  <c r="D222" i="100"/>
  <c r="C222" i="100"/>
  <c r="A222" i="100"/>
  <c r="O221" i="100"/>
  <c r="N221" i="100"/>
  <c r="K221" i="100"/>
  <c r="E221" i="100"/>
  <c r="D221" i="100"/>
  <c r="C221" i="100"/>
  <c r="A221" i="100"/>
  <c r="O220" i="100"/>
  <c r="N220" i="100"/>
  <c r="K220" i="100"/>
  <c r="D220" i="100"/>
  <c r="C220" i="100"/>
  <c r="E220" i="100" s="1"/>
  <c r="A220" i="100"/>
  <c r="N219" i="100"/>
  <c r="O219" i="100" s="1"/>
  <c r="K219" i="100"/>
  <c r="D219" i="100"/>
  <c r="C219" i="100"/>
  <c r="E219" i="100" s="1"/>
  <c r="A219" i="100"/>
  <c r="K218" i="100"/>
  <c r="N218" i="100" s="1"/>
  <c r="O218" i="100" s="1"/>
  <c r="E218" i="100"/>
  <c r="D218" i="100"/>
  <c r="C218" i="100"/>
  <c r="A218" i="100"/>
  <c r="O217" i="100"/>
  <c r="N217" i="100"/>
  <c r="K217" i="100"/>
  <c r="E217" i="100"/>
  <c r="D217" i="100"/>
  <c r="C217" i="100"/>
  <c r="A217" i="100"/>
  <c r="N216" i="100"/>
  <c r="O216" i="100" s="1"/>
  <c r="K216" i="100"/>
  <c r="D216" i="100"/>
  <c r="C216" i="100"/>
  <c r="E216" i="100" s="1"/>
  <c r="A216" i="100"/>
  <c r="K215" i="100"/>
  <c r="N215" i="100" s="1"/>
  <c r="O215" i="100" s="1"/>
  <c r="D215" i="100"/>
  <c r="C215" i="100"/>
  <c r="E215" i="100" s="1"/>
  <c r="A215" i="100"/>
  <c r="K214" i="100"/>
  <c r="N214" i="100" s="1"/>
  <c r="O214" i="100" s="1"/>
  <c r="E214" i="100"/>
  <c r="D214" i="100"/>
  <c r="C214" i="100"/>
  <c r="A214" i="100"/>
  <c r="O213" i="100"/>
  <c r="N213" i="100"/>
  <c r="K213" i="100"/>
  <c r="E213" i="100"/>
  <c r="D213" i="100"/>
  <c r="C213" i="100"/>
  <c r="A213" i="100"/>
  <c r="O212" i="100"/>
  <c r="N212" i="100"/>
  <c r="K212" i="100"/>
  <c r="D212" i="100"/>
  <c r="C212" i="100"/>
  <c r="E212" i="100" s="1"/>
  <c r="A212" i="100"/>
  <c r="N211" i="100"/>
  <c r="O211" i="100" s="1"/>
  <c r="K211" i="100"/>
  <c r="D211" i="100"/>
  <c r="C211" i="100"/>
  <c r="E211" i="100" s="1"/>
  <c r="A211" i="100"/>
  <c r="K210" i="100"/>
  <c r="N210" i="100" s="1"/>
  <c r="O210" i="100" s="1"/>
  <c r="E210" i="100"/>
  <c r="D210" i="100"/>
  <c r="C210" i="100"/>
  <c r="A210" i="100"/>
  <c r="O209" i="100"/>
  <c r="N209" i="100"/>
  <c r="K209" i="100"/>
  <c r="E209" i="100"/>
  <c r="D209" i="100"/>
  <c r="C209" i="100"/>
  <c r="A209" i="100"/>
  <c r="N208" i="100"/>
  <c r="O208" i="100" s="1"/>
  <c r="K208" i="100"/>
  <c r="D208" i="100"/>
  <c r="C208" i="100"/>
  <c r="E208" i="100" s="1"/>
  <c r="A208" i="100"/>
  <c r="K207" i="100"/>
  <c r="N207" i="100" s="1"/>
  <c r="O207" i="100" s="1"/>
  <c r="D207" i="100"/>
  <c r="C207" i="100"/>
  <c r="E207" i="100" s="1"/>
  <c r="A207" i="100"/>
  <c r="K206" i="100"/>
  <c r="N206" i="100" s="1"/>
  <c r="O206" i="100" s="1"/>
  <c r="E206" i="100"/>
  <c r="D206" i="100"/>
  <c r="C206" i="100"/>
  <c r="A206" i="100"/>
  <c r="O205" i="100"/>
  <c r="N205" i="100"/>
  <c r="K205" i="100"/>
  <c r="E205" i="100"/>
  <c r="D205" i="100"/>
  <c r="C205" i="100"/>
  <c r="A205" i="100"/>
  <c r="O204" i="100"/>
  <c r="N204" i="100"/>
  <c r="K204" i="100"/>
  <c r="D204" i="100"/>
  <c r="C204" i="100"/>
  <c r="E204" i="100" s="1"/>
  <c r="A204" i="100"/>
  <c r="N203" i="100"/>
  <c r="O203" i="100" s="1"/>
  <c r="K203" i="100"/>
  <c r="D203" i="100"/>
  <c r="C203" i="100"/>
  <c r="E203" i="100" s="1"/>
  <c r="A203" i="100"/>
  <c r="K202" i="100"/>
  <c r="N202" i="100" s="1"/>
  <c r="O202" i="100" s="1"/>
  <c r="E202" i="100"/>
  <c r="D202" i="100"/>
  <c r="C202" i="100"/>
  <c r="A202" i="100"/>
  <c r="O201" i="100"/>
  <c r="N201" i="100"/>
  <c r="K201" i="100"/>
  <c r="E201" i="100"/>
  <c r="D201" i="100"/>
  <c r="C201" i="100"/>
  <c r="A201" i="100"/>
  <c r="N200" i="100"/>
  <c r="O200" i="100" s="1"/>
  <c r="K200" i="100"/>
  <c r="D200" i="100"/>
  <c r="C200" i="100"/>
  <c r="E200" i="100" s="1"/>
  <c r="A200" i="100"/>
  <c r="K199" i="100"/>
  <c r="N199" i="100" s="1"/>
  <c r="O199" i="100" s="1"/>
  <c r="D199" i="100"/>
  <c r="C199" i="100"/>
  <c r="E199" i="100" s="1"/>
  <c r="A199" i="100"/>
  <c r="K198" i="100"/>
  <c r="N198" i="100" s="1"/>
  <c r="O198" i="100" s="1"/>
  <c r="E198" i="100"/>
  <c r="D198" i="100"/>
  <c r="C198" i="100"/>
  <c r="A198" i="100"/>
  <c r="O197" i="100"/>
  <c r="N197" i="100"/>
  <c r="K197" i="100"/>
  <c r="E197" i="100"/>
  <c r="D197" i="100"/>
  <c r="C197" i="100"/>
  <c r="A197" i="100"/>
  <c r="O196" i="100"/>
  <c r="N196" i="100"/>
  <c r="K196" i="100"/>
  <c r="D196" i="100"/>
  <c r="C196" i="100"/>
  <c r="E196" i="100" s="1"/>
  <c r="A196" i="100"/>
  <c r="N195" i="100"/>
  <c r="O195" i="100" s="1"/>
  <c r="K195" i="100"/>
  <c r="D195" i="100"/>
  <c r="C195" i="100"/>
  <c r="E195" i="100" s="1"/>
  <c r="A195" i="100"/>
  <c r="K194" i="100"/>
  <c r="N194" i="100" s="1"/>
  <c r="O194" i="100" s="1"/>
  <c r="E194" i="100"/>
  <c r="D194" i="100"/>
  <c r="C194" i="100"/>
  <c r="A194" i="100"/>
  <c r="O193" i="100"/>
  <c r="N193" i="100"/>
  <c r="K193" i="100"/>
  <c r="E193" i="100"/>
  <c r="D193" i="100"/>
  <c r="C193" i="100"/>
  <c r="A193" i="100"/>
  <c r="N192" i="100"/>
  <c r="O192" i="100" s="1"/>
  <c r="K192" i="100"/>
  <c r="D192" i="100"/>
  <c r="C192" i="100"/>
  <c r="E192" i="100" s="1"/>
  <c r="A192" i="100"/>
  <c r="K191" i="100"/>
  <c r="N191" i="100" s="1"/>
  <c r="O191" i="100" s="1"/>
  <c r="D191" i="100"/>
  <c r="C191" i="100"/>
  <c r="E191" i="100" s="1"/>
  <c r="A191" i="100"/>
  <c r="K190" i="100"/>
  <c r="N190" i="100" s="1"/>
  <c r="O190" i="100" s="1"/>
  <c r="E190" i="100"/>
  <c r="D190" i="100"/>
  <c r="C190" i="100"/>
  <c r="A190" i="100"/>
  <c r="K189" i="100"/>
  <c r="N189" i="100" s="1"/>
  <c r="O189" i="100" s="1"/>
  <c r="E189" i="100"/>
  <c r="D189" i="100"/>
  <c r="C189" i="100"/>
  <c r="A189" i="100"/>
  <c r="N188" i="100"/>
  <c r="O188" i="100" s="1"/>
  <c r="K188" i="100"/>
  <c r="D188" i="100"/>
  <c r="C188" i="100"/>
  <c r="E188" i="100" s="1"/>
  <c r="A188" i="100"/>
  <c r="K187" i="100"/>
  <c r="N187" i="100" s="1"/>
  <c r="O187" i="100" s="1"/>
  <c r="D187" i="100"/>
  <c r="C187" i="100"/>
  <c r="E187" i="100" s="1"/>
  <c r="A187" i="100"/>
  <c r="K186" i="100"/>
  <c r="N186" i="100" s="1"/>
  <c r="O186" i="100" s="1"/>
  <c r="E186" i="100"/>
  <c r="D186" i="100"/>
  <c r="C186" i="100"/>
  <c r="A186" i="100"/>
  <c r="K185" i="100"/>
  <c r="N185" i="100" s="1"/>
  <c r="O185" i="100" s="1"/>
  <c r="E185" i="100"/>
  <c r="D185" i="100"/>
  <c r="C185" i="100"/>
  <c r="A185" i="100"/>
  <c r="N184" i="100"/>
  <c r="O184" i="100" s="1"/>
  <c r="K184" i="100"/>
  <c r="D184" i="100"/>
  <c r="C184" i="100"/>
  <c r="E184" i="100" s="1"/>
  <c r="A184" i="100"/>
  <c r="K183" i="100"/>
  <c r="N183" i="100" s="1"/>
  <c r="O183" i="100" s="1"/>
  <c r="D183" i="100"/>
  <c r="C183" i="100"/>
  <c r="E183" i="100" s="1"/>
  <c r="A183" i="100"/>
  <c r="K182" i="100"/>
  <c r="N182" i="100" s="1"/>
  <c r="O182" i="100" s="1"/>
  <c r="E182" i="100"/>
  <c r="D182" i="100"/>
  <c r="C182" i="100"/>
  <c r="A182" i="100"/>
  <c r="K181" i="100"/>
  <c r="N181" i="100" s="1"/>
  <c r="O181" i="100" s="1"/>
  <c r="E181" i="100"/>
  <c r="D181" i="100"/>
  <c r="C181" i="100"/>
  <c r="A181" i="100"/>
  <c r="N180" i="100"/>
  <c r="O180" i="100" s="1"/>
  <c r="K180" i="100"/>
  <c r="D180" i="100"/>
  <c r="C180" i="100"/>
  <c r="E180" i="100" s="1"/>
  <c r="A180" i="100"/>
  <c r="K179" i="100"/>
  <c r="N179" i="100" s="1"/>
  <c r="O179" i="100" s="1"/>
  <c r="D179" i="100"/>
  <c r="C179" i="100"/>
  <c r="E179" i="100" s="1"/>
  <c r="A179" i="100"/>
  <c r="K178" i="100"/>
  <c r="N178" i="100" s="1"/>
  <c r="O178" i="100" s="1"/>
  <c r="E178" i="100"/>
  <c r="D178" i="100"/>
  <c r="C178" i="100"/>
  <c r="A178" i="100"/>
  <c r="O177" i="100"/>
  <c r="N177" i="100"/>
  <c r="K177" i="100"/>
  <c r="E177" i="100"/>
  <c r="D177" i="100"/>
  <c r="C177" i="100"/>
  <c r="A177" i="100"/>
  <c r="O176" i="100"/>
  <c r="N176" i="100"/>
  <c r="K176" i="100"/>
  <c r="D176" i="100"/>
  <c r="C176" i="100"/>
  <c r="E176" i="100" s="1"/>
  <c r="A176" i="100"/>
  <c r="N175" i="100"/>
  <c r="O175" i="100" s="1"/>
  <c r="K175" i="100"/>
  <c r="D175" i="100"/>
  <c r="C175" i="100"/>
  <c r="E175" i="100" s="1"/>
  <c r="A175" i="100"/>
  <c r="K174" i="100"/>
  <c r="N174" i="100" s="1"/>
  <c r="O174" i="100" s="1"/>
  <c r="E174" i="100"/>
  <c r="D174" i="100"/>
  <c r="C174" i="100"/>
  <c r="A174" i="100"/>
  <c r="O173" i="100"/>
  <c r="N173" i="100"/>
  <c r="K173" i="100"/>
  <c r="E173" i="100"/>
  <c r="D173" i="100"/>
  <c r="C173" i="100"/>
  <c r="A173" i="100"/>
  <c r="N172" i="100"/>
  <c r="O172" i="100" s="1"/>
  <c r="K172" i="100"/>
  <c r="D172" i="100"/>
  <c r="C172" i="100"/>
  <c r="E172" i="100" s="1"/>
  <c r="A172" i="100"/>
  <c r="K171" i="100"/>
  <c r="N171" i="100" s="1"/>
  <c r="O171" i="100" s="1"/>
  <c r="D171" i="100"/>
  <c r="C171" i="100"/>
  <c r="E171" i="100" s="1"/>
  <c r="A171" i="100"/>
  <c r="K170" i="100"/>
  <c r="N170" i="100" s="1"/>
  <c r="O170" i="100" s="1"/>
  <c r="E170" i="100"/>
  <c r="D170" i="100"/>
  <c r="C170" i="100"/>
  <c r="A170" i="100"/>
  <c r="K169" i="100"/>
  <c r="N169" i="100" s="1"/>
  <c r="O169" i="100" s="1"/>
  <c r="E169" i="100"/>
  <c r="D169" i="100"/>
  <c r="C169" i="100"/>
  <c r="A169" i="100"/>
  <c r="N168" i="100"/>
  <c r="O168" i="100" s="1"/>
  <c r="K168" i="100"/>
  <c r="D168" i="100"/>
  <c r="C168" i="100"/>
  <c r="E168" i="100" s="1"/>
  <c r="A168" i="100"/>
  <c r="K167" i="100"/>
  <c r="N167" i="100" s="1"/>
  <c r="O167" i="100" s="1"/>
  <c r="D167" i="100"/>
  <c r="C167" i="100"/>
  <c r="E167" i="100" s="1"/>
  <c r="A167" i="100"/>
  <c r="K166" i="100"/>
  <c r="N166" i="100" s="1"/>
  <c r="O166" i="100" s="1"/>
  <c r="E166" i="100"/>
  <c r="D166" i="100"/>
  <c r="C166" i="100"/>
  <c r="A166" i="100"/>
  <c r="K165" i="100"/>
  <c r="N165" i="100" s="1"/>
  <c r="O165" i="100" s="1"/>
  <c r="E165" i="100"/>
  <c r="D165" i="100"/>
  <c r="C165" i="100"/>
  <c r="A165" i="100"/>
  <c r="N164" i="100"/>
  <c r="O164" i="100" s="1"/>
  <c r="K164" i="100"/>
  <c r="D164" i="100"/>
  <c r="C164" i="100"/>
  <c r="E164" i="100" s="1"/>
  <c r="A164" i="100"/>
  <c r="K163" i="100"/>
  <c r="N163" i="100" s="1"/>
  <c r="O163" i="100" s="1"/>
  <c r="D163" i="100"/>
  <c r="C163" i="100"/>
  <c r="E163" i="100" s="1"/>
  <c r="A163" i="100"/>
  <c r="K162" i="100"/>
  <c r="N162" i="100" s="1"/>
  <c r="O162" i="100" s="1"/>
  <c r="E162" i="100"/>
  <c r="D162" i="100"/>
  <c r="C162" i="100"/>
  <c r="A162" i="100"/>
  <c r="K161" i="100"/>
  <c r="N161" i="100" s="1"/>
  <c r="O161" i="100" s="1"/>
  <c r="E161" i="100"/>
  <c r="D161" i="100"/>
  <c r="C161" i="100"/>
  <c r="A161" i="100"/>
  <c r="N160" i="100"/>
  <c r="O160" i="100" s="1"/>
  <c r="K160" i="100"/>
  <c r="D160" i="100"/>
  <c r="C160" i="100"/>
  <c r="E160" i="100" s="1"/>
  <c r="A160" i="100"/>
  <c r="K159" i="100"/>
  <c r="N159" i="100" s="1"/>
  <c r="O159" i="100" s="1"/>
  <c r="D159" i="100"/>
  <c r="C159" i="100"/>
  <c r="E159" i="100" s="1"/>
  <c r="A159" i="100"/>
  <c r="K158" i="100"/>
  <c r="N158" i="100" s="1"/>
  <c r="O158" i="100" s="1"/>
  <c r="E158" i="100"/>
  <c r="D158" i="100"/>
  <c r="C158" i="100"/>
  <c r="A158" i="100"/>
  <c r="K157" i="100"/>
  <c r="N157" i="100" s="1"/>
  <c r="O157" i="100" s="1"/>
  <c r="E157" i="100"/>
  <c r="D157" i="100"/>
  <c r="C157" i="100"/>
  <c r="A157" i="100"/>
  <c r="N156" i="100"/>
  <c r="O156" i="100" s="1"/>
  <c r="K156" i="100"/>
  <c r="D156" i="100"/>
  <c r="C156" i="100"/>
  <c r="E156" i="100" s="1"/>
  <c r="A156" i="100"/>
  <c r="K155" i="100"/>
  <c r="N155" i="100" s="1"/>
  <c r="O155" i="100" s="1"/>
  <c r="D155" i="100"/>
  <c r="C155" i="100"/>
  <c r="E155" i="100" s="1"/>
  <c r="A155" i="100"/>
  <c r="K154" i="100"/>
  <c r="N154" i="100" s="1"/>
  <c r="O154" i="100" s="1"/>
  <c r="D154" i="100"/>
  <c r="C154" i="100"/>
  <c r="E154" i="100" s="1"/>
  <c r="A154" i="100"/>
  <c r="N153" i="100"/>
  <c r="O153" i="100" s="1"/>
  <c r="K153" i="100"/>
  <c r="D153" i="100"/>
  <c r="C153" i="100"/>
  <c r="E153" i="100" s="1"/>
  <c r="A153" i="100"/>
  <c r="K152" i="100"/>
  <c r="N152" i="100" s="1"/>
  <c r="O152" i="100" s="1"/>
  <c r="D152" i="100"/>
  <c r="C152" i="100"/>
  <c r="E152" i="100" s="1"/>
  <c r="A152" i="100"/>
  <c r="N151" i="100"/>
  <c r="O151" i="100" s="1"/>
  <c r="K151" i="100"/>
  <c r="E151" i="100"/>
  <c r="D151" i="100"/>
  <c r="C151" i="100"/>
  <c r="A151" i="100"/>
  <c r="K150" i="100"/>
  <c r="N150" i="100" s="1"/>
  <c r="O150" i="100" s="1"/>
  <c r="D150" i="100"/>
  <c r="C150" i="100"/>
  <c r="E150" i="100" s="1"/>
  <c r="A150" i="100"/>
  <c r="N149" i="100"/>
  <c r="O149" i="100" s="1"/>
  <c r="K149" i="100"/>
  <c r="D149" i="100"/>
  <c r="C149" i="100"/>
  <c r="E149" i="100" s="1"/>
  <c r="A149" i="100"/>
  <c r="K148" i="100"/>
  <c r="N148" i="100" s="1"/>
  <c r="O148" i="100" s="1"/>
  <c r="D148" i="100"/>
  <c r="C148" i="100"/>
  <c r="E148" i="100" s="1"/>
  <c r="A148" i="100"/>
  <c r="N147" i="100"/>
  <c r="O147" i="100" s="1"/>
  <c r="K147" i="100"/>
  <c r="E147" i="100"/>
  <c r="D147" i="100"/>
  <c r="C147" i="100"/>
  <c r="A147" i="100"/>
  <c r="K146" i="100"/>
  <c r="N146" i="100" s="1"/>
  <c r="O146" i="100" s="1"/>
  <c r="D146" i="100"/>
  <c r="C146" i="100"/>
  <c r="E146" i="100" s="1"/>
  <c r="A146" i="100"/>
  <c r="N145" i="100"/>
  <c r="O145" i="100" s="1"/>
  <c r="K145" i="100"/>
  <c r="D145" i="100"/>
  <c r="C145" i="100"/>
  <c r="E145" i="100" s="1"/>
  <c r="A145" i="100"/>
  <c r="K144" i="100"/>
  <c r="N144" i="100" s="1"/>
  <c r="O144" i="100" s="1"/>
  <c r="D144" i="100"/>
  <c r="C144" i="100"/>
  <c r="E144" i="100" s="1"/>
  <c r="A144" i="100"/>
  <c r="N143" i="100"/>
  <c r="O143" i="100" s="1"/>
  <c r="K143" i="100"/>
  <c r="E143" i="100"/>
  <c r="D143" i="100"/>
  <c r="C143" i="100"/>
  <c r="A143" i="100"/>
  <c r="K142" i="100"/>
  <c r="N142" i="100" s="1"/>
  <c r="O142" i="100" s="1"/>
  <c r="D142" i="100"/>
  <c r="C142" i="100"/>
  <c r="E142" i="100" s="1"/>
  <c r="A142" i="100"/>
  <c r="N141" i="100"/>
  <c r="O141" i="100" s="1"/>
  <c r="K141" i="100"/>
  <c r="D141" i="100"/>
  <c r="C141" i="100"/>
  <c r="E141" i="100" s="1"/>
  <c r="A141" i="100"/>
  <c r="K140" i="100"/>
  <c r="N140" i="100" s="1"/>
  <c r="O140" i="100" s="1"/>
  <c r="D140" i="100"/>
  <c r="C140" i="100"/>
  <c r="E140" i="100" s="1"/>
  <c r="A140" i="100"/>
  <c r="N139" i="100"/>
  <c r="O139" i="100" s="1"/>
  <c r="K139" i="100"/>
  <c r="E139" i="100"/>
  <c r="D139" i="100"/>
  <c r="C139" i="100"/>
  <c r="A139" i="100"/>
  <c r="K138" i="100"/>
  <c r="N138" i="100" s="1"/>
  <c r="O138" i="100" s="1"/>
  <c r="D138" i="100"/>
  <c r="C138" i="100"/>
  <c r="E138" i="100" s="1"/>
  <c r="A138" i="100"/>
  <c r="N137" i="100"/>
  <c r="O137" i="100" s="1"/>
  <c r="K137" i="100"/>
  <c r="D137" i="100"/>
  <c r="C137" i="100"/>
  <c r="E137" i="100" s="1"/>
  <c r="A137" i="100"/>
  <c r="K136" i="100"/>
  <c r="N136" i="100" s="1"/>
  <c r="O136" i="100" s="1"/>
  <c r="D136" i="100"/>
  <c r="C136" i="100"/>
  <c r="E136" i="100" s="1"/>
  <c r="A136" i="100"/>
  <c r="N135" i="100"/>
  <c r="O135" i="100" s="1"/>
  <c r="K135" i="100"/>
  <c r="E135" i="100"/>
  <c r="D135" i="100"/>
  <c r="C135" i="100"/>
  <c r="A135" i="100"/>
  <c r="K134" i="100"/>
  <c r="N134" i="100" s="1"/>
  <c r="O134" i="100" s="1"/>
  <c r="D134" i="100"/>
  <c r="C134" i="100"/>
  <c r="E134" i="100" s="1"/>
  <c r="A134" i="100"/>
  <c r="N133" i="100"/>
  <c r="O133" i="100" s="1"/>
  <c r="K133" i="100"/>
  <c r="D133" i="100"/>
  <c r="C133" i="100"/>
  <c r="E133" i="100" s="1"/>
  <c r="A133" i="100"/>
  <c r="K132" i="100"/>
  <c r="N132" i="100" s="1"/>
  <c r="O132" i="100" s="1"/>
  <c r="D132" i="100"/>
  <c r="C132" i="100"/>
  <c r="E132" i="100" s="1"/>
  <c r="A132" i="100"/>
  <c r="N131" i="100"/>
  <c r="O131" i="100" s="1"/>
  <c r="K131" i="100"/>
  <c r="E131" i="100"/>
  <c r="D131" i="100"/>
  <c r="C131" i="100"/>
  <c r="A131" i="100"/>
  <c r="K130" i="100"/>
  <c r="N130" i="100" s="1"/>
  <c r="O130" i="100" s="1"/>
  <c r="D130" i="100"/>
  <c r="C130" i="100"/>
  <c r="E130" i="100" s="1"/>
  <c r="A130" i="100"/>
  <c r="N129" i="100"/>
  <c r="O129" i="100" s="1"/>
  <c r="K129" i="100"/>
  <c r="D129" i="100"/>
  <c r="C129" i="100"/>
  <c r="E129" i="100" s="1"/>
  <c r="A129" i="100"/>
  <c r="K128" i="100"/>
  <c r="N128" i="100" s="1"/>
  <c r="O128" i="100" s="1"/>
  <c r="D128" i="100"/>
  <c r="C128" i="100"/>
  <c r="E128" i="100" s="1"/>
  <c r="A128" i="100"/>
  <c r="N127" i="100"/>
  <c r="O127" i="100" s="1"/>
  <c r="K127" i="100"/>
  <c r="E127" i="100"/>
  <c r="D127" i="100"/>
  <c r="C127" i="100"/>
  <c r="A127" i="100"/>
  <c r="K126" i="100"/>
  <c r="N126" i="100" s="1"/>
  <c r="O126" i="100" s="1"/>
  <c r="D126" i="100"/>
  <c r="C126" i="100"/>
  <c r="E126" i="100" s="1"/>
  <c r="A126" i="100"/>
  <c r="N125" i="100"/>
  <c r="O125" i="100" s="1"/>
  <c r="K125" i="100"/>
  <c r="D125" i="100"/>
  <c r="C125" i="100"/>
  <c r="E125" i="100" s="1"/>
  <c r="A125" i="100"/>
  <c r="K124" i="100"/>
  <c r="N124" i="100" s="1"/>
  <c r="O124" i="100" s="1"/>
  <c r="D124" i="100"/>
  <c r="C124" i="100"/>
  <c r="E124" i="100" s="1"/>
  <c r="A124" i="100"/>
  <c r="N123" i="100"/>
  <c r="O123" i="100" s="1"/>
  <c r="K123" i="100"/>
  <c r="E123" i="100"/>
  <c r="D123" i="100"/>
  <c r="C123" i="100"/>
  <c r="A123" i="100"/>
  <c r="K122" i="100"/>
  <c r="N122" i="100" s="1"/>
  <c r="O122" i="100" s="1"/>
  <c r="D122" i="100"/>
  <c r="C122" i="100"/>
  <c r="E122" i="100" s="1"/>
  <c r="A122" i="100"/>
  <c r="N121" i="100"/>
  <c r="O121" i="100" s="1"/>
  <c r="K121" i="100"/>
  <c r="D121" i="100"/>
  <c r="C121" i="100"/>
  <c r="E121" i="100" s="1"/>
  <c r="A121" i="100"/>
  <c r="K120" i="100"/>
  <c r="N120" i="100" s="1"/>
  <c r="O120" i="100" s="1"/>
  <c r="D120" i="100"/>
  <c r="C120" i="100"/>
  <c r="E120" i="100" s="1"/>
  <c r="A120" i="100"/>
  <c r="N119" i="100"/>
  <c r="O119" i="100" s="1"/>
  <c r="K119" i="100"/>
  <c r="E119" i="100"/>
  <c r="D119" i="100"/>
  <c r="C119" i="100"/>
  <c r="A119" i="100"/>
  <c r="O118" i="100"/>
  <c r="K118" i="100"/>
  <c r="N118" i="100" s="1"/>
  <c r="D118" i="100"/>
  <c r="C118" i="100"/>
  <c r="E118" i="100" s="1"/>
  <c r="A118" i="100"/>
  <c r="N117" i="100"/>
  <c r="O117" i="100" s="1"/>
  <c r="K117" i="100"/>
  <c r="D117" i="100"/>
  <c r="C117" i="100"/>
  <c r="E117" i="100" s="1"/>
  <c r="A117" i="100"/>
  <c r="K116" i="100"/>
  <c r="N116" i="100" s="1"/>
  <c r="O116" i="100" s="1"/>
  <c r="D116" i="100"/>
  <c r="C116" i="100"/>
  <c r="E116" i="100" s="1"/>
  <c r="A116" i="100"/>
  <c r="N115" i="100"/>
  <c r="O115" i="100" s="1"/>
  <c r="K115" i="100"/>
  <c r="E115" i="100"/>
  <c r="D115" i="100"/>
  <c r="C115" i="100"/>
  <c r="A115" i="100"/>
  <c r="O114" i="100"/>
  <c r="K114" i="100"/>
  <c r="N114" i="100" s="1"/>
  <c r="D114" i="100"/>
  <c r="C114" i="100"/>
  <c r="E114" i="100" s="1"/>
  <c r="A114" i="100"/>
  <c r="N113" i="100"/>
  <c r="O113" i="100" s="1"/>
  <c r="K113" i="100"/>
  <c r="D113" i="100"/>
  <c r="C113" i="100"/>
  <c r="E113" i="100" s="1"/>
  <c r="A113" i="100"/>
  <c r="K112" i="100"/>
  <c r="N112" i="100" s="1"/>
  <c r="O112" i="100" s="1"/>
  <c r="D112" i="100"/>
  <c r="C112" i="100"/>
  <c r="E112" i="100" s="1"/>
  <c r="A112" i="100"/>
  <c r="N111" i="100"/>
  <c r="O111" i="100" s="1"/>
  <c r="K111" i="100"/>
  <c r="E111" i="100"/>
  <c r="D111" i="100"/>
  <c r="C111" i="100"/>
  <c r="A111" i="100"/>
  <c r="O110" i="100"/>
  <c r="K110" i="100"/>
  <c r="N110" i="100" s="1"/>
  <c r="D110" i="100"/>
  <c r="C110" i="100"/>
  <c r="E110" i="100" s="1"/>
  <c r="A110" i="100"/>
  <c r="N109" i="100"/>
  <c r="O109" i="100" s="1"/>
  <c r="K109" i="100"/>
  <c r="D109" i="100"/>
  <c r="C109" i="100"/>
  <c r="E109" i="100" s="1"/>
  <c r="A109" i="100"/>
  <c r="K108" i="100"/>
  <c r="N108" i="100" s="1"/>
  <c r="O108" i="100" s="1"/>
  <c r="D108" i="100"/>
  <c r="C108" i="100"/>
  <c r="E108" i="100" s="1"/>
  <c r="A108" i="100"/>
  <c r="N107" i="100"/>
  <c r="O107" i="100" s="1"/>
  <c r="K107" i="100"/>
  <c r="E107" i="100"/>
  <c r="D107" i="100"/>
  <c r="C107" i="100"/>
  <c r="A107" i="100"/>
  <c r="O106" i="100"/>
  <c r="K106" i="100"/>
  <c r="N106" i="100" s="1"/>
  <c r="D106" i="100"/>
  <c r="C106" i="100"/>
  <c r="E106" i="100" s="1"/>
  <c r="A106" i="100"/>
  <c r="N105" i="100"/>
  <c r="O105" i="100" s="1"/>
  <c r="K105" i="100"/>
  <c r="D105" i="100"/>
  <c r="C105" i="100"/>
  <c r="E105" i="100" s="1"/>
  <c r="A105" i="100"/>
  <c r="K104" i="100"/>
  <c r="N104" i="100" s="1"/>
  <c r="O104" i="100" s="1"/>
  <c r="D104" i="100"/>
  <c r="C104" i="100"/>
  <c r="E104" i="100" s="1"/>
  <c r="A104" i="100"/>
  <c r="N103" i="100"/>
  <c r="O103" i="100" s="1"/>
  <c r="K103" i="100"/>
  <c r="E103" i="100"/>
  <c r="D103" i="100"/>
  <c r="C103" i="100"/>
  <c r="A103" i="100"/>
  <c r="O102" i="100"/>
  <c r="K102" i="100"/>
  <c r="N102" i="100" s="1"/>
  <c r="D102" i="100"/>
  <c r="C102" i="100"/>
  <c r="E102" i="100" s="1"/>
  <c r="A102" i="100"/>
  <c r="N101" i="100"/>
  <c r="O101" i="100" s="1"/>
  <c r="K101" i="100"/>
  <c r="D101" i="100"/>
  <c r="C101" i="100"/>
  <c r="E101" i="100" s="1"/>
  <c r="A101" i="100"/>
  <c r="K100" i="100"/>
  <c r="N100" i="100" s="1"/>
  <c r="O100" i="100" s="1"/>
  <c r="D100" i="100"/>
  <c r="C100" i="100"/>
  <c r="E100" i="100" s="1"/>
  <c r="A100" i="100"/>
  <c r="N99" i="100"/>
  <c r="O99" i="100" s="1"/>
  <c r="K99" i="100"/>
  <c r="E99" i="100"/>
  <c r="D99" i="100"/>
  <c r="C99" i="100"/>
  <c r="A99" i="100"/>
  <c r="O98" i="100"/>
  <c r="K98" i="100"/>
  <c r="N98" i="100" s="1"/>
  <c r="D98" i="100"/>
  <c r="C98" i="100"/>
  <c r="E98" i="100" s="1"/>
  <c r="A98" i="100"/>
  <c r="N97" i="100"/>
  <c r="O97" i="100" s="1"/>
  <c r="K97" i="100"/>
  <c r="D97" i="100"/>
  <c r="C97" i="100"/>
  <c r="E97" i="100" s="1"/>
  <c r="A97" i="100"/>
  <c r="K96" i="100"/>
  <c r="N96" i="100" s="1"/>
  <c r="O96" i="100" s="1"/>
  <c r="D96" i="100"/>
  <c r="C96" i="100"/>
  <c r="E96" i="100" s="1"/>
  <c r="A96" i="100"/>
  <c r="N95" i="100"/>
  <c r="O95" i="100" s="1"/>
  <c r="K95" i="100"/>
  <c r="E95" i="100"/>
  <c r="D95" i="100"/>
  <c r="C95" i="100"/>
  <c r="A95" i="100"/>
  <c r="O94" i="100"/>
  <c r="K94" i="100"/>
  <c r="N94" i="100" s="1"/>
  <c r="D94" i="100"/>
  <c r="C94" i="100"/>
  <c r="E94" i="100" s="1"/>
  <c r="A94" i="100"/>
  <c r="N93" i="100"/>
  <c r="O93" i="100" s="1"/>
  <c r="K93" i="100"/>
  <c r="E93" i="100"/>
  <c r="D93" i="100"/>
  <c r="C93" i="100"/>
  <c r="A93" i="100"/>
  <c r="M92" i="100"/>
  <c r="N92" i="100" s="1"/>
  <c r="O92" i="100" s="1"/>
  <c r="K92" i="100"/>
  <c r="D92" i="100"/>
  <c r="C92" i="100"/>
  <c r="E92" i="100" s="1"/>
  <c r="A92" i="100"/>
  <c r="O91" i="100"/>
  <c r="K91" i="100"/>
  <c r="N91" i="100" s="1"/>
  <c r="D91" i="100"/>
  <c r="C91" i="100"/>
  <c r="E91" i="100" s="1"/>
  <c r="A91" i="100"/>
  <c r="N90" i="100"/>
  <c r="O90" i="100" s="1"/>
  <c r="K90" i="100"/>
  <c r="D90" i="100"/>
  <c r="C90" i="100"/>
  <c r="E90" i="100" s="1"/>
  <c r="A90" i="100"/>
  <c r="K89" i="100"/>
  <c r="N89" i="100" s="1"/>
  <c r="O89" i="100" s="1"/>
  <c r="E89" i="100"/>
  <c r="D89" i="100"/>
  <c r="C89" i="100"/>
  <c r="A89" i="100"/>
  <c r="N88" i="100"/>
  <c r="O88" i="100" s="1"/>
  <c r="K88" i="100"/>
  <c r="D88" i="100"/>
  <c r="C88" i="100"/>
  <c r="E88" i="100" s="1"/>
  <c r="A88" i="100"/>
  <c r="K87" i="100"/>
  <c r="N87" i="100" s="1"/>
  <c r="O87" i="100" s="1"/>
  <c r="D87" i="100"/>
  <c r="C87" i="100"/>
  <c r="E87" i="100" s="1"/>
  <c r="A87" i="100"/>
  <c r="N86" i="100"/>
  <c r="O86" i="100" s="1"/>
  <c r="K86" i="100"/>
  <c r="E86" i="100"/>
  <c r="D86" i="100"/>
  <c r="C86" i="100"/>
  <c r="A86" i="100"/>
  <c r="O85" i="100"/>
  <c r="K85" i="100"/>
  <c r="N85" i="100" s="1"/>
  <c r="E85" i="100"/>
  <c r="D85" i="100"/>
  <c r="C85" i="100"/>
  <c r="A85" i="100"/>
  <c r="N84" i="100"/>
  <c r="O84" i="100" s="1"/>
  <c r="K84" i="100"/>
  <c r="E84" i="100"/>
  <c r="D84" i="100"/>
  <c r="C84" i="100"/>
  <c r="A84" i="100"/>
  <c r="O83" i="100"/>
  <c r="K83" i="100"/>
  <c r="N83" i="100" s="1"/>
  <c r="D83" i="100"/>
  <c r="C83" i="100"/>
  <c r="E83" i="100" s="1"/>
  <c r="A83" i="100"/>
  <c r="N82" i="100"/>
  <c r="O82" i="100" s="1"/>
  <c r="K82" i="100"/>
  <c r="E82" i="100"/>
  <c r="D82" i="100"/>
  <c r="C82" i="100"/>
  <c r="A82" i="100"/>
  <c r="K81" i="100"/>
  <c r="N81" i="100" s="1"/>
  <c r="O81" i="100" s="1"/>
  <c r="E81" i="100"/>
  <c r="D81" i="100"/>
  <c r="C81" i="100"/>
  <c r="A81" i="100"/>
  <c r="N80" i="100"/>
  <c r="O80" i="100" s="1"/>
  <c r="K80" i="100"/>
  <c r="E80" i="100"/>
  <c r="D80" i="100"/>
  <c r="C80" i="100"/>
  <c r="A80" i="100"/>
  <c r="K79" i="100"/>
  <c r="N79" i="100" s="1"/>
  <c r="O79" i="100" s="1"/>
  <c r="D79" i="100"/>
  <c r="C79" i="100"/>
  <c r="E79" i="100" s="1"/>
  <c r="A79" i="100"/>
  <c r="N78" i="100"/>
  <c r="O78" i="100" s="1"/>
  <c r="K78" i="100"/>
  <c r="D78" i="100"/>
  <c r="C78" i="100"/>
  <c r="E78" i="100" s="1"/>
  <c r="A78" i="100"/>
  <c r="K77" i="100"/>
  <c r="N77" i="100" s="1"/>
  <c r="O77" i="100" s="1"/>
  <c r="E77" i="100"/>
  <c r="D77" i="100"/>
  <c r="C77" i="100"/>
  <c r="A77" i="100"/>
  <c r="N76" i="100"/>
  <c r="O76" i="100" s="1"/>
  <c r="K76" i="100"/>
  <c r="D76" i="100"/>
  <c r="C76" i="100"/>
  <c r="E76" i="100" s="1"/>
  <c r="A76" i="100"/>
  <c r="K75" i="100"/>
  <c r="N75" i="100" s="1"/>
  <c r="O75" i="100" s="1"/>
  <c r="D75" i="100"/>
  <c r="C75" i="100"/>
  <c r="E75" i="100" s="1"/>
  <c r="A75" i="100"/>
  <c r="N74" i="100"/>
  <c r="O74" i="100" s="1"/>
  <c r="K74" i="100"/>
  <c r="D74" i="100"/>
  <c r="C74" i="100"/>
  <c r="E74" i="100" s="1"/>
  <c r="A74" i="100"/>
  <c r="K73" i="100"/>
  <c r="N73" i="100" s="1"/>
  <c r="O73" i="100" s="1"/>
  <c r="E73" i="100"/>
  <c r="D73" i="100"/>
  <c r="C73" i="100"/>
  <c r="A73" i="100"/>
  <c r="N72" i="100"/>
  <c r="O72" i="100" s="1"/>
  <c r="K72" i="100"/>
  <c r="D72" i="100"/>
  <c r="C72" i="100"/>
  <c r="E72" i="100" s="1"/>
  <c r="A72" i="100"/>
  <c r="K71" i="100"/>
  <c r="N71" i="100" s="1"/>
  <c r="O71" i="100" s="1"/>
  <c r="D71" i="100"/>
  <c r="C71" i="100"/>
  <c r="E71" i="100" s="1"/>
  <c r="A71" i="100"/>
  <c r="N70" i="100"/>
  <c r="O70" i="100" s="1"/>
  <c r="K70" i="100"/>
  <c r="E70" i="100"/>
  <c r="D70" i="100"/>
  <c r="C70" i="100"/>
  <c r="A70" i="100"/>
  <c r="O69" i="100"/>
  <c r="K69" i="100"/>
  <c r="N69" i="100" s="1"/>
  <c r="E69" i="100"/>
  <c r="D69" i="100"/>
  <c r="C69" i="100"/>
  <c r="A69" i="100"/>
  <c r="N68" i="100"/>
  <c r="O68" i="100" s="1"/>
  <c r="K68" i="100"/>
  <c r="E68" i="100"/>
  <c r="D68" i="100"/>
  <c r="C68" i="100"/>
  <c r="A68" i="100"/>
  <c r="O67" i="100"/>
  <c r="K67" i="100"/>
  <c r="N67" i="100" s="1"/>
  <c r="D67" i="100"/>
  <c r="C67" i="100"/>
  <c r="E67" i="100" s="1"/>
  <c r="A67" i="100"/>
  <c r="N66" i="100"/>
  <c r="O66" i="100" s="1"/>
  <c r="K66" i="100"/>
  <c r="E66" i="100"/>
  <c r="D66" i="100"/>
  <c r="C66" i="100"/>
  <c r="A66" i="100"/>
  <c r="K65" i="100"/>
  <c r="N65" i="100" s="1"/>
  <c r="O65" i="100" s="1"/>
  <c r="E65" i="100"/>
  <c r="D65" i="100"/>
  <c r="C65" i="100"/>
  <c r="A65" i="100"/>
  <c r="N64" i="100"/>
  <c r="O64" i="100" s="1"/>
  <c r="K64" i="100"/>
  <c r="E64" i="100"/>
  <c r="D64" i="100"/>
  <c r="C64" i="100"/>
  <c r="A64" i="100"/>
  <c r="K63" i="100"/>
  <c r="N63" i="100" s="1"/>
  <c r="O63" i="100" s="1"/>
  <c r="D63" i="100"/>
  <c r="C63" i="100"/>
  <c r="E63" i="100" s="1"/>
  <c r="A63" i="100"/>
  <c r="N62" i="100"/>
  <c r="O62" i="100" s="1"/>
  <c r="K62" i="100"/>
  <c r="D62" i="100"/>
  <c r="C62" i="100"/>
  <c r="E62" i="100" s="1"/>
  <c r="A62" i="100"/>
  <c r="K61" i="100"/>
  <c r="N61" i="100" s="1"/>
  <c r="O61" i="100" s="1"/>
  <c r="E61" i="100"/>
  <c r="D61" i="100"/>
  <c r="C61" i="100"/>
  <c r="A61" i="100"/>
  <c r="N60" i="100"/>
  <c r="O60" i="100" s="1"/>
  <c r="K60" i="100"/>
  <c r="D60" i="100"/>
  <c r="C60" i="100"/>
  <c r="E60" i="100" s="1"/>
  <c r="A60" i="100"/>
  <c r="K59" i="100"/>
  <c r="N59" i="100" s="1"/>
  <c r="O59" i="100" s="1"/>
  <c r="D59" i="100"/>
  <c r="C59" i="100"/>
  <c r="E59" i="100" s="1"/>
  <c r="A59" i="100"/>
  <c r="N58" i="100"/>
  <c r="O58" i="100" s="1"/>
  <c r="K58" i="100"/>
  <c r="D58" i="100"/>
  <c r="C58" i="100"/>
  <c r="E58" i="100" s="1"/>
  <c r="A58" i="100"/>
  <c r="K57" i="100"/>
  <c r="N57" i="100" s="1"/>
  <c r="O57" i="100" s="1"/>
  <c r="E57" i="100"/>
  <c r="D57" i="100"/>
  <c r="C57" i="100"/>
  <c r="A57" i="100"/>
  <c r="N56" i="100"/>
  <c r="O56" i="100" s="1"/>
  <c r="K56" i="100"/>
  <c r="D56" i="100"/>
  <c r="C56" i="100"/>
  <c r="E56" i="100" s="1"/>
  <c r="A56" i="100"/>
  <c r="K55" i="100"/>
  <c r="N55" i="100" s="1"/>
  <c r="O55" i="100" s="1"/>
  <c r="D55" i="100"/>
  <c r="C55" i="100"/>
  <c r="E55" i="100" s="1"/>
  <c r="A55" i="100"/>
  <c r="N54" i="100"/>
  <c r="O54" i="100" s="1"/>
  <c r="K54" i="100"/>
  <c r="E54" i="100"/>
  <c r="D54" i="100"/>
  <c r="C54" i="100"/>
  <c r="A54" i="100"/>
  <c r="O53" i="100"/>
  <c r="K53" i="100"/>
  <c r="N53" i="100" s="1"/>
  <c r="E53" i="100"/>
  <c r="D53" i="100"/>
  <c r="C53" i="100"/>
  <c r="A53" i="100"/>
  <c r="N52" i="100"/>
  <c r="O52" i="100" s="1"/>
  <c r="K52" i="100"/>
  <c r="E52" i="100"/>
  <c r="D52" i="100"/>
  <c r="C52" i="100"/>
  <c r="A52" i="100"/>
  <c r="K51" i="100"/>
  <c r="N51" i="100" s="1"/>
  <c r="O51" i="100" s="1"/>
  <c r="D51" i="100"/>
  <c r="C51" i="100"/>
  <c r="E51" i="100" s="1"/>
  <c r="A51" i="100"/>
  <c r="K50" i="100"/>
  <c r="N50" i="100" s="1"/>
  <c r="O50" i="100" s="1"/>
  <c r="E50" i="100"/>
  <c r="D50" i="100"/>
  <c r="C50" i="100"/>
  <c r="A50" i="100"/>
  <c r="O49" i="100"/>
  <c r="K49" i="100"/>
  <c r="N49" i="100" s="1"/>
  <c r="E49" i="100"/>
  <c r="D49" i="100"/>
  <c r="C49" i="100"/>
  <c r="A49" i="100"/>
  <c r="N48" i="100"/>
  <c r="O48" i="100" s="1"/>
  <c r="K48" i="100"/>
  <c r="D48" i="100"/>
  <c r="C48" i="100"/>
  <c r="E48" i="100" s="1"/>
  <c r="A48" i="100"/>
  <c r="K47" i="100"/>
  <c r="N47" i="100" s="1"/>
  <c r="O47" i="100" s="1"/>
  <c r="D47" i="100"/>
  <c r="C47" i="100"/>
  <c r="E47" i="100" s="1"/>
  <c r="A47" i="100"/>
  <c r="K46" i="100"/>
  <c r="N46" i="100" s="1"/>
  <c r="O46" i="100" s="1"/>
  <c r="D46" i="100"/>
  <c r="C46" i="100"/>
  <c r="E46" i="100" s="1"/>
  <c r="A46" i="100"/>
  <c r="K45" i="100"/>
  <c r="N45" i="100" s="1"/>
  <c r="O45" i="100" s="1"/>
  <c r="E45" i="100"/>
  <c r="D45" i="100"/>
  <c r="C45" i="100"/>
  <c r="A45" i="100"/>
  <c r="N44" i="100"/>
  <c r="O44" i="100" s="1"/>
  <c r="K44" i="100"/>
  <c r="D44" i="100"/>
  <c r="C44" i="100"/>
  <c r="E44" i="100" s="1"/>
  <c r="A44" i="100"/>
  <c r="K43" i="100"/>
  <c r="N43" i="100" s="1"/>
  <c r="O43" i="100" s="1"/>
  <c r="D43" i="100"/>
  <c r="C43" i="100"/>
  <c r="E43" i="100" s="1"/>
  <c r="A43" i="100"/>
  <c r="K42" i="100"/>
  <c r="N42" i="100" s="1"/>
  <c r="O42" i="100" s="1"/>
  <c r="E42" i="100"/>
  <c r="D42" i="100"/>
  <c r="C42" i="100"/>
  <c r="A42" i="100"/>
  <c r="K41" i="100"/>
  <c r="N41" i="100" s="1"/>
  <c r="O41" i="100" s="1"/>
  <c r="E41" i="100"/>
  <c r="D41" i="100"/>
  <c r="C41" i="100"/>
  <c r="A41" i="100"/>
  <c r="N40" i="100"/>
  <c r="O40" i="100" s="1"/>
  <c r="K40" i="100"/>
  <c r="D40" i="100"/>
  <c r="C40" i="100"/>
  <c r="E40" i="100" s="1"/>
  <c r="A40" i="100"/>
  <c r="K39" i="100"/>
  <c r="N39" i="100" s="1"/>
  <c r="O39" i="100" s="1"/>
  <c r="D39" i="100"/>
  <c r="C39" i="100"/>
  <c r="E39" i="100" s="1"/>
  <c r="A39" i="100"/>
  <c r="K38" i="100"/>
  <c r="N38" i="100" s="1"/>
  <c r="O38" i="100" s="1"/>
  <c r="E38" i="100"/>
  <c r="D38" i="100"/>
  <c r="C38" i="100"/>
  <c r="A38" i="100"/>
  <c r="K37" i="100"/>
  <c r="N37" i="100" s="1"/>
  <c r="O37" i="100" s="1"/>
  <c r="E37" i="100"/>
  <c r="D37" i="100"/>
  <c r="C37" i="100"/>
  <c r="A37" i="100"/>
  <c r="N36" i="100"/>
  <c r="O36" i="100" s="1"/>
  <c r="K36" i="100"/>
  <c r="D36" i="100"/>
  <c r="C36" i="100"/>
  <c r="E36" i="100" s="1"/>
  <c r="A36" i="100"/>
  <c r="K35" i="100"/>
  <c r="N35" i="100" s="1"/>
  <c r="O35" i="100" s="1"/>
  <c r="D35" i="100"/>
  <c r="C35" i="100"/>
  <c r="E35" i="100" s="1"/>
  <c r="A35" i="100"/>
  <c r="K34" i="100"/>
  <c r="N34" i="100" s="1"/>
  <c r="O34" i="100" s="1"/>
  <c r="E34" i="100"/>
  <c r="D34" i="100"/>
  <c r="C34" i="100"/>
  <c r="A34" i="100"/>
  <c r="K33" i="100"/>
  <c r="N33" i="100" s="1"/>
  <c r="O33" i="100" s="1"/>
  <c r="E33" i="100"/>
  <c r="D33" i="100"/>
  <c r="C33" i="100"/>
  <c r="A33" i="100"/>
  <c r="N32" i="100"/>
  <c r="O32" i="100" s="1"/>
  <c r="K32" i="100"/>
  <c r="D32" i="100"/>
  <c r="C32" i="100"/>
  <c r="E32" i="100" s="1"/>
  <c r="A32" i="100"/>
  <c r="K31" i="100"/>
  <c r="N31" i="100" s="1"/>
  <c r="O31" i="100" s="1"/>
  <c r="D31" i="100"/>
  <c r="C31" i="100"/>
  <c r="E31" i="100" s="1"/>
  <c r="A31" i="100"/>
  <c r="K30" i="100"/>
  <c r="N30" i="100" s="1"/>
  <c r="O30" i="100" s="1"/>
  <c r="E30" i="100"/>
  <c r="D30" i="100"/>
  <c r="C30" i="100"/>
  <c r="A30" i="100"/>
  <c r="K29" i="100"/>
  <c r="N29" i="100" s="1"/>
  <c r="O29" i="100" s="1"/>
  <c r="E29" i="100"/>
  <c r="D29" i="100"/>
  <c r="C29" i="100"/>
  <c r="A29" i="100"/>
  <c r="N28" i="100"/>
  <c r="O28" i="100" s="1"/>
  <c r="K28" i="100"/>
  <c r="D28" i="100"/>
  <c r="C28" i="100"/>
  <c r="E28" i="100" s="1"/>
  <c r="A28" i="100"/>
  <c r="K27" i="100"/>
  <c r="N27" i="100" s="1"/>
  <c r="O27" i="100" s="1"/>
  <c r="D27" i="100"/>
  <c r="C27" i="100"/>
  <c r="E27" i="100" s="1"/>
  <c r="A27" i="100"/>
  <c r="K26" i="100"/>
  <c r="N26" i="100" s="1"/>
  <c r="O26" i="100" s="1"/>
  <c r="E26" i="100"/>
  <c r="D26" i="100"/>
  <c r="C26" i="100"/>
  <c r="A26" i="100"/>
  <c r="K25" i="100"/>
  <c r="N25" i="100" s="1"/>
  <c r="O25" i="100" s="1"/>
  <c r="E25" i="100"/>
  <c r="D25" i="100"/>
  <c r="C25" i="100"/>
  <c r="A25" i="100"/>
  <c r="N24" i="100"/>
  <c r="O24" i="100" s="1"/>
  <c r="K24" i="100"/>
  <c r="D24" i="100"/>
  <c r="C24" i="100"/>
  <c r="E24" i="100" s="1"/>
  <c r="A24" i="100"/>
  <c r="K23" i="100"/>
  <c r="N23" i="100" s="1"/>
  <c r="O23" i="100" s="1"/>
  <c r="D23" i="100"/>
  <c r="C23" i="100"/>
  <c r="E23" i="100" s="1"/>
  <c r="A23" i="100"/>
  <c r="K22" i="100"/>
  <c r="N22" i="100" s="1"/>
  <c r="O22" i="100" s="1"/>
  <c r="E22" i="100"/>
  <c r="D22" i="100"/>
  <c r="C22" i="100"/>
  <c r="A22" i="100"/>
  <c r="K21" i="100"/>
  <c r="N21" i="100" s="1"/>
  <c r="O21" i="100" s="1"/>
  <c r="E21" i="100"/>
  <c r="D21" i="100"/>
  <c r="C21" i="100"/>
  <c r="A21" i="100"/>
  <c r="N20" i="100"/>
  <c r="O20" i="100" s="1"/>
  <c r="K20" i="100"/>
  <c r="D20" i="100"/>
  <c r="C20" i="100"/>
  <c r="E20" i="100" s="1"/>
  <c r="A20" i="100"/>
  <c r="K19" i="100"/>
  <c r="N19" i="100" s="1"/>
  <c r="O19" i="100" s="1"/>
  <c r="D19" i="100"/>
  <c r="C19" i="100"/>
  <c r="E19" i="100" s="1"/>
  <c r="A19" i="100"/>
  <c r="K18" i="100"/>
  <c r="N18" i="100" s="1"/>
  <c r="O18" i="100" s="1"/>
  <c r="E18" i="100"/>
  <c r="D18" i="100"/>
  <c r="C18" i="100"/>
  <c r="A18" i="100"/>
  <c r="K17" i="100"/>
  <c r="N17" i="100" s="1"/>
  <c r="O17" i="100" s="1"/>
  <c r="E17" i="100"/>
  <c r="D17" i="100"/>
  <c r="C17" i="100"/>
  <c r="A17" i="100"/>
  <c r="N16" i="100"/>
  <c r="O16" i="100" s="1"/>
  <c r="K16" i="100"/>
  <c r="D16" i="100"/>
  <c r="C16" i="100"/>
  <c r="E16" i="100" s="1"/>
  <c r="A16" i="100"/>
  <c r="K15" i="100"/>
  <c r="N15" i="100" s="1"/>
  <c r="O15" i="100" s="1"/>
  <c r="D15" i="100"/>
  <c r="C15" i="100"/>
  <c r="E15" i="100" s="1"/>
  <c r="A15" i="100"/>
  <c r="K14" i="100"/>
  <c r="N14" i="100" s="1"/>
  <c r="O14" i="100" s="1"/>
  <c r="E14" i="100"/>
  <c r="D14" i="100"/>
  <c r="C14" i="100"/>
  <c r="A14" i="100"/>
  <c r="K13" i="100"/>
  <c r="N13" i="100" s="1"/>
  <c r="O13" i="100" s="1"/>
  <c r="E13" i="100"/>
  <c r="D13" i="100"/>
  <c r="C13" i="100"/>
  <c r="A13" i="100"/>
  <c r="N12" i="100"/>
  <c r="O12" i="100" s="1"/>
  <c r="K12" i="100"/>
  <c r="D12" i="100"/>
  <c r="C12" i="100"/>
  <c r="E12" i="100" s="1"/>
  <c r="A12" i="100"/>
  <c r="K11" i="100"/>
  <c r="N11" i="100" s="1"/>
  <c r="O11" i="100" s="1"/>
  <c r="D11" i="100"/>
  <c r="C11" i="100"/>
  <c r="E11" i="100" s="1"/>
  <c r="A11" i="100"/>
  <c r="K10" i="100"/>
  <c r="N10" i="100" s="1"/>
  <c r="O10" i="100" s="1"/>
  <c r="E10" i="100"/>
  <c r="D10" i="100"/>
  <c r="C10" i="100"/>
  <c r="A10" i="100"/>
  <c r="K9" i="100"/>
  <c r="N9" i="100" s="1"/>
  <c r="O9" i="100" s="1"/>
  <c r="E9" i="100"/>
  <c r="D9" i="100"/>
  <c r="C9" i="100"/>
  <c r="A9" i="100"/>
  <c r="N8" i="100"/>
  <c r="O8" i="100" s="1"/>
  <c r="K8" i="100"/>
  <c r="D8" i="100"/>
  <c r="C8" i="100"/>
  <c r="E8" i="100" s="1"/>
  <c r="A8" i="100"/>
  <c r="K7" i="100"/>
  <c r="N7" i="100" s="1"/>
  <c r="O7" i="100" s="1"/>
  <c r="D7" i="100"/>
  <c r="C7" i="100"/>
  <c r="E7" i="100" s="1"/>
  <c r="A7" i="100"/>
  <c r="K6" i="100"/>
  <c r="N6" i="100" s="1"/>
  <c r="O6" i="100" s="1"/>
  <c r="E6" i="100"/>
  <c r="D6" i="100"/>
  <c r="C6" i="100"/>
  <c r="A6" i="100"/>
  <c r="K5" i="100"/>
  <c r="N5" i="100" s="1"/>
  <c r="O5" i="100" s="1"/>
  <c r="E5" i="100"/>
  <c r="D5" i="100"/>
  <c r="C5" i="100"/>
  <c r="A5" i="100"/>
  <c r="N4" i="100"/>
  <c r="O4" i="100" s="1"/>
  <c r="K4" i="100"/>
  <c r="D4" i="100"/>
  <c r="C4" i="100"/>
  <c r="E4" i="100" s="1"/>
  <c r="A4" i="100"/>
  <c r="K3" i="100"/>
  <c r="N3" i="100" s="1"/>
  <c r="O3" i="100" s="1"/>
  <c r="D3" i="100"/>
  <c r="C3" i="100"/>
  <c r="E3" i="100" s="1"/>
  <c r="A3" i="100"/>
  <c r="K2" i="100"/>
  <c r="N2" i="100" s="1"/>
  <c r="O2" i="100" s="1"/>
  <c r="E2" i="100"/>
  <c r="D2" i="100"/>
  <c r="C2" i="100"/>
  <c r="A2" i="100"/>
  <c r="E23" i="8"/>
  <c r="H29" i="91" l="1"/>
  <c r="P29" i="91"/>
  <c r="H1291" i="1"/>
  <c r="A42" i="9" l="1"/>
  <c r="C42" i="9"/>
  <c r="D42" i="9"/>
  <c r="E42" i="9"/>
  <c r="M42" i="9"/>
  <c r="P42" i="9"/>
  <c r="R42" i="9"/>
  <c r="S42" i="9"/>
  <c r="T42" i="9"/>
  <c r="U42" i="9"/>
  <c r="A41" i="9"/>
  <c r="C41" i="9"/>
  <c r="D41" i="9"/>
  <c r="E41" i="9"/>
  <c r="M41" i="9"/>
  <c r="P41" i="9"/>
  <c r="R41" i="9"/>
  <c r="S41" i="9"/>
  <c r="T41" i="9"/>
  <c r="U41" i="9"/>
  <c r="E11" i="8"/>
  <c r="A40" i="9"/>
  <c r="C40" i="9"/>
  <c r="D40" i="9"/>
  <c r="E40" i="9"/>
  <c r="M40" i="9"/>
  <c r="P40" i="9"/>
  <c r="R40" i="9"/>
  <c r="S40" i="9"/>
  <c r="T40" i="9"/>
  <c r="U40" i="9"/>
  <c r="A39" i="9"/>
  <c r="C39" i="9"/>
  <c r="D39" i="9"/>
  <c r="E39" i="9"/>
  <c r="M39" i="9"/>
  <c r="P39" i="9"/>
  <c r="R39" i="9"/>
  <c r="S39" i="9"/>
  <c r="T39" i="9"/>
  <c r="U39" i="9"/>
  <c r="A1290" i="1" l="1"/>
  <c r="C1290" i="1"/>
  <c r="E1290" i="1" s="1"/>
  <c r="D1290" i="1"/>
  <c r="K1290" i="1"/>
  <c r="M1290" i="1"/>
  <c r="N1290" i="1"/>
  <c r="O1290" i="1"/>
  <c r="P1290" i="1"/>
  <c r="A1289" i="1"/>
  <c r="C1289" i="1"/>
  <c r="E1289" i="1" s="1"/>
  <c r="D1289" i="1"/>
  <c r="K1289" i="1"/>
  <c r="M1289" i="1"/>
  <c r="N1289" i="1"/>
  <c r="O1289" i="1"/>
  <c r="P1289" i="1"/>
  <c r="D13" i="86" l="1"/>
  <c r="D12" i="86"/>
  <c r="D5" i="86"/>
  <c r="D6" i="86"/>
  <c r="D7" i="86"/>
  <c r="D8" i="86"/>
  <c r="D9" i="86"/>
  <c r="D10" i="86"/>
  <c r="D11" i="86"/>
  <c r="D4" i="86"/>
  <c r="C5" i="86"/>
  <c r="C6" i="86"/>
  <c r="C7" i="86"/>
  <c r="C8" i="86"/>
  <c r="C9" i="86"/>
  <c r="C10" i="86"/>
  <c r="C11" i="86"/>
  <c r="C4" i="86"/>
  <c r="I6" i="86"/>
  <c r="I7" i="86"/>
  <c r="I8" i="86"/>
  <c r="I9" i="86"/>
  <c r="I10" i="86"/>
  <c r="I11" i="86"/>
  <c r="I12" i="86"/>
  <c r="I5" i="86"/>
  <c r="D8" i="80"/>
  <c r="D5" i="80"/>
  <c r="D6" i="80"/>
  <c r="D7" i="80"/>
  <c r="D4" i="80"/>
  <c r="C7" i="80"/>
  <c r="C6" i="80"/>
  <c r="C5" i="80"/>
  <c r="H5" i="80"/>
  <c r="H6" i="80"/>
  <c r="H4" i="80"/>
  <c r="C11" i="68"/>
  <c r="D11" i="68"/>
  <c r="D5" i="68"/>
  <c r="D6" i="68"/>
  <c r="D7" i="68"/>
  <c r="D8" i="68"/>
  <c r="D9" i="68"/>
  <c r="D10" i="68"/>
  <c r="D4" i="68"/>
  <c r="C5" i="68"/>
  <c r="C6" i="68"/>
  <c r="C7" i="68"/>
  <c r="C8" i="68"/>
  <c r="C9" i="68"/>
  <c r="C10" i="68"/>
  <c r="H5" i="68"/>
  <c r="H6" i="68"/>
  <c r="H7" i="68"/>
  <c r="H8" i="68"/>
  <c r="H9" i="68"/>
  <c r="H4" i="68"/>
  <c r="E75" i="8" l="1"/>
  <c r="D4" i="66"/>
  <c r="C9" i="66"/>
  <c r="D9" i="66" s="1"/>
  <c r="H5" i="66"/>
  <c r="H12" i="66" s="1"/>
  <c r="H6" i="66"/>
  <c r="C6" i="66" s="1"/>
  <c r="D6" i="66" s="1"/>
  <c r="H7" i="66"/>
  <c r="C7" i="66" s="1"/>
  <c r="D7" i="66" s="1"/>
  <c r="H8" i="66"/>
  <c r="C8" i="66" s="1"/>
  <c r="D8" i="66" s="1"/>
  <c r="H9" i="66"/>
  <c r="H10" i="66"/>
  <c r="C10" i="66" s="1"/>
  <c r="D10" i="66" s="1"/>
  <c r="H11" i="66"/>
  <c r="C11" i="66" s="1"/>
  <c r="D11" i="66" s="1"/>
  <c r="J5" i="61"/>
  <c r="J6" i="61"/>
  <c r="J7" i="61"/>
  <c r="J8" i="61"/>
  <c r="J9" i="61"/>
  <c r="J10" i="61"/>
  <c r="J4" i="61"/>
  <c r="I10" i="61"/>
  <c r="I9" i="61"/>
  <c r="I7" i="61"/>
  <c r="I6" i="61"/>
  <c r="I5" i="61"/>
  <c r="I4" i="61"/>
  <c r="H5" i="61"/>
  <c r="H6" i="61"/>
  <c r="H7" i="61"/>
  <c r="H8" i="61"/>
  <c r="H9" i="61"/>
  <c r="H10" i="61"/>
  <c r="H4" i="61"/>
  <c r="C4" i="61"/>
  <c r="C8" i="61"/>
  <c r="C7" i="61"/>
  <c r="C6" i="61"/>
  <c r="C5" i="61"/>
  <c r="D5" i="59"/>
  <c r="D6" i="59"/>
  <c r="D7" i="59"/>
  <c r="D8" i="59"/>
  <c r="D9" i="59"/>
  <c r="D10" i="59"/>
  <c r="D11" i="59"/>
  <c r="D4" i="59"/>
  <c r="D12" i="59" s="1"/>
  <c r="C11" i="59"/>
  <c r="C10" i="59"/>
  <c r="C8" i="59"/>
  <c r="C7" i="59"/>
  <c r="C6" i="59"/>
  <c r="C4" i="59"/>
  <c r="C5" i="66" l="1"/>
  <c r="D5" i="66" s="1"/>
  <c r="D12" i="66" s="1"/>
  <c r="H82" i="1" l="1"/>
  <c r="E84" i="8" l="1"/>
  <c r="F84" i="8" s="1"/>
  <c r="E51" i="8" l="1"/>
  <c r="E33" i="8"/>
  <c r="G33" i="8" s="1"/>
  <c r="E31" i="8"/>
  <c r="A82" i="5" l="1"/>
  <c r="C82" i="5"/>
  <c r="D82" i="5"/>
  <c r="E82" i="5"/>
  <c r="A81" i="5"/>
  <c r="C81" i="5"/>
  <c r="D81" i="5"/>
  <c r="E81" i="5"/>
  <c r="A79" i="5"/>
  <c r="A80" i="5"/>
  <c r="C79" i="5"/>
  <c r="C80" i="5"/>
  <c r="E80" i="5" s="1"/>
  <c r="D79" i="5"/>
  <c r="D80" i="5"/>
  <c r="E79" i="5"/>
  <c r="A78" i="5"/>
  <c r="C78" i="5"/>
  <c r="E78" i="5" s="1"/>
  <c r="D78" i="5"/>
  <c r="A77" i="5"/>
  <c r="C77" i="5"/>
  <c r="E77" i="5" s="1"/>
  <c r="D77" i="5"/>
  <c r="E26" i="12" l="1"/>
  <c r="D36" i="12" l="1"/>
  <c r="D33" i="12"/>
  <c r="D34" i="12"/>
  <c r="D35" i="12"/>
  <c r="D32" i="12"/>
  <c r="D30" i="12"/>
  <c r="F30" i="12" s="1"/>
  <c r="D29" i="12"/>
  <c r="F29" i="12" s="1"/>
  <c r="A408" i="6"/>
  <c r="C408" i="6"/>
  <c r="E408" i="6" s="1"/>
  <c r="D408" i="6"/>
  <c r="K408" i="6"/>
  <c r="N408" i="6" s="1"/>
  <c r="O408" i="6" s="1"/>
  <c r="A1045" i="1"/>
  <c r="C1045" i="1"/>
  <c r="E1045" i="1" s="1"/>
  <c r="D1045" i="1"/>
  <c r="K1045" i="1"/>
  <c r="M1045" i="1"/>
  <c r="N1045" i="1"/>
  <c r="O1045" i="1"/>
  <c r="P1045" i="1"/>
  <c r="H1019" i="1"/>
  <c r="A1020" i="1"/>
  <c r="C1020" i="1"/>
  <c r="E1020" i="1" s="1"/>
  <c r="D1020" i="1"/>
  <c r="K1020" i="1"/>
  <c r="M1020" i="1"/>
  <c r="N1020" i="1"/>
  <c r="O1020" i="1"/>
  <c r="P1020" i="1"/>
  <c r="H1027" i="1"/>
  <c r="A1028" i="1"/>
  <c r="C1028" i="1"/>
  <c r="E1028" i="1" s="1"/>
  <c r="D1028" i="1"/>
  <c r="K1028" i="1"/>
  <c r="M1028" i="1"/>
  <c r="N1028" i="1"/>
  <c r="O1028" i="1"/>
  <c r="P1028" i="1"/>
  <c r="H787" i="1"/>
  <c r="A803" i="1"/>
  <c r="C803" i="1"/>
  <c r="E803" i="1" s="1"/>
  <c r="D803" i="1"/>
  <c r="K803" i="1"/>
  <c r="M803" i="1"/>
  <c r="N803" i="1"/>
  <c r="O803" i="1"/>
  <c r="P803" i="1"/>
  <c r="A850" i="1"/>
  <c r="C850" i="1"/>
  <c r="E850" i="1" s="1"/>
  <c r="D850" i="1"/>
  <c r="K850" i="1"/>
  <c r="M850" i="1"/>
  <c r="N850" i="1"/>
  <c r="O850" i="1"/>
  <c r="P850" i="1"/>
  <c r="H836" i="1"/>
  <c r="A849" i="1"/>
  <c r="C849" i="1"/>
  <c r="E849" i="1" s="1"/>
  <c r="D849" i="1"/>
  <c r="K849" i="1"/>
  <c r="M849" i="1"/>
  <c r="N849" i="1"/>
  <c r="O849" i="1"/>
  <c r="P849" i="1"/>
  <c r="A802" i="1"/>
  <c r="C802" i="1"/>
  <c r="E802" i="1" s="1"/>
  <c r="D802" i="1"/>
  <c r="K802" i="1"/>
  <c r="M802" i="1"/>
  <c r="N802" i="1"/>
  <c r="O802" i="1"/>
  <c r="P802" i="1"/>
  <c r="H777" i="1"/>
  <c r="H825" i="1"/>
  <c r="A407" i="6"/>
  <c r="C407" i="6"/>
  <c r="E407" i="6" s="1"/>
  <c r="D407" i="6"/>
  <c r="K407" i="6"/>
  <c r="N407" i="6" s="1"/>
  <c r="O407" i="6" s="1"/>
  <c r="A406" i="6"/>
  <c r="C406" i="6"/>
  <c r="E406" i="6" s="1"/>
  <c r="D406" i="6"/>
  <c r="K406" i="6"/>
  <c r="N406" i="6" s="1"/>
  <c r="O406" i="6" s="1"/>
  <c r="A405" i="6"/>
  <c r="C405" i="6"/>
  <c r="E405" i="6" s="1"/>
  <c r="D405" i="6"/>
  <c r="K405" i="6"/>
  <c r="N405" i="6" s="1"/>
  <c r="O405" i="6" s="1"/>
  <c r="A965" i="1"/>
  <c r="C965" i="1"/>
  <c r="E965" i="1" s="1"/>
  <c r="D965" i="1"/>
  <c r="K965" i="1"/>
  <c r="M965" i="1"/>
  <c r="N965" i="1"/>
  <c r="O965" i="1"/>
  <c r="P965" i="1"/>
  <c r="A964" i="1" l="1"/>
  <c r="C964" i="1"/>
  <c r="E964" i="1" s="1"/>
  <c r="D964" i="1"/>
  <c r="K964" i="1"/>
  <c r="M964" i="1"/>
  <c r="N964" i="1"/>
  <c r="O964" i="1"/>
  <c r="P964" i="1"/>
  <c r="A404" i="6"/>
  <c r="C404" i="6"/>
  <c r="E404" i="6" s="1"/>
  <c r="D404" i="6"/>
  <c r="K404" i="6"/>
  <c r="N404" i="6" s="1"/>
  <c r="O404" i="6" s="1"/>
  <c r="A909" i="1"/>
  <c r="C909" i="1"/>
  <c r="E909" i="1" s="1"/>
  <c r="D909" i="1"/>
  <c r="K909" i="1"/>
  <c r="M909" i="1"/>
  <c r="N909" i="1"/>
  <c r="O909" i="1"/>
  <c r="P909" i="1"/>
  <c r="H874" i="1"/>
  <c r="A908" i="1"/>
  <c r="C908" i="1"/>
  <c r="E908" i="1" s="1"/>
  <c r="D908" i="1"/>
  <c r="K908" i="1"/>
  <c r="M908" i="1"/>
  <c r="N908" i="1"/>
  <c r="O908" i="1"/>
  <c r="P908" i="1"/>
  <c r="H858" i="1"/>
  <c r="E77" i="8"/>
  <c r="E76" i="8"/>
  <c r="A403" i="6"/>
  <c r="C403" i="6"/>
  <c r="E403" i="6" s="1"/>
  <c r="D403" i="6"/>
  <c r="K403" i="6"/>
  <c r="N403" i="6" s="1"/>
  <c r="O403" i="6" s="1"/>
  <c r="A402" i="6"/>
  <c r="C402" i="6"/>
  <c r="E402" i="6" s="1"/>
  <c r="D402" i="6"/>
  <c r="K402" i="6"/>
  <c r="N402" i="6" s="1"/>
  <c r="O402" i="6" s="1"/>
  <c r="A1014" i="1"/>
  <c r="C1014" i="1"/>
  <c r="E1014" i="1" s="1"/>
  <c r="D1014" i="1"/>
  <c r="K1014" i="1"/>
  <c r="M1014" i="1"/>
  <c r="N1014" i="1"/>
  <c r="O1014" i="1"/>
  <c r="P1014" i="1"/>
  <c r="A1013" i="1"/>
  <c r="C1013" i="1"/>
  <c r="E1013" i="1" s="1"/>
  <c r="D1013" i="1"/>
  <c r="K1013" i="1"/>
  <c r="M1013" i="1"/>
  <c r="N1013" i="1"/>
  <c r="O1013" i="1"/>
  <c r="P1013" i="1"/>
  <c r="E10" i="8" l="1"/>
  <c r="A419" i="1" l="1"/>
  <c r="C419" i="1"/>
  <c r="E419" i="1" s="1"/>
  <c r="D419" i="1"/>
  <c r="K419" i="1"/>
  <c r="M419" i="1"/>
  <c r="N419" i="1"/>
  <c r="O419" i="1"/>
  <c r="P419" i="1"/>
  <c r="A418" i="1"/>
  <c r="C418" i="1"/>
  <c r="E418" i="1" s="1"/>
  <c r="D418" i="1"/>
  <c r="K418" i="1"/>
  <c r="M418" i="1"/>
  <c r="N418" i="1"/>
  <c r="O418" i="1"/>
  <c r="P418" i="1"/>
  <c r="H417" i="1"/>
  <c r="A417" i="1"/>
  <c r="C417" i="1"/>
  <c r="E417" i="1" s="1"/>
  <c r="D417" i="1"/>
  <c r="K417" i="1"/>
  <c r="M417" i="1"/>
  <c r="N417" i="1"/>
  <c r="O417" i="1"/>
  <c r="P417" i="1"/>
  <c r="H352" i="1"/>
  <c r="A352" i="1"/>
  <c r="C352" i="1"/>
  <c r="E352" i="1" s="1"/>
  <c r="D352" i="1"/>
  <c r="K352" i="1"/>
  <c r="M352" i="1"/>
  <c r="N352" i="1"/>
  <c r="O352" i="1"/>
  <c r="P352" i="1"/>
  <c r="A754" i="1"/>
  <c r="C754" i="1"/>
  <c r="E754" i="1" s="1"/>
  <c r="D754" i="1"/>
  <c r="K754" i="1"/>
  <c r="M754" i="1"/>
  <c r="N754" i="1"/>
  <c r="O754" i="1"/>
  <c r="P754" i="1"/>
  <c r="A753" i="1"/>
  <c r="C753" i="1"/>
  <c r="E753" i="1" s="1"/>
  <c r="D753" i="1"/>
  <c r="K753" i="1"/>
  <c r="M753" i="1"/>
  <c r="N753" i="1"/>
  <c r="O753" i="1"/>
  <c r="P753" i="1"/>
  <c r="H478" i="1"/>
  <c r="H473" i="1"/>
  <c r="A351" i="1"/>
  <c r="C351" i="1"/>
  <c r="E351" i="1" s="1"/>
  <c r="D351" i="1"/>
  <c r="K351" i="1"/>
  <c r="M351" i="1"/>
  <c r="N351" i="1"/>
  <c r="O351" i="1"/>
  <c r="P351" i="1"/>
  <c r="E36" i="12" l="1"/>
  <c r="F36" i="12" s="1"/>
  <c r="K295" i="6" l="1"/>
  <c r="K292" i="6"/>
  <c r="K287" i="6"/>
  <c r="N287" i="6" s="1"/>
  <c r="M23" i="9"/>
  <c r="M24" i="9"/>
  <c r="E5" i="8"/>
  <c r="E6" i="8"/>
  <c r="E9" i="8"/>
  <c r="A530" i="1" l="1"/>
  <c r="C530" i="1"/>
  <c r="E530" i="1" s="1"/>
  <c r="D530" i="1"/>
  <c r="K530" i="1"/>
  <c r="M530" i="1"/>
  <c r="N530" i="1"/>
  <c r="O530" i="1"/>
  <c r="P530" i="1"/>
  <c r="A529" i="1"/>
  <c r="C529" i="1"/>
  <c r="E529" i="1" s="1"/>
  <c r="D529" i="1"/>
  <c r="K529" i="1"/>
  <c r="M529" i="1"/>
  <c r="N529" i="1"/>
  <c r="O529" i="1"/>
  <c r="P529" i="1"/>
  <c r="A1006" i="1" l="1"/>
  <c r="A1007" i="1"/>
  <c r="A1008" i="1"/>
  <c r="A1009" i="1"/>
  <c r="A1010" i="1"/>
  <c r="A1011" i="1"/>
  <c r="A1012" i="1"/>
  <c r="C1006" i="1"/>
  <c r="E1006" i="1" s="1"/>
  <c r="C1007" i="1"/>
  <c r="E1007" i="1" s="1"/>
  <c r="C1008" i="1"/>
  <c r="E1008" i="1" s="1"/>
  <c r="C1009" i="1"/>
  <c r="E1009" i="1" s="1"/>
  <c r="C1010" i="1"/>
  <c r="E1010" i="1" s="1"/>
  <c r="C1011" i="1"/>
  <c r="E1011" i="1" s="1"/>
  <c r="C1012" i="1"/>
  <c r="E1012" i="1" s="1"/>
  <c r="D1006" i="1"/>
  <c r="D1007" i="1"/>
  <c r="D1008" i="1"/>
  <c r="D1009" i="1"/>
  <c r="D1010" i="1"/>
  <c r="D1011" i="1"/>
  <c r="D1012" i="1"/>
  <c r="K1006" i="1"/>
  <c r="K1007" i="1"/>
  <c r="K1008" i="1"/>
  <c r="K1009" i="1"/>
  <c r="K1010" i="1"/>
  <c r="K1011" i="1"/>
  <c r="K1012" i="1"/>
  <c r="M1006" i="1"/>
  <c r="M1007" i="1"/>
  <c r="M1008" i="1"/>
  <c r="M1009" i="1"/>
  <c r="M1010" i="1"/>
  <c r="M1011" i="1"/>
  <c r="M1012" i="1"/>
  <c r="N1006" i="1"/>
  <c r="N1007" i="1"/>
  <c r="N1008" i="1"/>
  <c r="N1009" i="1"/>
  <c r="N1010" i="1"/>
  <c r="N1011" i="1"/>
  <c r="N1012" i="1"/>
  <c r="O1006" i="1"/>
  <c r="O1007" i="1"/>
  <c r="O1008" i="1"/>
  <c r="O1009" i="1"/>
  <c r="O1010" i="1"/>
  <c r="O1011" i="1"/>
  <c r="O1012" i="1"/>
  <c r="P1006" i="1"/>
  <c r="P1007" i="1"/>
  <c r="P1008" i="1"/>
  <c r="P1009" i="1"/>
  <c r="P1010" i="1"/>
  <c r="P1011" i="1"/>
  <c r="P1012" i="1"/>
  <c r="A646" i="1"/>
  <c r="C646" i="1"/>
  <c r="E646" i="1" s="1"/>
  <c r="D646" i="1"/>
  <c r="K646" i="1"/>
  <c r="M646" i="1"/>
  <c r="N646" i="1"/>
  <c r="O646" i="1"/>
  <c r="P646" i="1"/>
  <c r="A619" i="1"/>
  <c r="A620" i="1"/>
  <c r="C619" i="1"/>
  <c r="E619" i="1" s="1"/>
  <c r="C620" i="1"/>
  <c r="E620" i="1" s="1"/>
  <c r="D619" i="1"/>
  <c r="D620" i="1"/>
  <c r="K619" i="1"/>
  <c r="K620" i="1"/>
  <c r="M619" i="1"/>
  <c r="M620" i="1"/>
  <c r="N619" i="1"/>
  <c r="N620" i="1"/>
  <c r="O619" i="1"/>
  <c r="O620" i="1"/>
  <c r="P619" i="1"/>
  <c r="P620" i="1"/>
  <c r="A388" i="1"/>
  <c r="A389" i="1"/>
  <c r="A398" i="1"/>
  <c r="C388" i="1"/>
  <c r="E388" i="1" s="1"/>
  <c r="C389" i="1"/>
  <c r="E389" i="1" s="1"/>
  <c r="C398" i="1"/>
  <c r="E398" i="1" s="1"/>
  <c r="D388" i="1"/>
  <c r="D389" i="1"/>
  <c r="D398" i="1"/>
  <c r="K388" i="1"/>
  <c r="K389" i="1"/>
  <c r="K398" i="1"/>
  <c r="M388" i="1"/>
  <c r="M389" i="1"/>
  <c r="M398" i="1"/>
  <c r="N388" i="1"/>
  <c r="N389" i="1"/>
  <c r="N398" i="1"/>
  <c r="O388" i="1"/>
  <c r="O389" i="1"/>
  <c r="O398" i="1"/>
  <c r="P388" i="1"/>
  <c r="P389" i="1"/>
  <c r="P398" i="1"/>
  <c r="A256" i="1"/>
  <c r="A295" i="1"/>
  <c r="A296" i="1"/>
  <c r="C256" i="1"/>
  <c r="E256" i="1" s="1"/>
  <c r="C295" i="1"/>
  <c r="E295" i="1" s="1"/>
  <c r="C296" i="1"/>
  <c r="E296" i="1" s="1"/>
  <c r="D256" i="1"/>
  <c r="D295" i="1"/>
  <c r="D296" i="1"/>
  <c r="K256" i="1"/>
  <c r="K295" i="1"/>
  <c r="K296" i="1"/>
  <c r="M256" i="1"/>
  <c r="M295" i="1"/>
  <c r="M296" i="1"/>
  <c r="N256" i="1"/>
  <c r="N295" i="1"/>
  <c r="N296" i="1"/>
  <c r="O256" i="1"/>
  <c r="O295" i="1"/>
  <c r="O296" i="1"/>
  <c r="P256" i="1"/>
  <c r="P295" i="1"/>
  <c r="P296" i="1"/>
  <c r="A906" i="1"/>
  <c r="A907" i="1"/>
  <c r="A96" i="1"/>
  <c r="C906" i="1"/>
  <c r="E906" i="1" s="1"/>
  <c r="C907" i="1"/>
  <c r="E907" i="1" s="1"/>
  <c r="C96" i="1"/>
  <c r="E96" i="1" s="1"/>
  <c r="D906" i="1"/>
  <c r="D907" i="1"/>
  <c r="D96" i="1"/>
  <c r="K906" i="1"/>
  <c r="K907" i="1"/>
  <c r="K96" i="1"/>
  <c r="M906" i="1"/>
  <c r="M907" i="1"/>
  <c r="M96" i="1"/>
  <c r="N906" i="1"/>
  <c r="N907" i="1"/>
  <c r="N96" i="1"/>
  <c r="O906" i="1"/>
  <c r="O907" i="1"/>
  <c r="O96" i="1"/>
  <c r="P906" i="1"/>
  <c r="P907" i="1"/>
  <c r="P96" i="1"/>
  <c r="A905" i="1"/>
  <c r="C905" i="1"/>
  <c r="E905" i="1" s="1"/>
  <c r="D905" i="1"/>
  <c r="K905" i="1"/>
  <c r="M905" i="1"/>
  <c r="N905" i="1"/>
  <c r="O905" i="1"/>
  <c r="P905" i="1"/>
  <c r="A41" i="5" l="1"/>
  <c r="C41" i="5"/>
  <c r="E41" i="5" s="1"/>
  <c r="D41" i="5"/>
  <c r="A36" i="5"/>
  <c r="C36" i="5"/>
  <c r="E36" i="5" s="1"/>
  <c r="D36" i="5"/>
  <c r="A37" i="5"/>
  <c r="C37" i="5"/>
  <c r="E37" i="5" s="1"/>
  <c r="D37" i="5"/>
  <c r="A25" i="5"/>
  <c r="C25" i="5"/>
  <c r="E25" i="5" s="1"/>
  <c r="D25" i="5"/>
  <c r="A76" i="5" l="1"/>
  <c r="C76" i="5"/>
  <c r="E76" i="5" s="1"/>
  <c r="D76" i="5"/>
  <c r="A75" i="1" l="1"/>
  <c r="C75" i="1"/>
  <c r="E75" i="1" s="1"/>
  <c r="D75" i="1"/>
  <c r="K75" i="1"/>
  <c r="M75" i="1"/>
  <c r="N75" i="1"/>
  <c r="O75" i="1"/>
  <c r="P75" i="1"/>
  <c r="A528" i="1"/>
  <c r="C528" i="1"/>
  <c r="E528" i="1" s="1"/>
  <c r="D528" i="1"/>
  <c r="K528" i="1"/>
  <c r="M528" i="1"/>
  <c r="N528" i="1"/>
  <c r="O528" i="1"/>
  <c r="P528" i="1"/>
  <c r="A401" i="6"/>
  <c r="C401" i="6"/>
  <c r="E401" i="6" s="1"/>
  <c r="D401" i="6"/>
  <c r="K401" i="6"/>
  <c r="N401" i="6" s="1"/>
  <c r="O401" i="6" s="1"/>
  <c r="H74" i="1" l="1"/>
  <c r="A74" i="1"/>
  <c r="C74" i="1"/>
  <c r="E74" i="1" s="1"/>
  <c r="D74" i="1"/>
  <c r="K74" i="1"/>
  <c r="M74" i="1"/>
  <c r="N74" i="1"/>
  <c r="O74" i="1"/>
  <c r="P74" i="1"/>
  <c r="A73" i="1"/>
  <c r="C73" i="1"/>
  <c r="E73" i="1" s="1"/>
  <c r="D73" i="1"/>
  <c r="K73" i="1"/>
  <c r="M73" i="1"/>
  <c r="N73" i="1"/>
  <c r="O73" i="1"/>
  <c r="P73" i="1"/>
  <c r="A400" i="6" l="1"/>
  <c r="C400" i="6"/>
  <c r="E400" i="6" s="1"/>
  <c r="D400" i="6"/>
  <c r="K400" i="6"/>
  <c r="N400" i="6" s="1"/>
  <c r="O400" i="6" s="1"/>
  <c r="A399" i="6" l="1"/>
  <c r="C399" i="6"/>
  <c r="E399" i="6" s="1"/>
  <c r="D399" i="6"/>
  <c r="K399" i="6"/>
  <c r="N399" i="6" s="1"/>
  <c r="O399" i="6" s="1"/>
  <c r="A398" i="6" l="1"/>
  <c r="C398" i="6"/>
  <c r="E398" i="6" s="1"/>
  <c r="D398" i="6"/>
  <c r="K398" i="6"/>
  <c r="N398" i="6" s="1"/>
  <c r="O398" i="6" s="1"/>
  <c r="A397" i="6"/>
  <c r="C397" i="6"/>
  <c r="E397" i="6" s="1"/>
  <c r="D397" i="6"/>
  <c r="K397" i="6"/>
  <c r="N397" i="6" s="1"/>
  <c r="O397" i="6" s="1"/>
  <c r="A396" i="6"/>
  <c r="C396" i="6"/>
  <c r="E396" i="6" s="1"/>
  <c r="D396" i="6"/>
  <c r="K396" i="6"/>
  <c r="N396" i="6" s="1"/>
  <c r="O396" i="6" s="1"/>
  <c r="A1005" i="1" l="1"/>
  <c r="C1005" i="1"/>
  <c r="E1005" i="1" s="1"/>
  <c r="D1005" i="1"/>
  <c r="K1005" i="1"/>
  <c r="M1005" i="1"/>
  <c r="N1005" i="1"/>
  <c r="O1005" i="1"/>
  <c r="P1005" i="1"/>
  <c r="A645" i="1" l="1"/>
  <c r="C645" i="1"/>
  <c r="E645" i="1" s="1"/>
  <c r="D645" i="1"/>
  <c r="K645" i="1"/>
  <c r="M645" i="1"/>
  <c r="N645" i="1"/>
  <c r="O645" i="1"/>
  <c r="P645" i="1"/>
  <c r="A395" i="6"/>
  <c r="C395" i="6"/>
  <c r="E395" i="6" s="1"/>
  <c r="D395" i="6"/>
  <c r="K395" i="6"/>
  <c r="N395" i="6" s="1"/>
  <c r="O395" i="6" s="1"/>
  <c r="A394" i="6"/>
  <c r="C394" i="6"/>
  <c r="E394" i="6" s="1"/>
  <c r="D394" i="6"/>
  <c r="K394" i="6"/>
  <c r="N394" i="6" s="1"/>
  <c r="O394" i="6" s="1"/>
  <c r="A1056" i="1"/>
  <c r="C1056" i="1"/>
  <c r="E1056" i="1" s="1"/>
  <c r="D1056" i="1"/>
  <c r="K1056" i="1"/>
  <c r="M1056" i="1"/>
  <c r="N1056" i="1"/>
  <c r="O1056" i="1"/>
  <c r="P1056" i="1"/>
  <c r="A1055" i="1"/>
  <c r="C1055" i="1"/>
  <c r="E1055" i="1" s="1"/>
  <c r="D1055" i="1"/>
  <c r="K1055" i="1"/>
  <c r="M1055" i="1"/>
  <c r="N1055" i="1"/>
  <c r="O1055" i="1"/>
  <c r="P1055" i="1"/>
  <c r="A1054" i="1"/>
  <c r="C1054" i="1"/>
  <c r="E1054" i="1" s="1"/>
  <c r="D1054" i="1"/>
  <c r="K1054" i="1"/>
  <c r="M1054" i="1"/>
  <c r="N1054" i="1"/>
  <c r="O1054" i="1"/>
  <c r="P1054" i="1"/>
  <c r="A1053" i="1"/>
  <c r="C1053" i="1"/>
  <c r="E1053" i="1" s="1"/>
  <c r="D1053" i="1"/>
  <c r="K1053" i="1"/>
  <c r="M1053" i="1"/>
  <c r="N1053" i="1"/>
  <c r="O1053" i="1"/>
  <c r="P1053" i="1"/>
  <c r="A462" i="1" l="1"/>
  <c r="C462" i="1"/>
  <c r="E462" i="1" s="1"/>
  <c r="D462" i="1"/>
  <c r="K462" i="1"/>
  <c r="M462" i="1"/>
  <c r="N462" i="1"/>
  <c r="O462" i="1"/>
  <c r="P462" i="1"/>
  <c r="A455" i="1"/>
  <c r="C455" i="1"/>
  <c r="E455" i="1" s="1"/>
  <c r="D455" i="1"/>
  <c r="K455" i="1"/>
  <c r="M455" i="1"/>
  <c r="N455" i="1"/>
  <c r="O455" i="1"/>
  <c r="P455" i="1"/>
  <c r="A1266" i="1" l="1"/>
  <c r="C1266" i="1"/>
  <c r="E1266" i="1" s="1"/>
  <c r="D1266" i="1"/>
  <c r="K1266" i="1"/>
  <c r="M1266" i="1"/>
  <c r="N1266" i="1"/>
  <c r="O1266" i="1"/>
  <c r="P1266" i="1"/>
  <c r="H701" i="1" l="1"/>
  <c r="A227" i="1"/>
  <c r="C227" i="1"/>
  <c r="E227" i="1" s="1"/>
  <c r="D227" i="1"/>
  <c r="K227" i="1"/>
  <c r="M227" i="1"/>
  <c r="N227" i="1"/>
  <c r="O227" i="1"/>
  <c r="P227" i="1"/>
  <c r="A72" i="1" l="1"/>
  <c r="C72" i="1"/>
  <c r="E72" i="1" s="1"/>
  <c r="D72" i="1"/>
  <c r="K72" i="1"/>
  <c r="M72" i="1"/>
  <c r="N72" i="1"/>
  <c r="O72" i="1"/>
  <c r="P72" i="1"/>
  <c r="A482" i="1" l="1"/>
  <c r="C482" i="1"/>
  <c r="E482" i="1" s="1"/>
  <c r="D482" i="1"/>
  <c r="K482" i="1"/>
  <c r="M482" i="1"/>
  <c r="N482" i="1"/>
  <c r="O482" i="1"/>
  <c r="P482" i="1"/>
  <c r="A481" i="1"/>
  <c r="C481" i="1"/>
  <c r="E481" i="1" s="1"/>
  <c r="D481" i="1"/>
  <c r="K481" i="1"/>
  <c r="M481" i="1"/>
  <c r="N481" i="1"/>
  <c r="O481" i="1"/>
  <c r="P481" i="1"/>
  <c r="A480" i="1"/>
  <c r="C480" i="1"/>
  <c r="E480" i="1" s="1"/>
  <c r="D480" i="1"/>
  <c r="K480" i="1"/>
  <c r="M480" i="1"/>
  <c r="N480" i="1"/>
  <c r="O480" i="1"/>
  <c r="P480" i="1"/>
  <c r="A479" i="1"/>
  <c r="C479" i="1"/>
  <c r="E479" i="1" s="1"/>
  <c r="D479" i="1"/>
  <c r="K479" i="1"/>
  <c r="M479" i="1"/>
  <c r="N479" i="1"/>
  <c r="O479" i="1"/>
  <c r="P479" i="1"/>
  <c r="A410" i="1" l="1"/>
  <c r="C410" i="1"/>
  <c r="E410" i="1" s="1"/>
  <c r="D410" i="1"/>
  <c r="K410" i="1"/>
  <c r="M410" i="1"/>
  <c r="N410" i="1"/>
  <c r="O410" i="1"/>
  <c r="P410" i="1"/>
  <c r="A409" i="1"/>
  <c r="C409" i="1"/>
  <c r="E409" i="1" s="1"/>
  <c r="D409" i="1"/>
  <c r="K409" i="1"/>
  <c r="M409" i="1"/>
  <c r="N409" i="1"/>
  <c r="O409" i="1"/>
  <c r="P409" i="1"/>
  <c r="A75" i="5" l="1"/>
  <c r="C75" i="5"/>
  <c r="E75" i="5" s="1"/>
  <c r="D75" i="5"/>
  <c r="A1186" i="1"/>
  <c r="C1186" i="1"/>
  <c r="E1186" i="1" s="1"/>
  <c r="D1186" i="1"/>
  <c r="K1186" i="1"/>
  <c r="M1186" i="1"/>
  <c r="N1186" i="1"/>
  <c r="O1186" i="1"/>
  <c r="P1186" i="1"/>
  <c r="A1185" i="1"/>
  <c r="C1185" i="1"/>
  <c r="E1185" i="1" s="1"/>
  <c r="D1185" i="1"/>
  <c r="K1185" i="1"/>
  <c r="M1185" i="1"/>
  <c r="N1185" i="1"/>
  <c r="O1185" i="1"/>
  <c r="P1185" i="1"/>
  <c r="A1184" i="1"/>
  <c r="C1184" i="1"/>
  <c r="E1184" i="1" s="1"/>
  <c r="D1184" i="1"/>
  <c r="K1184" i="1"/>
  <c r="M1184" i="1"/>
  <c r="N1184" i="1"/>
  <c r="O1184" i="1"/>
  <c r="P1184" i="1"/>
  <c r="A74" i="5"/>
  <c r="C74" i="5"/>
  <c r="E74" i="5" s="1"/>
  <c r="D74" i="5"/>
  <c r="A73" i="5"/>
  <c r="C73" i="5"/>
  <c r="E73" i="5" s="1"/>
  <c r="D73" i="5"/>
  <c r="D7" i="12" l="1"/>
  <c r="F7" i="12" s="1"/>
  <c r="D8" i="12"/>
  <c r="F8" i="12" s="1"/>
  <c r="D10" i="12"/>
  <c r="F10" i="12" s="1"/>
  <c r="D12" i="12"/>
  <c r="F12" i="12" s="1"/>
  <c r="D13" i="12"/>
  <c r="F13" i="12" s="1"/>
  <c r="D15" i="12"/>
  <c r="F15" i="12" s="1"/>
  <c r="D17" i="12"/>
  <c r="F17" i="12" s="1"/>
  <c r="D18" i="12"/>
  <c r="F18" i="12" s="1"/>
  <c r="D19" i="12"/>
  <c r="F19" i="12" s="1"/>
  <c r="D20" i="12"/>
  <c r="F20" i="12" s="1"/>
  <c r="D21" i="12"/>
  <c r="F21" i="12" s="1"/>
  <c r="D22" i="12"/>
  <c r="F22" i="12" s="1"/>
  <c r="D24" i="12"/>
  <c r="F24" i="12" s="1"/>
  <c r="D25" i="12"/>
  <c r="F25" i="12" s="1"/>
  <c r="D26" i="12"/>
  <c r="F26" i="12" s="1"/>
  <c r="D27" i="12"/>
  <c r="F27" i="12" s="1"/>
  <c r="D28" i="12"/>
  <c r="F28" i="12" s="1"/>
  <c r="F32" i="12"/>
  <c r="F33" i="12"/>
  <c r="F34" i="12"/>
  <c r="F35" i="12"/>
  <c r="D6" i="12"/>
  <c r="F6" i="12" s="1"/>
  <c r="A92" i="1" l="1"/>
  <c r="C92" i="1"/>
  <c r="E92" i="1" s="1"/>
  <c r="D92" i="1"/>
  <c r="K92" i="1"/>
  <c r="M92" i="1"/>
  <c r="N92" i="1"/>
  <c r="O92" i="1"/>
  <c r="P92" i="1"/>
  <c r="H91" i="1"/>
  <c r="A91" i="1"/>
  <c r="C91" i="1"/>
  <c r="E91" i="1" s="1"/>
  <c r="D91" i="1"/>
  <c r="K91" i="1"/>
  <c r="M91" i="1"/>
  <c r="N91" i="1"/>
  <c r="O91" i="1"/>
  <c r="P91" i="1"/>
  <c r="A393" i="6"/>
  <c r="C393" i="6"/>
  <c r="E393" i="6" s="1"/>
  <c r="D393" i="6"/>
  <c r="K393" i="6"/>
  <c r="N393" i="6" s="1"/>
  <c r="O393" i="6" s="1"/>
  <c r="A38" i="9" l="1"/>
  <c r="C38" i="9"/>
  <c r="D38" i="9"/>
  <c r="E38" i="9"/>
  <c r="M38" i="9"/>
  <c r="P38" i="9"/>
  <c r="R38" i="9"/>
  <c r="S38" i="9"/>
  <c r="T38" i="9"/>
  <c r="U38" i="9"/>
  <c r="A37" i="9"/>
  <c r="C37" i="9"/>
  <c r="D37" i="9"/>
  <c r="E37" i="9"/>
  <c r="M37" i="9"/>
  <c r="P37" i="9"/>
  <c r="R37" i="9"/>
  <c r="S37" i="9"/>
  <c r="T37" i="9"/>
  <c r="U37" i="9"/>
  <c r="A36" i="9"/>
  <c r="C36" i="9"/>
  <c r="D36" i="9"/>
  <c r="E36" i="9"/>
  <c r="M36" i="9"/>
  <c r="P36" i="9"/>
  <c r="R36" i="9"/>
  <c r="S36" i="9"/>
  <c r="T36" i="9"/>
  <c r="U36" i="9"/>
  <c r="A35" i="9"/>
  <c r="C35" i="9"/>
  <c r="D35" i="9"/>
  <c r="E35" i="9"/>
  <c r="M35" i="9"/>
  <c r="P35" i="9"/>
  <c r="R35" i="9"/>
  <c r="S35" i="9"/>
  <c r="T35" i="9"/>
  <c r="U35" i="9"/>
  <c r="A34" i="9"/>
  <c r="C34" i="9"/>
  <c r="D34" i="9"/>
  <c r="E34" i="9"/>
  <c r="M34" i="9"/>
  <c r="P34" i="9"/>
  <c r="R34" i="9"/>
  <c r="S34" i="9"/>
  <c r="T34" i="9"/>
  <c r="U34" i="9"/>
  <c r="A33" i="9"/>
  <c r="C33" i="9"/>
  <c r="D33" i="9"/>
  <c r="E33" i="9"/>
  <c r="M33" i="9"/>
  <c r="P33" i="9"/>
  <c r="R33" i="9"/>
  <c r="S33" i="9"/>
  <c r="T33" i="9"/>
  <c r="U33" i="9"/>
  <c r="A32" i="9"/>
  <c r="C32" i="9"/>
  <c r="D32" i="9"/>
  <c r="E32" i="9"/>
  <c r="M32" i="9"/>
  <c r="P32" i="9"/>
  <c r="R32" i="9"/>
  <c r="S32" i="9"/>
  <c r="T32" i="9"/>
  <c r="U32" i="9"/>
  <c r="A31" i="9"/>
  <c r="C31" i="9"/>
  <c r="D31" i="9"/>
  <c r="E31" i="9"/>
  <c r="M31" i="9"/>
  <c r="P31" i="9"/>
  <c r="R31" i="9"/>
  <c r="S31" i="9"/>
  <c r="T31" i="9"/>
  <c r="U31" i="9"/>
  <c r="A29" i="9"/>
  <c r="C29" i="9"/>
  <c r="D29" i="9"/>
  <c r="E29" i="9"/>
  <c r="M29" i="9"/>
  <c r="P29" i="9"/>
  <c r="R29" i="9"/>
  <c r="S29" i="9"/>
  <c r="T29" i="9"/>
  <c r="U29" i="9"/>
  <c r="A28" i="9"/>
  <c r="C28" i="9"/>
  <c r="D28" i="9"/>
  <c r="E28" i="9"/>
  <c r="M28" i="9"/>
  <c r="P28" i="9"/>
  <c r="R28" i="9"/>
  <c r="S28" i="9"/>
  <c r="T28" i="9"/>
  <c r="U28" i="9"/>
  <c r="A30" i="9"/>
  <c r="C30" i="9"/>
  <c r="D30" i="9"/>
  <c r="E30" i="9"/>
  <c r="M30" i="9"/>
  <c r="P30" i="9"/>
  <c r="R30" i="9"/>
  <c r="S30" i="9"/>
  <c r="T30" i="9"/>
  <c r="U30" i="9"/>
  <c r="H582" i="1"/>
  <c r="A126" i="1"/>
  <c r="C126" i="1"/>
  <c r="E126" i="1" s="1"/>
  <c r="D126" i="1"/>
  <c r="K126" i="1"/>
  <c r="M126" i="1"/>
  <c r="N126" i="1"/>
  <c r="O126" i="1"/>
  <c r="P126" i="1"/>
  <c r="A125" i="1"/>
  <c r="C125" i="1"/>
  <c r="E125" i="1" s="1"/>
  <c r="D125" i="1"/>
  <c r="K125" i="1"/>
  <c r="M125" i="1"/>
  <c r="N125" i="1"/>
  <c r="O125" i="1"/>
  <c r="P125" i="1"/>
  <c r="H124" i="1"/>
  <c r="A124" i="1"/>
  <c r="C124" i="1"/>
  <c r="E124" i="1" s="1"/>
  <c r="D124" i="1"/>
  <c r="K124" i="1"/>
  <c r="M124" i="1"/>
  <c r="N124" i="1"/>
  <c r="O124" i="1"/>
  <c r="P124" i="1"/>
  <c r="H123" i="1"/>
  <c r="A123" i="1"/>
  <c r="C123" i="1"/>
  <c r="E123" i="1" s="1"/>
  <c r="D123" i="1"/>
  <c r="K123" i="1"/>
  <c r="M123" i="1"/>
  <c r="N123" i="1"/>
  <c r="O123" i="1"/>
  <c r="P123" i="1"/>
  <c r="H115" i="1"/>
  <c r="H116" i="1"/>
  <c r="E94" i="8" l="1"/>
  <c r="E93" i="8"/>
  <c r="E92" i="8"/>
  <c r="E91" i="8"/>
  <c r="E90" i="8"/>
  <c r="E89" i="8"/>
  <c r="E88" i="8"/>
  <c r="E87" i="8"/>
  <c r="E86" i="8"/>
  <c r="E85" i="8"/>
  <c r="E83" i="8"/>
  <c r="E81" i="8"/>
  <c r="E80" i="8"/>
  <c r="E79" i="8"/>
  <c r="E78" i="8"/>
  <c r="E73" i="8"/>
  <c r="E72" i="8"/>
  <c r="E71" i="8"/>
  <c r="E70" i="8"/>
  <c r="E69" i="8"/>
  <c r="E68" i="8"/>
  <c r="E67" i="8"/>
  <c r="E66" i="8"/>
  <c r="E64" i="8"/>
  <c r="E62" i="8"/>
  <c r="E61" i="8"/>
  <c r="E60" i="8"/>
  <c r="E58" i="8"/>
  <c r="E57" i="8"/>
  <c r="E55" i="8"/>
  <c r="E54" i="8"/>
  <c r="E53" i="8"/>
  <c r="E49" i="8"/>
  <c r="G49" i="8" s="1"/>
  <c r="E47" i="8"/>
  <c r="E46" i="8"/>
  <c r="E44" i="8"/>
  <c r="E43" i="8"/>
  <c r="E42" i="8"/>
  <c r="A89" i="1"/>
  <c r="C89" i="1"/>
  <c r="E89" i="1" s="1"/>
  <c r="D89" i="1"/>
  <c r="K89" i="1"/>
  <c r="M89" i="1"/>
  <c r="N89" i="1"/>
  <c r="O89" i="1"/>
  <c r="P89" i="1"/>
  <c r="G29" i="8"/>
  <c r="G23" i="8"/>
  <c r="G11" i="8"/>
  <c r="A507" i="1" l="1"/>
  <c r="C507" i="1"/>
  <c r="E507" i="1" s="1"/>
  <c r="D507" i="1"/>
  <c r="K507" i="1"/>
  <c r="M507" i="1"/>
  <c r="N507" i="1"/>
  <c r="O507" i="1"/>
  <c r="P507" i="1"/>
  <c r="A506" i="1"/>
  <c r="C506" i="1"/>
  <c r="E506" i="1" s="1"/>
  <c r="D506" i="1"/>
  <c r="K506" i="1"/>
  <c r="M506" i="1"/>
  <c r="N506" i="1"/>
  <c r="O506" i="1"/>
  <c r="P506" i="1"/>
  <c r="A502" i="1"/>
  <c r="A503" i="1"/>
  <c r="A504" i="1"/>
  <c r="A505" i="1"/>
  <c r="C502" i="1"/>
  <c r="E502" i="1" s="1"/>
  <c r="C503" i="1"/>
  <c r="E503" i="1" s="1"/>
  <c r="C504" i="1"/>
  <c r="E504" i="1" s="1"/>
  <c r="C505" i="1"/>
  <c r="E505" i="1" s="1"/>
  <c r="D502" i="1"/>
  <c r="D503" i="1"/>
  <c r="D504" i="1"/>
  <c r="D505" i="1"/>
  <c r="K502" i="1"/>
  <c r="K503" i="1"/>
  <c r="K504" i="1"/>
  <c r="K505" i="1"/>
  <c r="M502" i="1"/>
  <c r="M503" i="1"/>
  <c r="M504" i="1"/>
  <c r="M505" i="1"/>
  <c r="N502" i="1"/>
  <c r="N503" i="1"/>
  <c r="N504" i="1"/>
  <c r="N505" i="1"/>
  <c r="O502" i="1"/>
  <c r="O503" i="1"/>
  <c r="O504" i="1"/>
  <c r="O505" i="1"/>
  <c r="P502" i="1"/>
  <c r="P503" i="1"/>
  <c r="P504" i="1"/>
  <c r="P505" i="1"/>
  <c r="A1252" i="1" l="1"/>
  <c r="C1252" i="1"/>
  <c r="E1252" i="1" s="1"/>
  <c r="D1252" i="1"/>
  <c r="K1252" i="1"/>
  <c r="M1252" i="1"/>
  <c r="N1252" i="1"/>
  <c r="O1252" i="1"/>
  <c r="P1252" i="1"/>
  <c r="A71" i="1"/>
  <c r="C71" i="1"/>
  <c r="E71" i="1" s="1"/>
  <c r="D71" i="1"/>
  <c r="K71" i="1"/>
  <c r="M71" i="1"/>
  <c r="N71" i="1"/>
  <c r="O71" i="1"/>
  <c r="P71" i="1"/>
  <c r="A70" i="1"/>
  <c r="C70" i="1"/>
  <c r="E70" i="1" s="1"/>
  <c r="D70" i="1"/>
  <c r="K70" i="1"/>
  <c r="M70" i="1"/>
  <c r="N70" i="1"/>
  <c r="O70" i="1"/>
  <c r="P70" i="1"/>
  <c r="A361" i="1" l="1"/>
  <c r="C361" i="1"/>
  <c r="E361" i="1" s="1"/>
  <c r="D361" i="1"/>
  <c r="K361" i="1"/>
  <c r="M361" i="1"/>
  <c r="N361" i="1"/>
  <c r="O361" i="1"/>
  <c r="P361" i="1"/>
  <c r="A344" i="1"/>
  <c r="C344" i="1"/>
  <c r="E344" i="1" s="1"/>
  <c r="D344" i="1"/>
  <c r="K344" i="1"/>
  <c r="M344" i="1"/>
  <c r="N344" i="1"/>
  <c r="O344" i="1"/>
  <c r="P344" i="1"/>
  <c r="A1244" i="1"/>
  <c r="C1244" i="1"/>
  <c r="E1244" i="1" s="1"/>
  <c r="D1244" i="1"/>
  <c r="K1244" i="1"/>
  <c r="M1244" i="1"/>
  <c r="N1244" i="1"/>
  <c r="O1244" i="1"/>
  <c r="P1244" i="1"/>
  <c r="A1288" i="1"/>
  <c r="C1288" i="1"/>
  <c r="E1288" i="1" s="1"/>
  <c r="D1288" i="1"/>
  <c r="K1288" i="1"/>
  <c r="M1288" i="1"/>
  <c r="N1288" i="1"/>
  <c r="O1288" i="1"/>
  <c r="P1288" i="1"/>
  <c r="H1284" i="1"/>
  <c r="A1287" i="1"/>
  <c r="C1287" i="1"/>
  <c r="E1287" i="1" s="1"/>
  <c r="D1287" i="1"/>
  <c r="K1287" i="1"/>
  <c r="M1287" i="1"/>
  <c r="N1287" i="1"/>
  <c r="O1287" i="1"/>
  <c r="P1287" i="1"/>
  <c r="A472" i="1"/>
  <c r="C472" i="1"/>
  <c r="E472" i="1" s="1"/>
  <c r="D472" i="1"/>
  <c r="K472" i="1"/>
  <c r="M472" i="1"/>
  <c r="N472" i="1"/>
  <c r="O472" i="1"/>
  <c r="P472" i="1"/>
  <c r="A471" i="1"/>
  <c r="C471" i="1"/>
  <c r="E471" i="1" s="1"/>
  <c r="D471" i="1"/>
  <c r="K471" i="1"/>
  <c r="M471" i="1"/>
  <c r="N471" i="1"/>
  <c r="O471" i="1"/>
  <c r="P471" i="1"/>
  <c r="A478" i="1" l="1"/>
  <c r="C478" i="1"/>
  <c r="E478" i="1" s="1"/>
  <c r="D478" i="1"/>
  <c r="K478" i="1"/>
  <c r="M478" i="1"/>
  <c r="N478" i="1"/>
  <c r="O478" i="1"/>
  <c r="P478" i="1"/>
  <c r="A354" i="1" l="1"/>
  <c r="C354" i="1"/>
  <c r="E354" i="1" s="1"/>
  <c r="D354" i="1"/>
  <c r="K354" i="1"/>
  <c r="M354" i="1"/>
  <c r="N354" i="1"/>
  <c r="O354" i="1"/>
  <c r="P354" i="1"/>
  <c r="A353" i="1"/>
  <c r="C353" i="1"/>
  <c r="E353" i="1" s="1"/>
  <c r="D353" i="1"/>
  <c r="K353" i="1"/>
  <c r="M353" i="1"/>
  <c r="N353" i="1"/>
  <c r="O353" i="1"/>
  <c r="P353" i="1"/>
  <c r="A88" i="1"/>
  <c r="C88" i="1"/>
  <c r="E88" i="1" s="1"/>
  <c r="D88" i="1"/>
  <c r="K88" i="1"/>
  <c r="M88" i="1"/>
  <c r="N88" i="1"/>
  <c r="O88" i="1"/>
  <c r="P88" i="1"/>
  <c r="A580" i="1" l="1"/>
  <c r="C580" i="1"/>
  <c r="E580" i="1" s="1"/>
  <c r="D580" i="1"/>
  <c r="K580" i="1"/>
  <c r="M580" i="1"/>
  <c r="N580" i="1"/>
  <c r="O580" i="1"/>
  <c r="P580" i="1"/>
  <c r="A579" i="1"/>
  <c r="C579" i="1"/>
  <c r="E579" i="1" s="1"/>
  <c r="D579" i="1"/>
  <c r="K579" i="1"/>
  <c r="M579" i="1"/>
  <c r="N579" i="1"/>
  <c r="O579" i="1"/>
  <c r="P579" i="1"/>
  <c r="A578" i="1"/>
  <c r="C578" i="1"/>
  <c r="E578" i="1" s="1"/>
  <c r="D578" i="1"/>
  <c r="K578" i="1"/>
  <c r="M578" i="1"/>
  <c r="N578" i="1"/>
  <c r="O578" i="1"/>
  <c r="P578" i="1"/>
  <c r="A577" i="1"/>
  <c r="C577" i="1"/>
  <c r="E577" i="1" s="1"/>
  <c r="D577" i="1"/>
  <c r="K577" i="1"/>
  <c r="M577" i="1"/>
  <c r="N577" i="1"/>
  <c r="O577" i="1"/>
  <c r="P577" i="1"/>
  <c r="A576" i="1"/>
  <c r="C576" i="1"/>
  <c r="E576" i="1" s="1"/>
  <c r="D576" i="1"/>
  <c r="K576" i="1"/>
  <c r="M576" i="1"/>
  <c r="N576" i="1"/>
  <c r="O576" i="1"/>
  <c r="P576" i="1"/>
  <c r="A575" i="1"/>
  <c r="C575" i="1"/>
  <c r="E575" i="1" s="1"/>
  <c r="D575" i="1"/>
  <c r="K575" i="1"/>
  <c r="M575" i="1"/>
  <c r="N575" i="1"/>
  <c r="O575" i="1"/>
  <c r="P575" i="1"/>
  <c r="A574" i="1"/>
  <c r="C574" i="1"/>
  <c r="E574" i="1" s="1"/>
  <c r="D574" i="1"/>
  <c r="K574" i="1"/>
  <c r="M574" i="1"/>
  <c r="N574" i="1"/>
  <c r="O574" i="1"/>
  <c r="P574" i="1"/>
  <c r="H573" i="1"/>
  <c r="A573" i="1"/>
  <c r="C573" i="1"/>
  <c r="E573" i="1" s="1"/>
  <c r="D573" i="1"/>
  <c r="K573" i="1"/>
  <c r="M573" i="1"/>
  <c r="N573" i="1"/>
  <c r="O573" i="1"/>
  <c r="P573" i="1"/>
  <c r="A392" i="6"/>
  <c r="C392" i="6"/>
  <c r="E392" i="6" s="1"/>
  <c r="D392" i="6"/>
  <c r="K392" i="6"/>
  <c r="N392" i="6" s="1"/>
  <c r="O392" i="6" s="1"/>
  <c r="H572" i="1"/>
  <c r="A572" i="1"/>
  <c r="C572" i="1"/>
  <c r="E572" i="1" s="1"/>
  <c r="D572" i="1"/>
  <c r="K572" i="1"/>
  <c r="M572" i="1"/>
  <c r="N572" i="1"/>
  <c r="O572" i="1"/>
  <c r="P572" i="1"/>
  <c r="A391" i="6"/>
  <c r="C391" i="6"/>
  <c r="E391" i="6" s="1"/>
  <c r="D391" i="6"/>
  <c r="K391" i="6"/>
  <c r="N391" i="6" s="1"/>
  <c r="O391" i="6" s="1"/>
  <c r="H571" i="1"/>
  <c r="A571" i="1"/>
  <c r="C571" i="1"/>
  <c r="E571" i="1" s="1"/>
  <c r="D571" i="1"/>
  <c r="K571" i="1"/>
  <c r="M571" i="1"/>
  <c r="N571" i="1"/>
  <c r="O571" i="1"/>
  <c r="P571" i="1"/>
  <c r="H569" i="1"/>
  <c r="H570" i="1"/>
  <c r="A570" i="1"/>
  <c r="C570" i="1"/>
  <c r="E570" i="1" s="1"/>
  <c r="D570" i="1"/>
  <c r="K570" i="1"/>
  <c r="M570" i="1"/>
  <c r="N570" i="1"/>
  <c r="O570" i="1"/>
  <c r="P570" i="1"/>
  <c r="H568" i="1"/>
  <c r="A569" i="1"/>
  <c r="C569" i="1"/>
  <c r="E569" i="1" s="1"/>
  <c r="D569" i="1"/>
  <c r="K569" i="1"/>
  <c r="M569" i="1"/>
  <c r="N569" i="1"/>
  <c r="O569" i="1"/>
  <c r="P569" i="1"/>
  <c r="A568" i="1"/>
  <c r="C568" i="1"/>
  <c r="E568" i="1" s="1"/>
  <c r="D568" i="1"/>
  <c r="K568" i="1"/>
  <c r="M568" i="1"/>
  <c r="N568" i="1"/>
  <c r="O568" i="1"/>
  <c r="P568" i="1"/>
  <c r="H1286" i="1"/>
  <c r="A1286" i="1"/>
  <c r="C1286" i="1"/>
  <c r="E1286" i="1" s="1"/>
  <c r="D1286" i="1"/>
  <c r="K1286" i="1"/>
  <c r="M1286" i="1"/>
  <c r="N1286" i="1"/>
  <c r="O1286" i="1"/>
  <c r="P1286" i="1"/>
  <c r="H1281" i="1"/>
  <c r="F71" i="8" l="1"/>
  <c r="D95" i="8"/>
  <c r="F83" i="8" l="1"/>
  <c r="H1066" i="1" l="1"/>
  <c r="A1066" i="1"/>
  <c r="C1066" i="1"/>
  <c r="E1066" i="1" s="1"/>
  <c r="D1066" i="1"/>
  <c r="K1066" i="1"/>
  <c r="M1066" i="1"/>
  <c r="N1066" i="1"/>
  <c r="O1066" i="1"/>
  <c r="P1066" i="1"/>
  <c r="H202" i="1"/>
  <c r="H51" i="1"/>
  <c r="H49" i="1"/>
  <c r="H87" i="1"/>
  <c r="A87" i="1"/>
  <c r="C87" i="1"/>
  <c r="E87" i="1" s="1"/>
  <c r="D87" i="1"/>
  <c r="K87" i="1"/>
  <c r="M87" i="1"/>
  <c r="N87" i="1"/>
  <c r="O87" i="1"/>
  <c r="P87" i="1"/>
  <c r="A86" i="1"/>
  <c r="C86" i="1"/>
  <c r="E86" i="1" s="1"/>
  <c r="D86" i="1"/>
  <c r="K86" i="1"/>
  <c r="M86" i="1"/>
  <c r="N86" i="1"/>
  <c r="O86" i="1"/>
  <c r="P86" i="1"/>
  <c r="A85" i="1"/>
  <c r="C85" i="1"/>
  <c r="E85" i="1" s="1"/>
  <c r="D85" i="1"/>
  <c r="K85" i="1"/>
  <c r="M85" i="1"/>
  <c r="N85" i="1"/>
  <c r="O85" i="1"/>
  <c r="P85" i="1"/>
  <c r="A82" i="1" l="1"/>
  <c r="C82" i="1"/>
  <c r="E82" i="1" s="1"/>
  <c r="D82" i="1"/>
  <c r="K82" i="1"/>
  <c r="M82" i="1"/>
  <c r="N82" i="1"/>
  <c r="O82" i="1"/>
  <c r="P82" i="1"/>
  <c r="A1279" i="1"/>
  <c r="C1279" i="1"/>
  <c r="E1279" i="1" s="1"/>
  <c r="D1279" i="1"/>
  <c r="K1279" i="1"/>
  <c r="M1279" i="1"/>
  <c r="N1279" i="1"/>
  <c r="O1279" i="1"/>
  <c r="P1279" i="1"/>
  <c r="A1004" i="1"/>
  <c r="C1004" i="1"/>
  <c r="E1004" i="1" s="1"/>
  <c r="D1004" i="1"/>
  <c r="K1004" i="1"/>
  <c r="M1004" i="1"/>
  <c r="N1004" i="1"/>
  <c r="O1004" i="1"/>
  <c r="P1004" i="1"/>
  <c r="A801" i="1"/>
  <c r="C801" i="1"/>
  <c r="E801" i="1" s="1"/>
  <c r="D801" i="1"/>
  <c r="K801" i="1"/>
  <c r="M801" i="1"/>
  <c r="N801" i="1"/>
  <c r="O801" i="1"/>
  <c r="P801" i="1"/>
  <c r="A904" i="1"/>
  <c r="C904" i="1"/>
  <c r="E904" i="1" s="1"/>
  <c r="D904" i="1"/>
  <c r="K904" i="1"/>
  <c r="M904" i="1"/>
  <c r="N904" i="1"/>
  <c r="O904" i="1"/>
  <c r="P904" i="1"/>
  <c r="A1052" i="1"/>
  <c r="C1052" i="1"/>
  <c r="E1052" i="1" s="1"/>
  <c r="D1052" i="1"/>
  <c r="K1052" i="1"/>
  <c r="M1052" i="1"/>
  <c r="N1052" i="1"/>
  <c r="O1052" i="1"/>
  <c r="P1052" i="1"/>
  <c r="A644" i="1"/>
  <c r="C644" i="1"/>
  <c r="E644" i="1" s="1"/>
  <c r="D644" i="1"/>
  <c r="K644" i="1"/>
  <c r="M644" i="1"/>
  <c r="N644" i="1"/>
  <c r="O644" i="1"/>
  <c r="P644" i="1"/>
  <c r="A358" i="1"/>
  <c r="C358" i="1"/>
  <c r="E358" i="1" s="1"/>
  <c r="D358" i="1"/>
  <c r="K358" i="1"/>
  <c r="M358" i="1"/>
  <c r="N358" i="1"/>
  <c r="O358" i="1"/>
  <c r="P358" i="1"/>
  <c r="A357" i="1"/>
  <c r="C357" i="1"/>
  <c r="E357" i="1" s="1"/>
  <c r="D357" i="1"/>
  <c r="K357" i="1"/>
  <c r="M357" i="1"/>
  <c r="N357" i="1"/>
  <c r="O357" i="1"/>
  <c r="P357" i="1"/>
  <c r="A585" i="1"/>
  <c r="C585" i="1"/>
  <c r="E585" i="1" s="1"/>
  <c r="D585" i="1"/>
  <c r="K585" i="1"/>
  <c r="M585" i="1"/>
  <c r="N585" i="1"/>
  <c r="O585" i="1"/>
  <c r="P585" i="1"/>
  <c r="A527" i="1"/>
  <c r="C527" i="1"/>
  <c r="E527" i="1" s="1"/>
  <c r="D527" i="1"/>
  <c r="K527" i="1"/>
  <c r="M527" i="1"/>
  <c r="N527" i="1"/>
  <c r="O527" i="1"/>
  <c r="P527" i="1"/>
  <c r="G94" i="8"/>
  <c r="G93" i="8"/>
  <c r="G92" i="8"/>
  <c r="G91" i="8"/>
  <c r="G90" i="8"/>
  <c r="G89" i="8"/>
  <c r="G88" i="8"/>
  <c r="G87" i="8"/>
  <c r="G86" i="8"/>
  <c r="G85" i="8"/>
  <c r="G81" i="8"/>
  <c r="G80" i="8"/>
  <c r="G79" i="8"/>
  <c r="G78" i="8"/>
  <c r="G77" i="8"/>
  <c r="G76" i="8"/>
  <c r="G75" i="8"/>
  <c r="G73" i="8"/>
  <c r="G72" i="8"/>
  <c r="G70" i="8"/>
  <c r="G69" i="8"/>
  <c r="G68" i="8"/>
  <c r="G67" i="8"/>
  <c r="G66" i="8"/>
  <c r="G64" i="8"/>
  <c r="G62" i="8"/>
  <c r="G61" i="8"/>
  <c r="G60" i="8"/>
  <c r="G58" i="8"/>
  <c r="G57" i="8"/>
  <c r="G55" i="8"/>
  <c r="A526" i="1"/>
  <c r="C526" i="1"/>
  <c r="E526" i="1" s="1"/>
  <c r="D526" i="1"/>
  <c r="K526" i="1"/>
  <c r="M526" i="1"/>
  <c r="N526" i="1"/>
  <c r="O526" i="1"/>
  <c r="P526" i="1"/>
  <c r="A477" i="1"/>
  <c r="C477" i="1"/>
  <c r="E477" i="1" s="1"/>
  <c r="D477" i="1"/>
  <c r="K477" i="1"/>
  <c r="M477" i="1"/>
  <c r="N477" i="1"/>
  <c r="O477" i="1"/>
  <c r="P477" i="1"/>
  <c r="A182" i="1"/>
  <c r="C182" i="1"/>
  <c r="E182" i="1" s="1"/>
  <c r="D182" i="1"/>
  <c r="K182" i="1"/>
  <c r="M182" i="1"/>
  <c r="N182" i="1"/>
  <c r="O182" i="1"/>
  <c r="P182" i="1"/>
  <c r="A132" i="1"/>
  <c r="C132" i="1"/>
  <c r="E132" i="1" s="1"/>
  <c r="D132" i="1"/>
  <c r="K132" i="1"/>
  <c r="M132" i="1"/>
  <c r="N132" i="1"/>
  <c r="O132" i="1"/>
  <c r="P132" i="1"/>
  <c r="G47" i="8"/>
  <c r="A84" i="1"/>
  <c r="C84" i="1"/>
  <c r="E84" i="1" s="1"/>
  <c r="D84" i="1"/>
  <c r="K84" i="1"/>
  <c r="M84" i="1"/>
  <c r="N84" i="1"/>
  <c r="O84" i="1"/>
  <c r="P84" i="1"/>
  <c r="G54" i="8"/>
  <c r="G53" i="8"/>
  <c r="G46" i="8"/>
  <c r="G44" i="8"/>
  <c r="G43" i="8"/>
  <c r="G42" i="8"/>
  <c r="A131" i="1"/>
  <c r="C131" i="1"/>
  <c r="E131" i="1" s="1"/>
  <c r="D131" i="1"/>
  <c r="K131" i="1"/>
  <c r="M131" i="1"/>
  <c r="N131" i="1"/>
  <c r="O131" i="1"/>
  <c r="P131" i="1"/>
  <c r="M390" i="6"/>
  <c r="A390" i="6"/>
  <c r="C390" i="6"/>
  <c r="E390" i="6" s="1"/>
  <c r="D390" i="6"/>
  <c r="K390" i="6"/>
  <c r="N390" i="6" s="1"/>
  <c r="O390" i="6" s="1"/>
  <c r="A95" i="1"/>
  <c r="C95" i="1"/>
  <c r="E95" i="1" s="1"/>
  <c r="D95" i="1"/>
  <c r="K95" i="1"/>
  <c r="M95" i="1"/>
  <c r="N95" i="1"/>
  <c r="O95" i="1"/>
  <c r="P95" i="1"/>
  <c r="A69" i="1"/>
  <c r="C69" i="1"/>
  <c r="E69" i="1" s="1"/>
  <c r="D69" i="1"/>
  <c r="K69" i="1"/>
  <c r="M69" i="1"/>
  <c r="N69" i="1"/>
  <c r="O69" i="1"/>
  <c r="P69" i="1"/>
  <c r="A68" i="1"/>
  <c r="C68" i="1"/>
  <c r="E68" i="1" s="1"/>
  <c r="D68" i="1"/>
  <c r="K68" i="1"/>
  <c r="M68" i="1"/>
  <c r="N68" i="1"/>
  <c r="O68" i="1"/>
  <c r="P68" i="1"/>
  <c r="A67" i="1"/>
  <c r="C67" i="1"/>
  <c r="E67" i="1" s="1"/>
  <c r="D67" i="1"/>
  <c r="K67" i="1"/>
  <c r="M67" i="1"/>
  <c r="N67" i="1"/>
  <c r="O67" i="1"/>
  <c r="P67" i="1"/>
  <c r="A66" i="1"/>
  <c r="C66" i="1"/>
  <c r="E66" i="1" s="1"/>
  <c r="D66" i="1"/>
  <c r="K66" i="1"/>
  <c r="M66" i="1"/>
  <c r="N66" i="1"/>
  <c r="O66" i="1"/>
  <c r="P66" i="1"/>
  <c r="E45" i="8"/>
  <c r="G45" i="8" s="1"/>
  <c r="E52" i="8" l="1"/>
  <c r="G52" i="8" s="1"/>
  <c r="G51" i="8"/>
  <c r="E95" i="8"/>
  <c r="G95" i="8" s="1"/>
  <c r="A9" i="9"/>
  <c r="C9" i="9"/>
  <c r="D9" i="9"/>
  <c r="E9" i="9"/>
  <c r="M9" i="9"/>
  <c r="P9" i="9"/>
  <c r="R9" i="9"/>
  <c r="S9" i="9"/>
  <c r="T9" i="9"/>
  <c r="U9" i="9"/>
  <c r="A1265" i="1" l="1"/>
  <c r="C1265" i="1"/>
  <c r="E1265" i="1" s="1"/>
  <c r="D1265" i="1"/>
  <c r="K1265" i="1"/>
  <c r="M1265" i="1"/>
  <c r="N1265" i="1"/>
  <c r="O1265" i="1"/>
  <c r="P1265" i="1"/>
  <c r="D65" i="8" l="1"/>
  <c r="E65" i="8"/>
  <c r="G65" i="8" s="1"/>
  <c r="E50" i="8"/>
  <c r="G50" i="8" s="1"/>
  <c r="D50" i="8"/>
  <c r="D12" i="8"/>
  <c r="F50" i="8" l="1"/>
  <c r="E8" i="8" l="1"/>
  <c r="E38" i="8"/>
  <c r="G6" i="8"/>
  <c r="A65" i="1"/>
  <c r="C65" i="1"/>
  <c r="E65" i="1" s="1"/>
  <c r="D65" i="1"/>
  <c r="K65" i="1"/>
  <c r="M65" i="1"/>
  <c r="N65" i="1"/>
  <c r="O65" i="1"/>
  <c r="P65" i="1"/>
  <c r="A81" i="1"/>
  <c r="C81" i="1"/>
  <c r="E81" i="1" s="1"/>
  <c r="D81" i="1"/>
  <c r="K81" i="1"/>
  <c r="M81" i="1"/>
  <c r="N81" i="1"/>
  <c r="O81" i="1"/>
  <c r="P81" i="1"/>
  <c r="A80" i="1"/>
  <c r="C80" i="1"/>
  <c r="E80" i="1" s="1"/>
  <c r="D80" i="1"/>
  <c r="K80" i="1"/>
  <c r="M80" i="1"/>
  <c r="N80" i="1"/>
  <c r="O80" i="1"/>
  <c r="P80" i="1"/>
  <c r="E34" i="8"/>
  <c r="F33" i="8"/>
  <c r="E32" i="8"/>
  <c r="E30" i="8"/>
  <c r="A72" i="5"/>
  <c r="C72" i="5"/>
  <c r="E72" i="5" s="1"/>
  <c r="D72" i="5"/>
  <c r="H103" i="1"/>
  <c r="A105" i="1"/>
  <c r="A106" i="1"/>
  <c r="A107" i="1"/>
  <c r="A108" i="1"/>
  <c r="A109" i="1"/>
  <c r="A110" i="1"/>
  <c r="A111" i="1"/>
  <c r="C105" i="1"/>
  <c r="E105" i="1" s="1"/>
  <c r="C106" i="1"/>
  <c r="E106" i="1" s="1"/>
  <c r="C107" i="1"/>
  <c r="E107" i="1" s="1"/>
  <c r="C108" i="1"/>
  <c r="E108" i="1" s="1"/>
  <c r="C109" i="1"/>
  <c r="E109" i="1" s="1"/>
  <c r="C110" i="1"/>
  <c r="E110" i="1" s="1"/>
  <c r="C111" i="1"/>
  <c r="E111" i="1" s="1"/>
  <c r="D105" i="1"/>
  <c r="D106" i="1"/>
  <c r="D107" i="1"/>
  <c r="D108" i="1"/>
  <c r="D109" i="1"/>
  <c r="D110" i="1"/>
  <c r="D111" i="1"/>
  <c r="K105" i="1"/>
  <c r="K106" i="1"/>
  <c r="K107" i="1"/>
  <c r="K108" i="1"/>
  <c r="K109" i="1"/>
  <c r="K110" i="1"/>
  <c r="K111" i="1"/>
  <c r="M105" i="1"/>
  <c r="M106" i="1"/>
  <c r="M107" i="1"/>
  <c r="M108" i="1"/>
  <c r="M109" i="1"/>
  <c r="M110" i="1"/>
  <c r="M111" i="1"/>
  <c r="N105" i="1"/>
  <c r="N106" i="1"/>
  <c r="N107" i="1"/>
  <c r="N108" i="1"/>
  <c r="N109" i="1"/>
  <c r="N110" i="1"/>
  <c r="N111" i="1"/>
  <c r="O105" i="1"/>
  <c r="O106" i="1"/>
  <c r="O107" i="1"/>
  <c r="O108" i="1"/>
  <c r="O109" i="1"/>
  <c r="O110" i="1"/>
  <c r="O111" i="1"/>
  <c r="P105" i="1"/>
  <c r="P106" i="1"/>
  <c r="P107" i="1"/>
  <c r="P108" i="1"/>
  <c r="P109" i="1"/>
  <c r="P110" i="1"/>
  <c r="P111" i="1"/>
  <c r="T2" i="9"/>
  <c r="T3" i="9"/>
  <c r="T4" i="9"/>
  <c r="T5" i="9"/>
  <c r="T6" i="9"/>
  <c r="T7" i="9"/>
  <c r="T8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E15" i="8"/>
  <c r="E14" i="8"/>
  <c r="G14" i="8" s="1"/>
  <c r="E13" i="8"/>
  <c r="G13" i="8" s="1"/>
  <c r="G10" i="8"/>
  <c r="G9" i="8"/>
  <c r="E25" i="8"/>
  <c r="E24" i="8"/>
  <c r="E21" i="8"/>
  <c r="E20" i="8"/>
  <c r="E19" i="8"/>
  <c r="G19" i="8" s="1"/>
  <c r="F94" i="8"/>
  <c r="F93" i="8"/>
  <c r="F92" i="8"/>
  <c r="F91" i="8"/>
  <c r="F90" i="8"/>
  <c r="F89" i="8"/>
  <c r="F88" i="8"/>
  <c r="F87" i="8"/>
  <c r="F86" i="8"/>
  <c r="F85" i="8"/>
  <c r="F81" i="8"/>
  <c r="F80" i="8"/>
  <c r="F79" i="8"/>
  <c r="F78" i="8"/>
  <c r="F77" i="8"/>
  <c r="F76" i="8"/>
  <c r="F75" i="8"/>
  <c r="F73" i="8"/>
  <c r="F72" i="8"/>
  <c r="F70" i="8"/>
  <c r="F69" i="8"/>
  <c r="F68" i="8"/>
  <c r="F67" i="8"/>
  <c r="F66" i="8"/>
  <c r="F65" i="8"/>
  <c r="F64" i="8"/>
  <c r="F62" i="8"/>
  <c r="F61" i="8"/>
  <c r="F60" i="8"/>
  <c r="F58" i="8"/>
  <c r="F57" i="8"/>
  <c r="F55" i="8"/>
  <c r="F54" i="8"/>
  <c r="F53" i="8"/>
  <c r="F51" i="8"/>
  <c r="F49" i="8"/>
  <c r="F47" i="8"/>
  <c r="F46" i="8"/>
  <c r="F45" i="8"/>
  <c r="F44" i="8"/>
  <c r="F43" i="8"/>
  <c r="F42" i="8"/>
  <c r="F41" i="8"/>
  <c r="F29" i="8"/>
  <c r="F23" i="8"/>
  <c r="F16" i="8"/>
  <c r="E82" i="8"/>
  <c r="G82" i="8" s="1"/>
  <c r="E74" i="8"/>
  <c r="G74" i="8" s="1"/>
  <c r="E63" i="8"/>
  <c r="G63" i="8" s="1"/>
  <c r="E59" i="8"/>
  <c r="G59" i="8" s="1"/>
  <c r="E56" i="8"/>
  <c r="G56" i="8" s="1"/>
  <c r="E48" i="8"/>
  <c r="G48" i="8" s="1"/>
  <c r="M1245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390" i="1"/>
  <c r="O910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97" i="1"/>
  <c r="O98" i="1"/>
  <c r="O56" i="1"/>
  <c r="O57" i="1"/>
  <c r="O99" i="1"/>
  <c r="O58" i="1"/>
  <c r="O59" i="1"/>
  <c r="O60" i="1"/>
  <c r="O61" i="1"/>
  <c r="O62" i="1"/>
  <c r="O63" i="1"/>
  <c r="O64" i="1"/>
  <c r="O76" i="1"/>
  <c r="O77" i="1"/>
  <c r="O78" i="1"/>
  <c r="O79" i="1"/>
  <c r="O83" i="1"/>
  <c r="O90" i="1"/>
  <c r="O93" i="1"/>
  <c r="O94" i="1"/>
  <c r="O100" i="1"/>
  <c r="O101" i="1"/>
  <c r="O102" i="1"/>
  <c r="O103" i="1"/>
  <c r="O104" i="1"/>
  <c r="O112" i="1"/>
  <c r="O113" i="1"/>
  <c r="O114" i="1"/>
  <c r="O115" i="1"/>
  <c r="O116" i="1"/>
  <c r="O117" i="1"/>
  <c r="O118" i="1"/>
  <c r="O119" i="1"/>
  <c r="O120" i="1"/>
  <c r="O121" i="1"/>
  <c r="O122" i="1"/>
  <c r="O127" i="1"/>
  <c r="O128" i="1"/>
  <c r="O129" i="1"/>
  <c r="O130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80" i="1"/>
  <c r="O181" i="1"/>
  <c r="O170" i="1"/>
  <c r="O171" i="1"/>
  <c r="O172" i="1"/>
  <c r="O173" i="1"/>
  <c r="O174" i="1"/>
  <c r="O175" i="1"/>
  <c r="O176" i="1"/>
  <c r="O177" i="1"/>
  <c r="O178" i="1"/>
  <c r="O179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5" i="1"/>
  <c r="O203" i="1"/>
  <c r="O204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27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5" i="1"/>
  <c r="O346" i="1"/>
  <c r="O347" i="1"/>
  <c r="O348" i="1"/>
  <c r="O349" i="1"/>
  <c r="O350" i="1"/>
  <c r="O355" i="1"/>
  <c r="O356" i="1"/>
  <c r="O359" i="1"/>
  <c r="O360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6" i="1"/>
  <c r="O387" i="1"/>
  <c r="O381" i="1"/>
  <c r="O382" i="1"/>
  <c r="O383" i="1"/>
  <c r="O384" i="1"/>
  <c r="O385" i="1"/>
  <c r="O391" i="1"/>
  <c r="O392" i="1"/>
  <c r="O393" i="1"/>
  <c r="O397" i="1"/>
  <c r="O394" i="1"/>
  <c r="O395" i="1"/>
  <c r="O396" i="1"/>
  <c r="O399" i="1"/>
  <c r="O400" i="1"/>
  <c r="O407" i="1"/>
  <c r="O408" i="1"/>
  <c r="O401" i="1"/>
  <c r="O402" i="1"/>
  <c r="O403" i="1"/>
  <c r="O404" i="1"/>
  <c r="O405" i="1"/>
  <c r="O406" i="1"/>
  <c r="O411" i="1"/>
  <c r="O412" i="1"/>
  <c r="O413" i="1"/>
  <c r="O414" i="1"/>
  <c r="O415" i="1"/>
  <c r="O416" i="1"/>
  <c r="O420" i="1"/>
  <c r="O421" i="1"/>
  <c r="O422" i="1"/>
  <c r="O423" i="1"/>
  <c r="O424" i="1"/>
  <c r="O425" i="1"/>
  <c r="O429" i="1"/>
  <c r="O430" i="1"/>
  <c r="O426" i="1"/>
  <c r="O427" i="1"/>
  <c r="O428" i="1"/>
  <c r="O431" i="1"/>
  <c r="O432" i="1"/>
  <c r="O433" i="1"/>
  <c r="O434" i="1"/>
  <c r="O444" i="1"/>
  <c r="O445" i="1"/>
  <c r="O435" i="1"/>
  <c r="O436" i="1"/>
  <c r="O437" i="1"/>
  <c r="O438" i="1"/>
  <c r="O439" i="1"/>
  <c r="O440" i="1"/>
  <c r="O441" i="1"/>
  <c r="O442" i="1"/>
  <c r="O443" i="1"/>
  <c r="O446" i="1"/>
  <c r="O453" i="1"/>
  <c r="O454" i="1"/>
  <c r="O447" i="1"/>
  <c r="O448" i="1"/>
  <c r="O449" i="1"/>
  <c r="O450" i="1"/>
  <c r="O451" i="1"/>
  <c r="O452" i="1"/>
  <c r="O456" i="1"/>
  <c r="O461" i="1"/>
  <c r="O457" i="1"/>
  <c r="O458" i="1"/>
  <c r="O459" i="1"/>
  <c r="O460" i="1"/>
  <c r="O463" i="1"/>
  <c r="O464" i="1"/>
  <c r="O465" i="1"/>
  <c r="O466" i="1"/>
  <c r="O467" i="1"/>
  <c r="O468" i="1"/>
  <c r="O469" i="1"/>
  <c r="O470" i="1"/>
  <c r="O473" i="1"/>
  <c r="O474" i="1"/>
  <c r="O475" i="1"/>
  <c r="O476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501" i="1"/>
  <c r="O498" i="1"/>
  <c r="O499" i="1"/>
  <c r="O500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31" i="1"/>
  <c r="O532" i="1"/>
  <c r="O533" i="1"/>
  <c r="O534" i="1"/>
  <c r="O537" i="1"/>
  <c r="O535" i="1"/>
  <c r="O536" i="1"/>
  <c r="O538" i="1"/>
  <c r="O539" i="1"/>
  <c r="O540" i="1"/>
  <c r="O541" i="1"/>
  <c r="O542" i="1"/>
  <c r="O567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81" i="1"/>
  <c r="O582" i="1"/>
  <c r="O583" i="1"/>
  <c r="O584" i="1"/>
  <c r="O586" i="1"/>
  <c r="O587" i="1"/>
  <c r="O588" i="1"/>
  <c r="O589" i="1"/>
  <c r="O590" i="1"/>
  <c r="O591" i="1"/>
  <c r="O592" i="1"/>
  <c r="O593" i="1"/>
  <c r="O616" i="1"/>
  <c r="O617" i="1"/>
  <c r="O618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21" i="1"/>
  <c r="O622" i="1"/>
  <c r="O623" i="1"/>
  <c r="O642" i="1"/>
  <c r="O624" i="1"/>
  <c r="O625" i="1"/>
  <c r="O626" i="1"/>
  <c r="O643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7" i="1"/>
  <c r="O648" i="1"/>
  <c r="O649" i="1"/>
  <c r="O650" i="1"/>
  <c r="O651" i="1"/>
  <c r="O652" i="1"/>
  <c r="O653" i="1"/>
  <c r="O654" i="1"/>
  <c r="O655" i="1"/>
  <c r="O656" i="1"/>
  <c r="O657" i="1"/>
  <c r="O680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1" i="1"/>
  <c r="O682" i="1"/>
  <c r="O683" i="1"/>
  <c r="O684" i="1"/>
  <c r="O685" i="1"/>
  <c r="O686" i="1"/>
  <c r="O687" i="1"/>
  <c r="O709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48" i="1"/>
  <c r="O749" i="1"/>
  <c r="O750" i="1"/>
  <c r="O751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52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97" i="1"/>
  <c r="O798" i="1"/>
  <c r="O799" i="1"/>
  <c r="O800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44" i="1"/>
  <c r="O845" i="1"/>
  <c r="O846" i="1"/>
  <c r="O847" i="1"/>
  <c r="O848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51" i="1"/>
  <c r="O900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901" i="1"/>
  <c r="O902" i="1"/>
  <c r="O867" i="1"/>
  <c r="O868" i="1"/>
  <c r="O903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61" i="1"/>
  <c r="O962" i="1"/>
  <c r="O926" i="1"/>
  <c r="O927" i="1"/>
  <c r="O928" i="1"/>
  <c r="O929" i="1"/>
  <c r="O963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1002" i="1"/>
  <c r="O1003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15" i="1"/>
  <c r="O1016" i="1"/>
  <c r="O1017" i="1"/>
  <c r="O1018" i="1"/>
  <c r="O1019" i="1"/>
  <c r="O1021" i="1"/>
  <c r="O1022" i="1"/>
  <c r="O1044" i="1"/>
  <c r="O1023" i="1"/>
  <c r="O1024" i="1"/>
  <c r="O1025" i="1"/>
  <c r="O1026" i="1"/>
  <c r="O1027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6" i="1"/>
  <c r="O1047" i="1"/>
  <c r="O1048" i="1"/>
  <c r="O1049" i="1"/>
  <c r="O1050" i="1"/>
  <c r="O1051" i="1"/>
  <c r="O1057" i="1"/>
  <c r="O1058" i="1"/>
  <c r="O1059" i="1"/>
  <c r="O1060" i="1"/>
  <c r="O1061" i="1"/>
  <c r="O1062" i="1"/>
  <c r="O1063" i="1"/>
  <c r="O1064" i="1"/>
  <c r="O1065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21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52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3" i="1"/>
  <c r="O1154" i="1"/>
  <c r="O1155" i="1"/>
  <c r="O1156" i="1"/>
  <c r="O1157" i="1"/>
  <c r="O1158" i="1"/>
  <c r="O1159" i="1"/>
  <c r="O1182" i="1"/>
  <c r="O1183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5" i="1"/>
  <c r="O1246" i="1"/>
  <c r="O1247" i="1"/>
  <c r="O1248" i="1"/>
  <c r="O1249" i="1"/>
  <c r="O1250" i="1"/>
  <c r="O1251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80" i="1"/>
  <c r="O1281" i="1"/>
  <c r="O1282" i="1"/>
  <c r="O1283" i="1"/>
  <c r="O1284" i="1"/>
  <c r="O1285" i="1"/>
  <c r="E35" i="8" l="1"/>
  <c r="E26" i="8"/>
  <c r="F5" i="8"/>
  <c r="G5" i="8"/>
  <c r="F31" i="8"/>
  <c r="G31" i="8"/>
  <c r="G24" i="8"/>
  <c r="F37" i="8"/>
  <c r="G37" i="8"/>
  <c r="F25" i="8"/>
  <c r="G25" i="8"/>
  <c r="F38" i="8"/>
  <c r="G38" i="8"/>
  <c r="F21" i="8"/>
  <c r="G21" i="8"/>
  <c r="F32" i="8"/>
  <c r="G32" i="8"/>
  <c r="F20" i="8"/>
  <c r="G20" i="8"/>
  <c r="F30" i="8"/>
  <c r="G30" i="8"/>
  <c r="F34" i="8"/>
  <c r="G34" i="8"/>
  <c r="F8" i="8"/>
  <c r="G8" i="8"/>
  <c r="F24" i="8"/>
  <c r="E12" i="8"/>
  <c r="E96" i="8"/>
  <c r="E39" i="8"/>
  <c r="F6" i="8"/>
  <c r="F9" i="8"/>
  <c r="F10" i="8"/>
  <c r="E22" i="8"/>
  <c r="F19" i="8"/>
  <c r="F15" i="8"/>
  <c r="F14" i="8"/>
  <c r="F13" i="8"/>
  <c r="E17" i="8"/>
  <c r="F11" i="8"/>
  <c r="E7" i="8"/>
  <c r="E18" i="8" l="1"/>
  <c r="F12" i="8"/>
  <c r="G12" i="8"/>
  <c r="E27" i="8"/>
  <c r="H76" i="1" l="1"/>
  <c r="E28" i="8"/>
  <c r="E36" i="8" l="1"/>
  <c r="E40" i="8" s="1"/>
  <c r="A389" i="6"/>
  <c r="C389" i="6"/>
  <c r="E389" i="6" s="1"/>
  <c r="D389" i="6"/>
  <c r="K389" i="6"/>
  <c r="N389" i="6" s="1"/>
  <c r="O389" i="6" s="1"/>
  <c r="A388" i="6"/>
  <c r="C388" i="6"/>
  <c r="E388" i="6" s="1"/>
  <c r="D388" i="6"/>
  <c r="K388" i="6"/>
  <c r="N388" i="6" s="1"/>
  <c r="O388" i="6" s="1"/>
  <c r="A63" i="1"/>
  <c r="A64" i="1"/>
  <c r="C63" i="1"/>
  <c r="E63" i="1" s="1"/>
  <c r="C64" i="1"/>
  <c r="E64" i="1" s="1"/>
  <c r="D63" i="1"/>
  <c r="D64" i="1"/>
  <c r="K63" i="1"/>
  <c r="K64" i="1"/>
  <c r="M63" i="1"/>
  <c r="M64" i="1"/>
  <c r="N63" i="1"/>
  <c r="N64" i="1"/>
  <c r="P63" i="1"/>
  <c r="P64" i="1"/>
  <c r="A350" i="1"/>
  <c r="C350" i="1"/>
  <c r="E350" i="1" s="1"/>
  <c r="D350" i="1"/>
  <c r="K350" i="1"/>
  <c r="M350" i="1"/>
  <c r="N350" i="1"/>
  <c r="P350" i="1"/>
  <c r="A349" i="1"/>
  <c r="C349" i="1"/>
  <c r="E349" i="1" s="1"/>
  <c r="D349" i="1"/>
  <c r="K349" i="1"/>
  <c r="M349" i="1"/>
  <c r="N349" i="1"/>
  <c r="P349" i="1"/>
  <c r="A62" i="1"/>
  <c r="C62" i="1"/>
  <c r="E62" i="1" s="1"/>
  <c r="D62" i="1"/>
  <c r="K62" i="1"/>
  <c r="M62" i="1"/>
  <c r="N62" i="1"/>
  <c r="P62" i="1"/>
  <c r="A60" i="1"/>
  <c r="A61" i="1"/>
  <c r="C60" i="1"/>
  <c r="E60" i="1" s="1"/>
  <c r="C61" i="1"/>
  <c r="E61" i="1" s="1"/>
  <c r="D60" i="1"/>
  <c r="D61" i="1"/>
  <c r="K60" i="1"/>
  <c r="K61" i="1"/>
  <c r="M60" i="1"/>
  <c r="M61" i="1"/>
  <c r="N60" i="1"/>
  <c r="N61" i="1"/>
  <c r="P60" i="1"/>
  <c r="P61" i="1"/>
  <c r="A58" i="1"/>
  <c r="A59" i="1"/>
  <c r="C58" i="1"/>
  <c r="E58" i="1" s="1"/>
  <c r="C59" i="1"/>
  <c r="E59" i="1" s="1"/>
  <c r="D58" i="1"/>
  <c r="D59" i="1"/>
  <c r="K58" i="1"/>
  <c r="K59" i="1"/>
  <c r="M58" i="1"/>
  <c r="M59" i="1"/>
  <c r="N58" i="1"/>
  <c r="N59" i="1"/>
  <c r="P58" i="1"/>
  <c r="P59" i="1"/>
  <c r="A97" i="1"/>
  <c r="A98" i="1"/>
  <c r="A56" i="1"/>
  <c r="A57" i="1"/>
  <c r="A99" i="1"/>
  <c r="C97" i="1"/>
  <c r="E97" i="1" s="1"/>
  <c r="C98" i="1"/>
  <c r="E98" i="1" s="1"/>
  <c r="C56" i="1"/>
  <c r="E56" i="1" s="1"/>
  <c r="C57" i="1"/>
  <c r="E57" i="1" s="1"/>
  <c r="C99" i="1"/>
  <c r="E99" i="1" s="1"/>
  <c r="D97" i="1"/>
  <c r="D98" i="1"/>
  <c r="D56" i="1"/>
  <c r="D57" i="1"/>
  <c r="D99" i="1"/>
  <c r="K97" i="1"/>
  <c r="K98" i="1"/>
  <c r="K56" i="1"/>
  <c r="K57" i="1"/>
  <c r="K99" i="1"/>
  <c r="M97" i="1"/>
  <c r="M98" i="1"/>
  <c r="M56" i="1"/>
  <c r="M57" i="1"/>
  <c r="M99" i="1"/>
  <c r="N97" i="1"/>
  <c r="N98" i="1"/>
  <c r="N56" i="1"/>
  <c r="N57" i="1"/>
  <c r="N99" i="1"/>
  <c r="P97" i="1"/>
  <c r="P98" i="1"/>
  <c r="P56" i="1"/>
  <c r="P57" i="1"/>
  <c r="P99" i="1"/>
  <c r="A49" i="1"/>
  <c r="A50" i="1"/>
  <c r="A51" i="1"/>
  <c r="A52" i="1"/>
  <c r="A53" i="1"/>
  <c r="A54" i="1"/>
  <c r="A55" i="1"/>
  <c r="C49" i="1"/>
  <c r="E49" i="1" s="1"/>
  <c r="C50" i="1"/>
  <c r="E50" i="1" s="1"/>
  <c r="C51" i="1"/>
  <c r="E51" i="1" s="1"/>
  <c r="C52" i="1"/>
  <c r="E52" i="1" s="1"/>
  <c r="C53" i="1"/>
  <c r="E53" i="1" s="1"/>
  <c r="C54" i="1"/>
  <c r="E54" i="1" s="1"/>
  <c r="C55" i="1"/>
  <c r="E55" i="1" s="1"/>
  <c r="D49" i="1"/>
  <c r="D50" i="1"/>
  <c r="D51" i="1"/>
  <c r="D52" i="1"/>
  <c r="D53" i="1"/>
  <c r="D54" i="1"/>
  <c r="D55" i="1"/>
  <c r="K49" i="1"/>
  <c r="K50" i="1"/>
  <c r="K51" i="1"/>
  <c r="K52" i="1"/>
  <c r="K53" i="1"/>
  <c r="K54" i="1"/>
  <c r="K55" i="1"/>
  <c r="M49" i="1"/>
  <c r="M50" i="1"/>
  <c r="M51" i="1"/>
  <c r="M52" i="1"/>
  <c r="M53" i="1"/>
  <c r="M54" i="1"/>
  <c r="M55" i="1"/>
  <c r="N49" i="1"/>
  <c r="N50" i="1"/>
  <c r="N51" i="1"/>
  <c r="N52" i="1"/>
  <c r="N53" i="1"/>
  <c r="N54" i="1"/>
  <c r="N55" i="1"/>
  <c r="P49" i="1"/>
  <c r="P50" i="1"/>
  <c r="P51" i="1"/>
  <c r="P52" i="1"/>
  <c r="P53" i="1"/>
  <c r="P54" i="1"/>
  <c r="P55" i="1"/>
  <c r="A40" i="1"/>
  <c r="A41" i="1"/>
  <c r="A42" i="1"/>
  <c r="A43" i="1"/>
  <c r="A44" i="1"/>
  <c r="A45" i="1"/>
  <c r="A46" i="1"/>
  <c r="A47" i="1"/>
  <c r="A48" i="1"/>
  <c r="C40" i="1"/>
  <c r="E40" i="1" s="1"/>
  <c r="C41" i="1"/>
  <c r="E41" i="1" s="1"/>
  <c r="C42" i="1"/>
  <c r="E42" i="1" s="1"/>
  <c r="C43" i="1"/>
  <c r="E43" i="1" s="1"/>
  <c r="C44" i="1"/>
  <c r="E44" i="1" s="1"/>
  <c r="C45" i="1"/>
  <c r="E45" i="1" s="1"/>
  <c r="C46" i="1"/>
  <c r="E46" i="1" s="1"/>
  <c r="C47" i="1"/>
  <c r="E47" i="1" s="1"/>
  <c r="C48" i="1"/>
  <c r="E48" i="1" s="1"/>
  <c r="D40" i="1"/>
  <c r="D41" i="1"/>
  <c r="D42" i="1"/>
  <c r="D43" i="1"/>
  <c r="D44" i="1"/>
  <c r="D45" i="1"/>
  <c r="D46" i="1"/>
  <c r="D47" i="1"/>
  <c r="D48" i="1"/>
  <c r="K40" i="1"/>
  <c r="K41" i="1"/>
  <c r="K42" i="1"/>
  <c r="K43" i="1"/>
  <c r="K44" i="1"/>
  <c r="K45" i="1"/>
  <c r="K46" i="1"/>
  <c r="K47" i="1"/>
  <c r="K48" i="1"/>
  <c r="M40" i="1"/>
  <c r="M41" i="1"/>
  <c r="M42" i="1"/>
  <c r="M43" i="1"/>
  <c r="M44" i="1"/>
  <c r="M45" i="1"/>
  <c r="M46" i="1"/>
  <c r="M47" i="1"/>
  <c r="M48" i="1"/>
  <c r="N40" i="1"/>
  <c r="N41" i="1"/>
  <c r="N42" i="1"/>
  <c r="N43" i="1"/>
  <c r="N44" i="1"/>
  <c r="N45" i="1"/>
  <c r="N46" i="1"/>
  <c r="N47" i="1"/>
  <c r="N48" i="1"/>
  <c r="P40" i="1"/>
  <c r="P41" i="1"/>
  <c r="P42" i="1"/>
  <c r="P43" i="1"/>
  <c r="P44" i="1"/>
  <c r="P45" i="1"/>
  <c r="P46" i="1"/>
  <c r="P47" i="1"/>
  <c r="P48" i="1"/>
  <c r="A37" i="1"/>
  <c r="A38" i="1"/>
  <c r="A39" i="1"/>
  <c r="C37" i="1"/>
  <c r="E37" i="1" s="1"/>
  <c r="C38" i="1"/>
  <c r="E38" i="1" s="1"/>
  <c r="C39" i="1"/>
  <c r="E39" i="1" s="1"/>
  <c r="D37" i="1"/>
  <c r="D38" i="1"/>
  <c r="D39" i="1"/>
  <c r="K37" i="1"/>
  <c r="K38" i="1"/>
  <c r="K39" i="1"/>
  <c r="M37" i="1"/>
  <c r="M38" i="1"/>
  <c r="M39" i="1"/>
  <c r="N37" i="1"/>
  <c r="N38" i="1"/>
  <c r="N39" i="1"/>
  <c r="P37" i="1"/>
  <c r="P38" i="1"/>
  <c r="P39" i="1"/>
  <c r="A36" i="1"/>
  <c r="C36" i="1"/>
  <c r="E36" i="1" s="1"/>
  <c r="D36" i="1"/>
  <c r="K36" i="1"/>
  <c r="M36" i="1"/>
  <c r="N36" i="1"/>
  <c r="P36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C21" i="1"/>
  <c r="E21" i="1" s="1"/>
  <c r="C22" i="1"/>
  <c r="E22" i="1" s="1"/>
  <c r="C23" i="1"/>
  <c r="E23" i="1" s="1"/>
  <c r="C24" i="1"/>
  <c r="E24" i="1" s="1"/>
  <c r="C25" i="1"/>
  <c r="E25" i="1" s="1"/>
  <c r="C26" i="1"/>
  <c r="E26" i="1" s="1"/>
  <c r="C27" i="1"/>
  <c r="E27" i="1" s="1"/>
  <c r="C28" i="1"/>
  <c r="E28" i="1" s="1"/>
  <c r="C29" i="1"/>
  <c r="E29" i="1" s="1"/>
  <c r="C30" i="1"/>
  <c r="E30" i="1" s="1"/>
  <c r="C31" i="1"/>
  <c r="E31" i="1" s="1"/>
  <c r="C32" i="1"/>
  <c r="E32" i="1" s="1"/>
  <c r="C33" i="1"/>
  <c r="E33" i="1" s="1"/>
  <c r="C34" i="1"/>
  <c r="E34" i="1" s="1"/>
  <c r="C35" i="1"/>
  <c r="E35" i="1" s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H34" i="1"/>
  <c r="H32" i="1"/>
  <c r="H31" i="1"/>
  <c r="H30" i="1"/>
  <c r="H28" i="1"/>
  <c r="H26" i="1"/>
  <c r="H24" i="1"/>
  <c r="H23" i="1"/>
  <c r="H20" i="1" l="1"/>
  <c r="A20" i="1"/>
  <c r="C20" i="1"/>
  <c r="E20" i="1" s="1"/>
  <c r="D20" i="1"/>
  <c r="K20" i="1"/>
  <c r="M20" i="1"/>
  <c r="N20" i="1"/>
  <c r="P20" i="1"/>
  <c r="H19" i="1"/>
  <c r="A19" i="1"/>
  <c r="C19" i="1"/>
  <c r="E19" i="1" s="1"/>
  <c r="D19" i="1"/>
  <c r="K19" i="1"/>
  <c r="M19" i="1"/>
  <c r="N19" i="1"/>
  <c r="P19" i="1"/>
  <c r="A355" i="1" l="1"/>
  <c r="C355" i="1"/>
  <c r="E355" i="1" s="1"/>
  <c r="D355" i="1"/>
  <c r="K355" i="1"/>
  <c r="M355" i="1"/>
  <c r="N355" i="1"/>
  <c r="P355" i="1"/>
  <c r="A356" i="1"/>
  <c r="C356" i="1"/>
  <c r="E356" i="1" s="1"/>
  <c r="D356" i="1"/>
  <c r="K356" i="1"/>
  <c r="M356" i="1"/>
  <c r="N356" i="1"/>
  <c r="P356" i="1"/>
  <c r="A360" i="1" l="1"/>
  <c r="C360" i="1"/>
  <c r="E360" i="1" s="1"/>
  <c r="D360" i="1"/>
  <c r="K360" i="1"/>
  <c r="M360" i="1"/>
  <c r="N360" i="1"/>
  <c r="P360" i="1"/>
  <c r="A359" i="1"/>
  <c r="C359" i="1"/>
  <c r="E359" i="1" s="1"/>
  <c r="D359" i="1"/>
  <c r="K359" i="1"/>
  <c r="M359" i="1"/>
  <c r="N359" i="1"/>
  <c r="P359" i="1"/>
  <c r="H1097" i="1"/>
  <c r="H245" i="1" l="1"/>
  <c r="A245" i="1"/>
  <c r="C245" i="1"/>
  <c r="E245" i="1" s="1"/>
  <c r="D245" i="1"/>
  <c r="K245" i="1"/>
  <c r="M245" i="1"/>
  <c r="N245" i="1"/>
  <c r="P245" i="1"/>
  <c r="A122" i="1"/>
  <c r="C122" i="1"/>
  <c r="E122" i="1" s="1"/>
  <c r="D122" i="1"/>
  <c r="K122" i="1"/>
  <c r="M122" i="1"/>
  <c r="N122" i="1"/>
  <c r="P122" i="1"/>
  <c r="A121" i="1"/>
  <c r="C121" i="1"/>
  <c r="E121" i="1" s="1"/>
  <c r="D121" i="1"/>
  <c r="K121" i="1"/>
  <c r="M121" i="1"/>
  <c r="N121" i="1"/>
  <c r="P121" i="1"/>
  <c r="A77" i="1"/>
  <c r="C77" i="1"/>
  <c r="E77" i="1" s="1"/>
  <c r="D77" i="1"/>
  <c r="K77" i="1"/>
  <c r="M77" i="1"/>
  <c r="N77" i="1"/>
  <c r="P77" i="1"/>
  <c r="A382" i="6" l="1"/>
  <c r="A383" i="6"/>
  <c r="A384" i="6"/>
  <c r="A385" i="6"/>
  <c r="A386" i="6"/>
  <c r="A387" i="6"/>
  <c r="C382" i="6"/>
  <c r="E382" i="6" s="1"/>
  <c r="C383" i="6"/>
  <c r="E383" i="6" s="1"/>
  <c r="C384" i="6"/>
  <c r="E384" i="6" s="1"/>
  <c r="C385" i="6"/>
  <c r="E385" i="6" s="1"/>
  <c r="C386" i="6"/>
  <c r="E386" i="6" s="1"/>
  <c r="C387" i="6"/>
  <c r="E387" i="6" s="1"/>
  <c r="D382" i="6"/>
  <c r="D383" i="6"/>
  <c r="D384" i="6"/>
  <c r="D385" i="6"/>
  <c r="D386" i="6"/>
  <c r="D387" i="6"/>
  <c r="K382" i="6"/>
  <c r="N382" i="6" s="1"/>
  <c r="O382" i="6" s="1"/>
  <c r="K383" i="6"/>
  <c r="N383" i="6" s="1"/>
  <c r="O383" i="6" s="1"/>
  <c r="K384" i="6"/>
  <c r="N384" i="6" s="1"/>
  <c r="O384" i="6" s="1"/>
  <c r="K385" i="6"/>
  <c r="N385" i="6" s="1"/>
  <c r="O385" i="6" s="1"/>
  <c r="K386" i="6"/>
  <c r="N386" i="6" s="1"/>
  <c r="O386" i="6" s="1"/>
  <c r="K387" i="6"/>
  <c r="N387" i="6" s="1"/>
  <c r="O387" i="6" s="1"/>
  <c r="A277" i="1"/>
  <c r="C277" i="1"/>
  <c r="E277" i="1" s="1"/>
  <c r="D277" i="1"/>
  <c r="K277" i="1"/>
  <c r="M277" i="1"/>
  <c r="N277" i="1"/>
  <c r="P277" i="1"/>
  <c r="A268" i="1"/>
  <c r="A269" i="1"/>
  <c r="A270" i="1"/>
  <c r="A271" i="1"/>
  <c r="A272" i="1"/>
  <c r="A273" i="1"/>
  <c r="A274" i="1"/>
  <c r="A275" i="1"/>
  <c r="A276" i="1"/>
  <c r="C268" i="1"/>
  <c r="E268" i="1" s="1"/>
  <c r="C269" i="1"/>
  <c r="E269" i="1" s="1"/>
  <c r="C270" i="1"/>
  <c r="E270" i="1" s="1"/>
  <c r="C271" i="1"/>
  <c r="E271" i="1" s="1"/>
  <c r="C272" i="1"/>
  <c r="E272" i="1" s="1"/>
  <c r="C273" i="1"/>
  <c r="E273" i="1" s="1"/>
  <c r="C274" i="1"/>
  <c r="E274" i="1" s="1"/>
  <c r="C275" i="1"/>
  <c r="E275" i="1" s="1"/>
  <c r="C276" i="1"/>
  <c r="E276" i="1" s="1"/>
  <c r="D268" i="1"/>
  <c r="D269" i="1"/>
  <c r="D270" i="1"/>
  <c r="D271" i="1"/>
  <c r="D272" i="1"/>
  <c r="D273" i="1"/>
  <c r="D274" i="1"/>
  <c r="D275" i="1"/>
  <c r="D276" i="1"/>
  <c r="K268" i="1"/>
  <c r="K269" i="1"/>
  <c r="K270" i="1"/>
  <c r="K271" i="1"/>
  <c r="K272" i="1"/>
  <c r="K273" i="1"/>
  <c r="K274" i="1"/>
  <c r="K275" i="1"/>
  <c r="K276" i="1"/>
  <c r="M268" i="1"/>
  <c r="M269" i="1"/>
  <c r="M270" i="1"/>
  <c r="M271" i="1"/>
  <c r="M272" i="1"/>
  <c r="M273" i="1"/>
  <c r="M274" i="1"/>
  <c r="M275" i="1"/>
  <c r="M276" i="1"/>
  <c r="N268" i="1"/>
  <c r="N269" i="1"/>
  <c r="N270" i="1"/>
  <c r="N271" i="1"/>
  <c r="N272" i="1"/>
  <c r="N273" i="1"/>
  <c r="N274" i="1"/>
  <c r="N275" i="1"/>
  <c r="N276" i="1"/>
  <c r="P268" i="1"/>
  <c r="P269" i="1"/>
  <c r="P270" i="1"/>
  <c r="P271" i="1"/>
  <c r="P272" i="1"/>
  <c r="P273" i="1"/>
  <c r="P274" i="1"/>
  <c r="P275" i="1"/>
  <c r="P276" i="1"/>
  <c r="A257" i="1"/>
  <c r="A258" i="1"/>
  <c r="A8" i="1"/>
  <c r="A259" i="1"/>
  <c r="A260" i="1"/>
  <c r="A261" i="1"/>
  <c r="A262" i="1"/>
  <c r="A263" i="1"/>
  <c r="A264" i="1"/>
  <c r="A265" i="1"/>
  <c r="C257" i="1"/>
  <c r="E257" i="1" s="1"/>
  <c r="C258" i="1"/>
  <c r="E258" i="1" s="1"/>
  <c r="C8" i="1"/>
  <c r="E8" i="1" s="1"/>
  <c r="C259" i="1"/>
  <c r="E259" i="1" s="1"/>
  <c r="C260" i="1"/>
  <c r="E260" i="1" s="1"/>
  <c r="C261" i="1"/>
  <c r="E261" i="1" s="1"/>
  <c r="C262" i="1"/>
  <c r="E262" i="1" s="1"/>
  <c r="C263" i="1"/>
  <c r="E263" i="1" s="1"/>
  <c r="C264" i="1"/>
  <c r="E264" i="1" s="1"/>
  <c r="C265" i="1"/>
  <c r="E265" i="1" s="1"/>
  <c r="D257" i="1"/>
  <c r="D258" i="1"/>
  <c r="D8" i="1"/>
  <c r="D259" i="1"/>
  <c r="D260" i="1"/>
  <c r="D261" i="1"/>
  <c r="D262" i="1"/>
  <c r="D263" i="1"/>
  <c r="D264" i="1"/>
  <c r="D265" i="1"/>
  <c r="K257" i="1"/>
  <c r="K258" i="1"/>
  <c r="K8" i="1"/>
  <c r="K259" i="1"/>
  <c r="K260" i="1"/>
  <c r="K261" i="1"/>
  <c r="K262" i="1"/>
  <c r="K263" i="1"/>
  <c r="K264" i="1"/>
  <c r="K265" i="1"/>
  <c r="M257" i="1"/>
  <c r="M258" i="1"/>
  <c r="M8" i="1"/>
  <c r="M259" i="1"/>
  <c r="M260" i="1"/>
  <c r="M261" i="1"/>
  <c r="M262" i="1"/>
  <c r="M263" i="1"/>
  <c r="M264" i="1"/>
  <c r="M265" i="1"/>
  <c r="N257" i="1"/>
  <c r="N258" i="1"/>
  <c r="N8" i="1"/>
  <c r="N259" i="1"/>
  <c r="N260" i="1"/>
  <c r="N261" i="1"/>
  <c r="N262" i="1"/>
  <c r="N263" i="1"/>
  <c r="N264" i="1"/>
  <c r="N265" i="1"/>
  <c r="P257" i="1"/>
  <c r="P258" i="1"/>
  <c r="P8" i="1"/>
  <c r="P259" i="1"/>
  <c r="P260" i="1"/>
  <c r="P261" i="1"/>
  <c r="P262" i="1"/>
  <c r="P263" i="1"/>
  <c r="P264" i="1"/>
  <c r="P265" i="1"/>
  <c r="A267" i="1"/>
  <c r="C267" i="1"/>
  <c r="E267" i="1" s="1"/>
  <c r="D267" i="1"/>
  <c r="K267" i="1"/>
  <c r="M267" i="1"/>
  <c r="N267" i="1"/>
  <c r="P267" i="1"/>
  <c r="A298" i="1"/>
  <c r="C298" i="1"/>
  <c r="E298" i="1" s="1"/>
  <c r="D298" i="1"/>
  <c r="K298" i="1"/>
  <c r="M298" i="1"/>
  <c r="N298" i="1"/>
  <c r="P298" i="1"/>
  <c r="A297" i="1"/>
  <c r="C297" i="1"/>
  <c r="E297" i="1" s="1"/>
  <c r="D297" i="1"/>
  <c r="K297" i="1"/>
  <c r="M297" i="1"/>
  <c r="N297" i="1"/>
  <c r="P297" i="1"/>
  <c r="H299" i="1"/>
  <c r="A299" i="1"/>
  <c r="C299" i="1"/>
  <c r="E299" i="1" s="1"/>
  <c r="D299" i="1"/>
  <c r="K299" i="1"/>
  <c r="M299" i="1"/>
  <c r="N299" i="1"/>
  <c r="P299" i="1"/>
  <c r="H130" i="1"/>
  <c r="A130" i="1"/>
  <c r="C130" i="1"/>
  <c r="E130" i="1" s="1"/>
  <c r="D130" i="1"/>
  <c r="K130" i="1"/>
  <c r="M130" i="1"/>
  <c r="N130" i="1"/>
  <c r="P130" i="1"/>
  <c r="A129" i="1"/>
  <c r="C129" i="1"/>
  <c r="E129" i="1" s="1"/>
  <c r="D129" i="1"/>
  <c r="K129" i="1"/>
  <c r="M129" i="1"/>
  <c r="N129" i="1"/>
  <c r="P129" i="1"/>
  <c r="H128" i="1"/>
  <c r="A128" i="1"/>
  <c r="C128" i="1"/>
  <c r="E128" i="1" s="1"/>
  <c r="D128" i="1"/>
  <c r="K128" i="1"/>
  <c r="M128" i="1"/>
  <c r="N128" i="1"/>
  <c r="P128" i="1"/>
  <c r="A127" i="1"/>
  <c r="C127" i="1"/>
  <c r="E127" i="1" s="1"/>
  <c r="D127" i="1"/>
  <c r="K127" i="1"/>
  <c r="M127" i="1"/>
  <c r="N127" i="1"/>
  <c r="P127" i="1"/>
  <c r="A366" i="6" l="1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C366" i="6"/>
  <c r="E366" i="6" s="1"/>
  <c r="C367" i="6"/>
  <c r="E367" i="6" s="1"/>
  <c r="C368" i="6"/>
  <c r="E368" i="6" s="1"/>
  <c r="C369" i="6"/>
  <c r="E369" i="6" s="1"/>
  <c r="C370" i="6"/>
  <c r="E370" i="6" s="1"/>
  <c r="C371" i="6"/>
  <c r="E371" i="6" s="1"/>
  <c r="C372" i="6"/>
  <c r="E372" i="6" s="1"/>
  <c r="C373" i="6"/>
  <c r="E373" i="6" s="1"/>
  <c r="C374" i="6"/>
  <c r="E374" i="6" s="1"/>
  <c r="C375" i="6"/>
  <c r="E375" i="6" s="1"/>
  <c r="C376" i="6"/>
  <c r="E376" i="6" s="1"/>
  <c r="C377" i="6"/>
  <c r="E377" i="6" s="1"/>
  <c r="C378" i="6"/>
  <c r="E378" i="6" s="1"/>
  <c r="C379" i="6"/>
  <c r="E379" i="6" s="1"/>
  <c r="C380" i="6"/>
  <c r="E380" i="6" s="1"/>
  <c r="C381" i="6"/>
  <c r="E381" i="6" s="1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K366" i="6"/>
  <c r="N366" i="6" s="1"/>
  <c r="O366" i="6" s="1"/>
  <c r="K367" i="6"/>
  <c r="N367" i="6" s="1"/>
  <c r="O367" i="6" s="1"/>
  <c r="K368" i="6"/>
  <c r="N368" i="6" s="1"/>
  <c r="O368" i="6" s="1"/>
  <c r="K369" i="6"/>
  <c r="N369" i="6" s="1"/>
  <c r="O369" i="6" s="1"/>
  <c r="K370" i="6"/>
  <c r="N370" i="6" s="1"/>
  <c r="O370" i="6" s="1"/>
  <c r="K371" i="6"/>
  <c r="N371" i="6" s="1"/>
  <c r="O371" i="6" s="1"/>
  <c r="K372" i="6"/>
  <c r="N372" i="6" s="1"/>
  <c r="O372" i="6" s="1"/>
  <c r="K373" i="6"/>
  <c r="N373" i="6" s="1"/>
  <c r="O373" i="6" s="1"/>
  <c r="K374" i="6"/>
  <c r="N374" i="6" s="1"/>
  <c r="O374" i="6" s="1"/>
  <c r="K375" i="6"/>
  <c r="N375" i="6" s="1"/>
  <c r="O375" i="6" s="1"/>
  <c r="K376" i="6"/>
  <c r="N376" i="6" s="1"/>
  <c r="O376" i="6" s="1"/>
  <c r="K377" i="6"/>
  <c r="N377" i="6" s="1"/>
  <c r="O377" i="6" s="1"/>
  <c r="K378" i="6"/>
  <c r="N378" i="6" s="1"/>
  <c r="O378" i="6" s="1"/>
  <c r="K379" i="6"/>
  <c r="N379" i="6" s="1"/>
  <c r="O379" i="6" s="1"/>
  <c r="K380" i="6"/>
  <c r="N380" i="6" s="1"/>
  <c r="O380" i="6" s="1"/>
  <c r="K381" i="6"/>
  <c r="N381" i="6" s="1"/>
  <c r="O381" i="6" s="1"/>
  <c r="A69" i="5"/>
  <c r="A70" i="5"/>
  <c r="A71" i="5"/>
  <c r="C69" i="5"/>
  <c r="E69" i="5" s="1"/>
  <c r="C70" i="5"/>
  <c r="E70" i="5" s="1"/>
  <c r="C71" i="5"/>
  <c r="E71" i="5" s="1"/>
  <c r="D69" i="5"/>
  <c r="D70" i="5"/>
  <c r="D71" i="5"/>
  <c r="A814" i="1"/>
  <c r="C814" i="1"/>
  <c r="E814" i="1" s="1"/>
  <c r="D814" i="1"/>
  <c r="K814" i="1"/>
  <c r="M814" i="1"/>
  <c r="N814" i="1"/>
  <c r="P814" i="1"/>
  <c r="A841" i="1"/>
  <c r="A842" i="1"/>
  <c r="A843" i="1"/>
  <c r="C841" i="1"/>
  <c r="E841" i="1" s="1"/>
  <c r="C842" i="1"/>
  <c r="E842" i="1" s="1"/>
  <c r="C843" i="1"/>
  <c r="E843" i="1" s="1"/>
  <c r="D841" i="1"/>
  <c r="D842" i="1"/>
  <c r="D843" i="1"/>
  <c r="K841" i="1"/>
  <c r="K842" i="1"/>
  <c r="K843" i="1"/>
  <c r="M841" i="1"/>
  <c r="M842" i="1"/>
  <c r="M843" i="1"/>
  <c r="N841" i="1"/>
  <c r="N842" i="1"/>
  <c r="N843" i="1"/>
  <c r="P841" i="1"/>
  <c r="P842" i="1"/>
  <c r="P843" i="1"/>
  <c r="A836" i="1"/>
  <c r="A837" i="1"/>
  <c r="A838" i="1"/>
  <c r="A839" i="1"/>
  <c r="A840" i="1"/>
  <c r="C836" i="1"/>
  <c r="E836" i="1" s="1"/>
  <c r="C837" i="1"/>
  <c r="E837" i="1" s="1"/>
  <c r="C838" i="1"/>
  <c r="E838" i="1" s="1"/>
  <c r="C839" i="1"/>
  <c r="E839" i="1" s="1"/>
  <c r="C840" i="1"/>
  <c r="E840" i="1" s="1"/>
  <c r="D836" i="1"/>
  <c r="D837" i="1"/>
  <c r="D838" i="1"/>
  <c r="D839" i="1"/>
  <c r="D840" i="1"/>
  <c r="K836" i="1"/>
  <c r="K837" i="1"/>
  <c r="K838" i="1"/>
  <c r="K839" i="1"/>
  <c r="K840" i="1"/>
  <c r="M836" i="1"/>
  <c r="M837" i="1"/>
  <c r="M838" i="1"/>
  <c r="M839" i="1"/>
  <c r="M840" i="1"/>
  <c r="N836" i="1"/>
  <c r="N837" i="1"/>
  <c r="N838" i="1"/>
  <c r="N839" i="1"/>
  <c r="N840" i="1"/>
  <c r="P836" i="1"/>
  <c r="P837" i="1"/>
  <c r="P838" i="1"/>
  <c r="P839" i="1"/>
  <c r="P840" i="1"/>
  <c r="A832" i="1"/>
  <c r="A833" i="1"/>
  <c r="A834" i="1"/>
  <c r="A835" i="1"/>
  <c r="C832" i="1"/>
  <c r="E832" i="1" s="1"/>
  <c r="C833" i="1"/>
  <c r="E833" i="1" s="1"/>
  <c r="C834" i="1"/>
  <c r="E834" i="1" s="1"/>
  <c r="C835" i="1"/>
  <c r="E835" i="1" s="1"/>
  <c r="D832" i="1"/>
  <c r="D833" i="1"/>
  <c r="D834" i="1"/>
  <c r="D835" i="1"/>
  <c r="K832" i="1"/>
  <c r="K833" i="1"/>
  <c r="K834" i="1"/>
  <c r="K835" i="1"/>
  <c r="M832" i="1"/>
  <c r="M833" i="1"/>
  <c r="M834" i="1"/>
  <c r="M835" i="1"/>
  <c r="N832" i="1"/>
  <c r="N833" i="1"/>
  <c r="N834" i="1"/>
  <c r="N835" i="1"/>
  <c r="P832" i="1"/>
  <c r="P833" i="1"/>
  <c r="P834" i="1"/>
  <c r="P835" i="1"/>
  <c r="A831" i="1"/>
  <c r="C831" i="1"/>
  <c r="E831" i="1" s="1"/>
  <c r="D831" i="1"/>
  <c r="K831" i="1"/>
  <c r="M831" i="1"/>
  <c r="N831" i="1"/>
  <c r="P831" i="1"/>
  <c r="A828" i="1"/>
  <c r="A829" i="1"/>
  <c r="A830" i="1"/>
  <c r="C828" i="1"/>
  <c r="E828" i="1" s="1"/>
  <c r="C829" i="1"/>
  <c r="E829" i="1" s="1"/>
  <c r="C830" i="1"/>
  <c r="E830" i="1" s="1"/>
  <c r="D828" i="1"/>
  <c r="D829" i="1"/>
  <c r="D830" i="1"/>
  <c r="K828" i="1"/>
  <c r="K829" i="1"/>
  <c r="K830" i="1"/>
  <c r="M828" i="1"/>
  <c r="M829" i="1"/>
  <c r="M830" i="1"/>
  <c r="N828" i="1"/>
  <c r="N829" i="1"/>
  <c r="N830" i="1"/>
  <c r="P828" i="1"/>
  <c r="P829" i="1"/>
  <c r="P830" i="1"/>
  <c r="A844" i="1"/>
  <c r="A845" i="1"/>
  <c r="A846" i="1"/>
  <c r="A847" i="1"/>
  <c r="A848" i="1"/>
  <c r="C844" i="1"/>
  <c r="E844" i="1" s="1"/>
  <c r="C845" i="1"/>
  <c r="E845" i="1" s="1"/>
  <c r="C846" i="1"/>
  <c r="E846" i="1" s="1"/>
  <c r="C847" i="1"/>
  <c r="E847" i="1" s="1"/>
  <c r="C848" i="1"/>
  <c r="E848" i="1" s="1"/>
  <c r="D844" i="1"/>
  <c r="D845" i="1"/>
  <c r="D846" i="1"/>
  <c r="D847" i="1"/>
  <c r="D848" i="1"/>
  <c r="K844" i="1"/>
  <c r="K845" i="1"/>
  <c r="K846" i="1"/>
  <c r="K847" i="1"/>
  <c r="K848" i="1"/>
  <c r="M844" i="1"/>
  <c r="M845" i="1"/>
  <c r="M846" i="1"/>
  <c r="M847" i="1"/>
  <c r="M848" i="1"/>
  <c r="N844" i="1"/>
  <c r="N845" i="1"/>
  <c r="N846" i="1"/>
  <c r="N847" i="1"/>
  <c r="N848" i="1"/>
  <c r="P844" i="1"/>
  <c r="P845" i="1"/>
  <c r="P846" i="1"/>
  <c r="P847" i="1"/>
  <c r="P848" i="1"/>
  <c r="A826" i="1"/>
  <c r="A827" i="1"/>
  <c r="C826" i="1"/>
  <c r="E826" i="1" s="1"/>
  <c r="C827" i="1"/>
  <c r="E827" i="1" s="1"/>
  <c r="D826" i="1"/>
  <c r="D827" i="1"/>
  <c r="K826" i="1"/>
  <c r="K827" i="1"/>
  <c r="M826" i="1"/>
  <c r="M827" i="1"/>
  <c r="N826" i="1"/>
  <c r="N827" i="1"/>
  <c r="P826" i="1"/>
  <c r="P827" i="1"/>
  <c r="A804" i="1"/>
  <c r="A805" i="1"/>
  <c r="A806" i="1"/>
  <c r="A807" i="1"/>
  <c r="A808" i="1"/>
  <c r="A809" i="1"/>
  <c r="A810" i="1"/>
  <c r="A811" i="1"/>
  <c r="A812" i="1"/>
  <c r="A813" i="1"/>
  <c r="C804" i="1"/>
  <c r="C805" i="1"/>
  <c r="E805" i="1" s="1"/>
  <c r="C806" i="1"/>
  <c r="E806" i="1" s="1"/>
  <c r="C807" i="1"/>
  <c r="E807" i="1" s="1"/>
  <c r="C808" i="1"/>
  <c r="E808" i="1" s="1"/>
  <c r="C809" i="1"/>
  <c r="E809" i="1" s="1"/>
  <c r="C810" i="1"/>
  <c r="E810" i="1" s="1"/>
  <c r="C811" i="1"/>
  <c r="E811" i="1" s="1"/>
  <c r="C812" i="1"/>
  <c r="E812" i="1" s="1"/>
  <c r="C813" i="1"/>
  <c r="E813" i="1" s="1"/>
  <c r="D804" i="1"/>
  <c r="D805" i="1"/>
  <c r="D806" i="1"/>
  <c r="D807" i="1"/>
  <c r="D808" i="1"/>
  <c r="D809" i="1"/>
  <c r="D810" i="1"/>
  <c r="D811" i="1"/>
  <c r="D812" i="1"/>
  <c r="D813" i="1"/>
  <c r="E804" i="1"/>
  <c r="K804" i="1"/>
  <c r="K805" i="1"/>
  <c r="K806" i="1"/>
  <c r="K807" i="1"/>
  <c r="K808" i="1"/>
  <c r="K809" i="1"/>
  <c r="K810" i="1"/>
  <c r="K811" i="1"/>
  <c r="K812" i="1"/>
  <c r="K813" i="1"/>
  <c r="M804" i="1"/>
  <c r="M805" i="1"/>
  <c r="M806" i="1"/>
  <c r="M807" i="1"/>
  <c r="M808" i="1"/>
  <c r="M809" i="1"/>
  <c r="M810" i="1"/>
  <c r="M811" i="1"/>
  <c r="M812" i="1"/>
  <c r="M813" i="1"/>
  <c r="N804" i="1"/>
  <c r="N805" i="1"/>
  <c r="N806" i="1"/>
  <c r="N807" i="1"/>
  <c r="N808" i="1"/>
  <c r="N809" i="1"/>
  <c r="N810" i="1"/>
  <c r="N811" i="1"/>
  <c r="N812" i="1"/>
  <c r="N813" i="1"/>
  <c r="P804" i="1"/>
  <c r="P805" i="1"/>
  <c r="P806" i="1"/>
  <c r="P807" i="1"/>
  <c r="P808" i="1"/>
  <c r="P809" i="1"/>
  <c r="P810" i="1"/>
  <c r="P811" i="1"/>
  <c r="P812" i="1"/>
  <c r="P813" i="1"/>
  <c r="A825" i="1"/>
  <c r="C825" i="1"/>
  <c r="E825" i="1" s="1"/>
  <c r="D825" i="1"/>
  <c r="K825" i="1"/>
  <c r="M825" i="1"/>
  <c r="N825" i="1"/>
  <c r="P825" i="1"/>
  <c r="A815" i="1"/>
  <c r="A816" i="1"/>
  <c r="A817" i="1"/>
  <c r="A818" i="1"/>
  <c r="A819" i="1"/>
  <c r="A820" i="1"/>
  <c r="A821" i="1"/>
  <c r="A822" i="1"/>
  <c r="A823" i="1"/>
  <c r="A824" i="1"/>
  <c r="C815" i="1"/>
  <c r="C816" i="1"/>
  <c r="E816" i="1" s="1"/>
  <c r="C817" i="1"/>
  <c r="E817" i="1" s="1"/>
  <c r="C818" i="1"/>
  <c r="E818" i="1" s="1"/>
  <c r="C819" i="1"/>
  <c r="E819" i="1" s="1"/>
  <c r="C820" i="1"/>
  <c r="E820" i="1" s="1"/>
  <c r="C821" i="1"/>
  <c r="E821" i="1" s="1"/>
  <c r="C822" i="1"/>
  <c r="E822" i="1" s="1"/>
  <c r="C823" i="1"/>
  <c r="E823" i="1" s="1"/>
  <c r="C824" i="1"/>
  <c r="E824" i="1" s="1"/>
  <c r="D815" i="1"/>
  <c r="D816" i="1"/>
  <c r="D817" i="1"/>
  <c r="D818" i="1"/>
  <c r="D819" i="1"/>
  <c r="D820" i="1"/>
  <c r="D821" i="1"/>
  <c r="D822" i="1"/>
  <c r="D823" i="1"/>
  <c r="D824" i="1"/>
  <c r="E815" i="1"/>
  <c r="K815" i="1"/>
  <c r="K816" i="1"/>
  <c r="K817" i="1"/>
  <c r="K818" i="1"/>
  <c r="K819" i="1"/>
  <c r="K820" i="1"/>
  <c r="K821" i="1"/>
  <c r="K822" i="1"/>
  <c r="K823" i="1"/>
  <c r="K824" i="1"/>
  <c r="M815" i="1"/>
  <c r="M816" i="1"/>
  <c r="M817" i="1"/>
  <c r="M818" i="1"/>
  <c r="M819" i="1"/>
  <c r="M820" i="1"/>
  <c r="M821" i="1"/>
  <c r="M822" i="1"/>
  <c r="M823" i="1"/>
  <c r="M824" i="1"/>
  <c r="N815" i="1"/>
  <c r="N816" i="1"/>
  <c r="N817" i="1"/>
  <c r="N818" i="1"/>
  <c r="N819" i="1"/>
  <c r="N820" i="1"/>
  <c r="N821" i="1"/>
  <c r="N822" i="1"/>
  <c r="N823" i="1"/>
  <c r="N824" i="1"/>
  <c r="P815" i="1"/>
  <c r="P816" i="1"/>
  <c r="P817" i="1"/>
  <c r="P818" i="1"/>
  <c r="P819" i="1"/>
  <c r="P820" i="1"/>
  <c r="P821" i="1"/>
  <c r="P822" i="1"/>
  <c r="P823" i="1"/>
  <c r="P824" i="1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C350" i="6"/>
  <c r="E350" i="6" s="1"/>
  <c r="C351" i="6"/>
  <c r="E351" i="6" s="1"/>
  <c r="C352" i="6"/>
  <c r="E352" i="6" s="1"/>
  <c r="C353" i="6"/>
  <c r="E353" i="6" s="1"/>
  <c r="C354" i="6"/>
  <c r="E354" i="6" s="1"/>
  <c r="C355" i="6"/>
  <c r="E355" i="6" s="1"/>
  <c r="C356" i="6"/>
  <c r="E356" i="6" s="1"/>
  <c r="C357" i="6"/>
  <c r="E357" i="6" s="1"/>
  <c r="C358" i="6"/>
  <c r="E358" i="6" s="1"/>
  <c r="C359" i="6"/>
  <c r="E359" i="6" s="1"/>
  <c r="C360" i="6"/>
  <c r="E360" i="6" s="1"/>
  <c r="C361" i="6"/>
  <c r="E361" i="6" s="1"/>
  <c r="C362" i="6"/>
  <c r="E362" i="6" s="1"/>
  <c r="C363" i="6"/>
  <c r="E363" i="6" s="1"/>
  <c r="C364" i="6"/>
  <c r="E364" i="6" s="1"/>
  <c r="C365" i="6"/>
  <c r="E365" i="6" s="1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K350" i="6"/>
  <c r="N350" i="6" s="1"/>
  <c r="O350" i="6" s="1"/>
  <c r="K351" i="6"/>
  <c r="N351" i="6" s="1"/>
  <c r="O351" i="6" s="1"/>
  <c r="K352" i="6"/>
  <c r="N352" i="6" s="1"/>
  <c r="O352" i="6" s="1"/>
  <c r="K353" i="6"/>
  <c r="N353" i="6" s="1"/>
  <c r="O353" i="6" s="1"/>
  <c r="K354" i="6"/>
  <c r="N354" i="6" s="1"/>
  <c r="O354" i="6" s="1"/>
  <c r="K355" i="6"/>
  <c r="N355" i="6" s="1"/>
  <c r="O355" i="6" s="1"/>
  <c r="K356" i="6"/>
  <c r="N356" i="6" s="1"/>
  <c r="O356" i="6" s="1"/>
  <c r="K357" i="6"/>
  <c r="N357" i="6" s="1"/>
  <c r="O357" i="6" s="1"/>
  <c r="K358" i="6"/>
  <c r="N358" i="6" s="1"/>
  <c r="O358" i="6" s="1"/>
  <c r="K359" i="6"/>
  <c r="N359" i="6" s="1"/>
  <c r="O359" i="6" s="1"/>
  <c r="K360" i="6"/>
  <c r="N360" i="6" s="1"/>
  <c r="O360" i="6" s="1"/>
  <c r="K361" i="6"/>
  <c r="N361" i="6" s="1"/>
  <c r="O361" i="6" s="1"/>
  <c r="K362" i="6"/>
  <c r="N362" i="6" s="1"/>
  <c r="O362" i="6" s="1"/>
  <c r="K363" i="6"/>
  <c r="N363" i="6" s="1"/>
  <c r="O363" i="6" s="1"/>
  <c r="K364" i="6"/>
  <c r="N364" i="6" s="1"/>
  <c r="O364" i="6" s="1"/>
  <c r="K365" i="6"/>
  <c r="N365" i="6" s="1"/>
  <c r="O365" i="6" s="1"/>
  <c r="A63" i="5"/>
  <c r="A64" i="5"/>
  <c r="A65" i="5"/>
  <c r="A66" i="5"/>
  <c r="A67" i="5"/>
  <c r="A68" i="5"/>
  <c r="C63" i="5"/>
  <c r="E63" i="5" s="1"/>
  <c r="C64" i="5"/>
  <c r="E64" i="5" s="1"/>
  <c r="C65" i="5"/>
  <c r="E65" i="5" s="1"/>
  <c r="C66" i="5"/>
  <c r="E66" i="5" s="1"/>
  <c r="C67" i="5"/>
  <c r="E67" i="5" s="1"/>
  <c r="C68" i="5"/>
  <c r="E68" i="5" s="1"/>
  <c r="D63" i="5"/>
  <c r="D64" i="5"/>
  <c r="D65" i="5"/>
  <c r="D66" i="5"/>
  <c r="D67" i="5"/>
  <c r="D68" i="5"/>
  <c r="A767" i="1"/>
  <c r="C767" i="1"/>
  <c r="E767" i="1" s="1"/>
  <c r="D767" i="1"/>
  <c r="K767" i="1"/>
  <c r="M767" i="1"/>
  <c r="N767" i="1"/>
  <c r="P767" i="1"/>
  <c r="A793" i="1"/>
  <c r="A794" i="1"/>
  <c r="A795" i="1"/>
  <c r="A796" i="1"/>
  <c r="C793" i="1"/>
  <c r="E793" i="1" s="1"/>
  <c r="C794" i="1"/>
  <c r="E794" i="1" s="1"/>
  <c r="C795" i="1"/>
  <c r="E795" i="1" s="1"/>
  <c r="C796" i="1"/>
  <c r="E796" i="1" s="1"/>
  <c r="D793" i="1"/>
  <c r="D794" i="1"/>
  <c r="D795" i="1"/>
  <c r="D796" i="1"/>
  <c r="K793" i="1"/>
  <c r="K794" i="1"/>
  <c r="K795" i="1"/>
  <c r="K796" i="1"/>
  <c r="M793" i="1"/>
  <c r="M794" i="1"/>
  <c r="M795" i="1"/>
  <c r="M796" i="1"/>
  <c r="N793" i="1"/>
  <c r="N794" i="1"/>
  <c r="N795" i="1"/>
  <c r="N796" i="1"/>
  <c r="P793" i="1"/>
  <c r="P794" i="1"/>
  <c r="P795" i="1"/>
  <c r="P796" i="1"/>
  <c r="A787" i="1"/>
  <c r="A788" i="1"/>
  <c r="A789" i="1"/>
  <c r="A790" i="1"/>
  <c r="A791" i="1"/>
  <c r="A792" i="1"/>
  <c r="C787" i="1"/>
  <c r="E787" i="1" s="1"/>
  <c r="C788" i="1"/>
  <c r="E788" i="1" s="1"/>
  <c r="C789" i="1"/>
  <c r="E789" i="1" s="1"/>
  <c r="C790" i="1"/>
  <c r="E790" i="1" s="1"/>
  <c r="C791" i="1"/>
  <c r="E791" i="1" s="1"/>
  <c r="C792" i="1"/>
  <c r="E792" i="1" s="1"/>
  <c r="D787" i="1"/>
  <c r="D788" i="1"/>
  <c r="D789" i="1"/>
  <c r="D790" i="1"/>
  <c r="D791" i="1"/>
  <c r="D792" i="1"/>
  <c r="K787" i="1"/>
  <c r="K788" i="1"/>
  <c r="K789" i="1"/>
  <c r="K790" i="1"/>
  <c r="K791" i="1"/>
  <c r="K792" i="1"/>
  <c r="M787" i="1"/>
  <c r="M788" i="1"/>
  <c r="M789" i="1"/>
  <c r="M790" i="1"/>
  <c r="M791" i="1"/>
  <c r="M792" i="1"/>
  <c r="N787" i="1"/>
  <c r="N788" i="1"/>
  <c r="N789" i="1"/>
  <c r="N790" i="1"/>
  <c r="N791" i="1"/>
  <c r="N792" i="1"/>
  <c r="P787" i="1"/>
  <c r="P788" i="1"/>
  <c r="P789" i="1"/>
  <c r="P790" i="1"/>
  <c r="P791" i="1"/>
  <c r="P792" i="1"/>
  <c r="P786" i="1"/>
  <c r="P785" i="1"/>
  <c r="P784" i="1"/>
  <c r="P783" i="1"/>
  <c r="N786" i="1"/>
  <c r="N785" i="1"/>
  <c r="N784" i="1"/>
  <c r="N783" i="1"/>
  <c r="M786" i="1"/>
  <c r="M785" i="1"/>
  <c r="M784" i="1"/>
  <c r="M783" i="1"/>
  <c r="K786" i="1"/>
  <c r="K785" i="1"/>
  <c r="K784" i="1"/>
  <c r="K783" i="1"/>
  <c r="D786" i="1"/>
  <c r="D785" i="1"/>
  <c r="D784" i="1"/>
  <c r="D783" i="1"/>
  <c r="C786" i="1"/>
  <c r="E786" i="1" s="1"/>
  <c r="C785" i="1"/>
  <c r="E785" i="1" s="1"/>
  <c r="C784" i="1"/>
  <c r="E784" i="1" s="1"/>
  <c r="C783" i="1"/>
  <c r="E783" i="1" s="1"/>
  <c r="A786" i="1"/>
  <c r="A785" i="1"/>
  <c r="A784" i="1"/>
  <c r="A783" i="1"/>
  <c r="K782" i="1"/>
  <c r="A782" i="1"/>
  <c r="C782" i="1"/>
  <c r="E782" i="1" s="1"/>
  <c r="D782" i="1"/>
  <c r="M782" i="1"/>
  <c r="N782" i="1"/>
  <c r="P782" i="1"/>
  <c r="A780" i="1"/>
  <c r="A781" i="1"/>
  <c r="C780" i="1"/>
  <c r="E780" i="1" s="1"/>
  <c r="C781" i="1"/>
  <c r="E781" i="1" s="1"/>
  <c r="D780" i="1"/>
  <c r="D781" i="1"/>
  <c r="K780" i="1"/>
  <c r="K781" i="1"/>
  <c r="M780" i="1"/>
  <c r="M781" i="1"/>
  <c r="N780" i="1"/>
  <c r="N781" i="1"/>
  <c r="P780" i="1"/>
  <c r="P781" i="1"/>
  <c r="A797" i="1"/>
  <c r="A798" i="1"/>
  <c r="A799" i="1"/>
  <c r="A800" i="1"/>
  <c r="C797" i="1"/>
  <c r="E797" i="1" s="1"/>
  <c r="C798" i="1"/>
  <c r="E798" i="1" s="1"/>
  <c r="C799" i="1"/>
  <c r="E799" i="1" s="1"/>
  <c r="C800" i="1"/>
  <c r="E800" i="1" s="1"/>
  <c r="D797" i="1"/>
  <c r="D798" i="1"/>
  <c r="D799" i="1"/>
  <c r="D800" i="1"/>
  <c r="K797" i="1"/>
  <c r="K798" i="1"/>
  <c r="K799" i="1"/>
  <c r="K800" i="1"/>
  <c r="M797" i="1"/>
  <c r="M798" i="1"/>
  <c r="M799" i="1"/>
  <c r="M800" i="1"/>
  <c r="N797" i="1"/>
  <c r="N798" i="1"/>
  <c r="N799" i="1"/>
  <c r="N800" i="1"/>
  <c r="P797" i="1"/>
  <c r="P798" i="1"/>
  <c r="P799" i="1"/>
  <c r="P800" i="1"/>
  <c r="A778" i="1"/>
  <c r="A779" i="1"/>
  <c r="C778" i="1"/>
  <c r="E778" i="1" s="1"/>
  <c r="C779" i="1"/>
  <c r="E779" i="1" s="1"/>
  <c r="D778" i="1"/>
  <c r="D779" i="1"/>
  <c r="K778" i="1"/>
  <c r="K779" i="1"/>
  <c r="M778" i="1"/>
  <c r="M779" i="1"/>
  <c r="N778" i="1"/>
  <c r="N779" i="1"/>
  <c r="P778" i="1"/>
  <c r="P779" i="1"/>
  <c r="A757" i="1"/>
  <c r="A758" i="1"/>
  <c r="A759" i="1"/>
  <c r="A760" i="1"/>
  <c r="A761" i="1"/>
  <c r="A762" i="1"/>
  <c r="A763" i="1"/>
  <c r="A764" i="1"/>
  <c r="A765" i="1"/>
  <c r="A766" i="1"/>
  <c r="C757" i="1"/>
  <c r="E757" i="1" s="1"/>
  <c r="C758" i="1"/>
  <c r="E758" i="1" s="1"/>
  <c r="C759" i="1"/>
  <c r="E759" i="1" s="1"/>
  <c r="C760" i="1"/>
  <c r="E760" i="1" s="1"/>
  <c r="C761" i="1"/>
  <c r="E761" i="1" s="1"/>
  <c r="C762" i="1"/>
  <c r="E762" i="1" s="1"/>
  <c r="C763" i="1"/>
  <c r="E763" i="1" s="1"/>
  <c r="C764" i="1"/>
  <c r="E764" i="1" s="1"/>
  <c r="C765" i="1"/>
  <c r="E765" i="1" s="1"/>
  <c r="C766" i="1"/>
  <c r="E766" i="1" s="1"/>
  <c r="D757" i="1"/>
  <c r="D758" i="1"/>
  <c r="D759" i="1"/>
  <c r="D760" i="1"/>
  <c r="D761" i="1"/>
  <c r="D762" i="1"/>
  <c r="D763" i="1"/>
  <c r="D764" i="1"/>
  <c r="D765" i="1"/>
  <c r="D766" i="1"/>
  <c r="K757" i="1"/>
  <c r="K758" i="1"/>
  <c r="K759" i="1"/>
  <c r="K760" i="1"/>
  <c r="K761" i="1"/>
  <c r="K762" i="1"/>
  <c r="K763" i="1"/>
  <c r="K764" i="1"/>
  <c r="K765" i="1"/>
  <c r="K766" i="1"/>
  <c r="M757" i="1"/>
  <c r="M758" i="1"/>
  <c r="M759" i="1"/>
  <c r="M760" i="1"/>
  <c r="M761" i="1"/>
  <c r="M762" i="1"/>
  <c r="M763" i="1"/>
  <c r="M764" i="1"/>
  <c r="M765" i="1"/>
  <c r="M766" i="1"/>
  <c r="N757" i="1"/>
  <c r="N758" i="1"/>
  <c r="N759" i="1"/>
  <c r="N760" i="1"/>
  <c r="N761" i="1"/>
  <c r="N762" i="1"/>
  <c r="N763" i="1"/>
  <c r="N764" i="1"/>
  <c r="N765" i="1"/>
  <c r="N766" i="1"/>
  <c r="P757" i="1"/>
  <c r="P758" i="1"/>
  <c r="P759" i="1"/>
  <c r="P760" i="1"/>
  <c r="P761" i="1"/>
  <c r="P762" i="1"/>
  <c r="P763" i="1"/>
  <c r="P764" i="1"/>
  <c r="P765" i="1"/>
  <c r="P766" i="1"/>
  <c r="A777" i="1"/>
  <c r="C777" i="1"/>
  <c r="E777" i="1" s="1"/>
  <c r="D777" i="1"/>
  <c r="K777" i="1"/>
  <c r="M777" i="1"/>
  <c r="N777" i="1"/>
  <c r="P777" i="1"/>
  <c r="A769" i="1"/>
  <c r="A770" i="1"/>
  <c r="A771" i="1"/>
  <c r="A772" i="1"/>
  <c r="A773" i="1"/>
  <c r="A774" i="1"/>
  <c r="A775" i="1"/>
  <c r="A776" i="1"/>
  <c r="C769" i="1"/>
  <c r="E769" i="1" s="1"/>
  <c r="C770" i="1"/>
  <c r="E770" i="1" s="1"/>
  <c r="C771" i="1"/>
  <c r="E771" i="1" s="1"/>
  <c r="C772" i="1"/>
  <c r="E772" i="1" s="1"/>
  <c r="C773" i="1"/>
  <c r="E773" i="1" s="1"/>
  <c r="C774" i="1"/>
  <c r="E774" i="1" s="1"/>
  <c r="C775" i="1"/>
  <c r="E775" i="1" s="1"/>
  <c r="C776" i="1"/>
  <c r="E776" i="1" s="1"/>
  <c r="D769" i="1"/>
  <c r="D770" i="1"/>
  <c r="D771" i="1"/>
  <c r="D772" i="1"/>
  <c r="D773" i="1"/>
  <c r="D774" i="1"/>
  <c r="D775" i="1"/>
  <c r="D776" i="1"/>
  <c r="K769" i="1"/>
  <c r="K770" i="1"/>
  <c r="K771" i="1"/>
  <c r="K772" i="1"/>
  <c r="K773" i="1"/>
  <c r="K774" i="1"/>
  <c r="K775" i="1"/>
  <c r="K776" i="1"/>
  <c r="M769" i="1"/>
  <c r="M770" i="1"/>
  <c r="M771" i="1"/>
  <c r="M772" i="1"/>
  <c r="M773" i="1"/>
  <c r="M774" i="1"/>
  <c r="M775" i="1"/>
  <c r="M776" i="1"/>
  <c r="N769" i="1"/>
  <c r="N770" i="1"/>
  <c r="N771" i="1"/>
  <c r="N772" i="1"/>
  <c r="N773" i="1"/>
  <c r="N774" i="1"/>
  <c r="N775" i="1"/>
  <c r="N776" i="1"/>
  <c r="P769" i="1"/>
  <c r="P770" i="1"/>
  <c r="P771" i="1"/>
  <c r="P772" i="1"/>
  <c r="P773" i="1"/>
  <c r="P774" i="1"/>
  <c r="P775" i="1"/>
  <c r="P776" i="1"/>
  <c r="A768" i="1"/>
  <c r="C768" i="1"/>
  <c r="E768" i="1" s="1"/>
  <c r="D768" i="1"/>
  <c r="K768" i="1"/>
  <c r="M768" i="1"/>
  <c r="N768" i="1"/>
  <c r="P768" i="1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C328" i="6"/>
  <c r="E328" i="6" s="1"/>
  <c r="C329" i="6"/>
  <c r="E329" i="6" s="1"/>
  <c r="C330" i="6"/>
  <c r="E330" i="6" s="1"/>
  <c r="C331" i="6"/>
  <c r="E331" i="6" s="1"/>
  <c r="C332" i="6"/>
  <c r="E332" i="6" s="1"/>
  <c r="C333" i="6"/>
  <c r="E333" i="6" s="1"/>
  <c r="C334" i="6"/>
  <c r="E334" i="6" s="1"/>
  <c r="C335" i="6"/>
  <c r="E335" i="6" s="1"/>
  <c r="C336" i="6"/>
  <c r="E336" i="6" s="1"/>
  <c r="C337" i="6"/>
  <c r="E337" i="6" s="1"/>
  <c r="C338" i="6"/>
  <c r="E338" i="6" s="1"/>
  <c r="C339" i="6"/>
  <c r="E339" i="6" s="1"/>
  <c r="C340" i="6"/>
  <c r="E340" i="6" s="1"/>
  <c r="C341" i="6"/>
  <c r="E341" i="6" s="1"/>
  <c r="C342" i="6"/>
  <c r="E342" i="6" s="1"/>
  <c r="C343" i="6"/>
  <c r="E343" i="6" s="1"/>
  <c r="C344" i="6"/>
  <c r="E344" i="6" s="1"/>
  <c r="C345" i="6"/>
  <c r="E345" i="6" s="1"/>
  <c r="C346" i="6"/>
  <c r="E346" i="6" s="1"/>
  <c r="C347" i="6"/>
  <c r="E347" i="6" s="1"/>
  <c r="C348" i="6"/>
  <c r="E348" i="6" s="1"/>
  <c r="C349" i="6"/>
  <c r="E349" i="6" s="1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K328" i="6"/>
  <c r="N328" i="6" s="1"/>
  <c r="O328" i="6" s="1"/>
  <c r="K329" i="6"/>
  <c r="N329" i="6" s="1"/>
  <c r="O329" i="6" s="1"/>
  <c r="K330" i="6"/>
  <c r="N330" i="6" s="1"/>
  <c r="O330" i="6" s="1"/>
  <c r="K331" i="6"/>
  <c r="N331" i="6" s="1"/>
  <c r="O331" i="6" s="1"/>
  <c r="K332" i="6"/>
  <c r="N332" i="6" s="1"/>
  <c r="O332" i="6" s="1"/>
  <c r="K333" i="6"/>
  <c r="N333" i="6" s="1"/>
  <c r="O333" i="6" s="1"/>
  <c r="K334" i="6"/>
  <c r="N334" i="6" s="1"/>
  <c r="O334" i="6" s="1"/>
  <c r="K335" i="6"/>
  <c r="N335" i="6" s="1"/>
  <c r="O335" i="6" s="1"/>
  <c r="K336" i="6"/>
  <c r="N336" i="6" s="1"/>
  <c r="O336" i="6" s="1"/>
  <c r="K337" i="6"/>
  <c r="N337" i="6" s="1"/>
  <c r="O337" i="6" s="1"/>
  <c r="K338" i="6"/>
  <c r="N338" i="6" s="1"/>
  <c r="O338" i="6" s="1"/>
  <c r="K339" i="6"/>
  <c r="N339" i="6" s="1"/>
  <c r="O339" i="6" s="1"/>
  <c r="K340" i="6"/>
  <c r="N340" i="6" s="1"/>
  <c r="O340" i="6" s="1"/>
  <c r="K341" i="6"/>
  <c r="N341" i="6" s="1"/>
  <c r="O341" i="6" s="1"/>
  <c r="K342" i="6"/>
  <c r="N342" i="6" s="1"/>
  <c r="O342" i="6" s="1"/>
  <c r="K343" i="6"/>
  <c r="N343" i="6" s="1"/>
  <c r="O343" i="6" s="1"/>
  <c r="K344" i="6"/>
  <c r="N344" i="6" s="1"/>
  <c r="O344" i="6" s="1"/>
  <c r="K345" i="6"/>
  <c r="N345" i="6" s="1"/>
  <c r="O345" i="6" s="1"/>
  <c r="K346" i="6"/>
  <c r="N346" i="6" s="1"/>
  <c r="O346" i="6" s="1"/>
  <c r="K347" i="6"/>
  <c r="N347" i="6" s="1"/>
  <c r="O347" i="6" s="1"/>
  <c r="K348" i="6"/>
  <c r="N348" i="6" s="1"/>
  <c r="O348" i="6" s="1"/>
  <c r="K349" i="6"/>
  <c r="N349" i="6" s="1"/>
  <c r="O349" i="6" s="1"/>
  <c r="A59" i="5"/>
  <c r="A60" i="5"/>
  <c r="A61" i="5"/>
  <c r="A62" i="5"/>
  <c r="C59" i="5"/>
  <c r="E59" i="5" s="1"/>
  <c r="C60" i="5"/>
  <c r="E60" i="5" s="1"/>
  <c r="C61" i="5"/>
  <c r="E61" i="5" s="1"/>
  <c r="C62" i="5"/>
  <c r="E62" i="5" s="1"/>
  <c r="D59" i="5"/>
  <c r="D60" i="5"/>
  <c r="D61" i="5"/>
  <c r="D62" i="5"/>
  <c r="A721" i="1"/>
  <c r="C721" i="1"/>
  <c r="E721" i="1" s="1"/>
  <c r="D721" i="1"/>
  <c r="K721" i="1"/>
  <c r="M721" i="1"/>
  <c r="N721" i="1"/>
  <c r="P721" i="1"/>
  <c r="A745" i="1"/>
  <c r="A746" i="1"/>
  <c r="A747" i="1"/>
  <c r="C745" i="1"/>
  <c r="E745" i="1" s="1"/>
  <c r="C746" i="1"/>
  <c r="E746" i="1" s="1"/>
  <c r="C747" i="1"/>
  <c r="E747" i="1" s="1"/>
  <c r="D745" i="1"/>
  <c r="D746" i="1"/>
  <c r="D747" i="1"/>
  <c r="K745" i="1"/>
  <c r="K746" i="1"/>
  <c r="K747" i="1"/>
  <c r="M745" i="1"/>
  <c r="M746" i="1"/>
  <c r="M747" i="1"/>
  <c r="N745" i="1"/>
  <c r="N746" i="1"/>
  <c r="N747" i="1"/>
  <c r="P745" i="1"/>
  <c r="P746" i="1"/>
  <c r="P747" i="1"/>
  <c r="A740" i="1"/>
  <c r="A741" i="1"/>
  <c r="A742" i="1"/>
  <c r="A743" i="1"/>
  <c r="A744" i="1"/>
  <c r="C740" i="1"/>
  <c r="E740" i="1" s="1"/>
  <c r="C741" i="1"/>
  <c r="E741" i="1" s="1"/>
  <c r="C742" i="1"/>
  <c r="E742" i="1" s="1"/>
  <c r="C743" i="1"/>
  <c r="E743" i="1" s="1"/>
  <c r="C744" i="1"/>
  <c r="E744" i="1" s="1"/>
  <c r="D740" i="1"/>
  <c r="D741" i="1"/>
  <c r="D742" i="1"/>
  <c r="D743" i="1"/>
  <c r="D744" i="1"/>
  <c r="K740" i="1"/>
  <c r="K741" i="1"/>
  <c r="K742" i="1"/>
  <c r="K743" i="1"/>
  <c r="K744" i="1"/>
  <c r="M740" i="1"/>
  <c r="M741" i="1"/>
  <c r="M742" i="1"/>
  <c r="M743" i="1"/>
  <c r="M744" i="1"/>
  <c r="N740" i="1"/>
  <c r="N741" i="1"/>
  <c r="N742" i="1"/>
  <c r="N743" i="1"/>
  <c r="N744" i="1"/>
  <c r="P740" i="1"/>
  <c r="P741" i="1"/>
  <c r="P742" i="1"/>
  <c r="P743" i="1"/>
  <c r="P744" i="1"/>
  <c r="A738" i="1"/>
  <c r="A739" i="1"/>
  <c r="C738" i="1"/>
  <c r="E738" i="1" s="1"/>
  <c r="C739" i="1"/>
  <c r="E739" i="1" s="1"/>
  <c r="D738" i="1"/>
  <c r="D739" i="1"/>
  <c r="K738" i="1"/>
  <c r="K739" i="1"/>
  <c r="M738" i="1"/>
  <c r="M739" i="1"/>
  <c r="N738" i="1"/>
  <c r="N739" i="1"/>
  <c r="P738" i="1"/>
  <c r="P739" i="1"/>
  <c r="A737" i="1"/>
  <c r="C737" i="1"/>
  <c r="E737" i="1" s="1"/>
  <c r="D737" i="1"/>
  <c r="K737" i="1"/>
  <c r="M737" i="1"/>
  <c r="N737" i="1"/>
  <c r="P737" i="1"/>
  <c r="A736" i="1"/>
  <c r="C736" i="1"/>
  <c r="E736" i="1" s="1"/>
  <c r="D736" i="1"/>
  <c r="K736" i="1"/>
  <c r="M736" i="1"/>
  <c r="N736" i="1"/>
  <c r="P736" i="1"/>
  <c r="A734" i="1"/>
  <c r="A735" i="1"/>
  <c r="C734" i="1"/>
  <c r="E734" i="1" s="1"/>
  <c r="C735" i="1"/>
  <c r="E735" i="1" s="1"/>
  <c r="D734" i="1"/>
  <c r="D735" i="1"/>
  <c r="K734" i="1"/>
  <c r="K735" i="1"/>
  <c r="M734" i="1"/>
  <c r="M735" i="1"/>
  <c r="N734" i="1"/>
  <c r="N735" i="1"/>
  <c r="P734" i="1"/>
  <c r="P735" i="1"/>
  <c r="A748" i="1"/>
  <c r="A749" i="1"/>
  <c r="A750" i="1"/>
  <c r="A751" i="1"/>
  <c r="C748" i="1"/>
  <c r="E748" i="1" s="1"/>
  <c r="C749" i="1"/>
  <c r="E749" i="1" s="1"/>
  <c r="C750" i="1"/>
  <c r="E750" i="1" s="1"/>
  <c r="C751" i="1"/>
  <c r="E751" i="1" s="1"/>
  <c r="D748" i="1"/>
  <c r="D749" i="1"/>
  <c r="D750" i="1"/>
  <c r="D751" i="1"/>
  <c r="K748" i="1"/>
  <c r="K749" i="1"/>
  <c r="K750" i="1"/>
  <c r="K751" i="1"/>
  <c r="M748" i="1"/>
  <c r="M749" i="1"/>
  <c r="M750" i="1"/>
  <c r="M751" i="1"/>
  <c r="N748" i="1"/>
  <c r="N749" i="1"/>
  <c r="N750" i="1"/>
  <c r="N751" i="1"/>
  <c r="P748" i="1"/>
  <c r="P749" i="1"/>
  <c r="P750" i="1"/>
  <c r="P751" i="1"/>
  <c r="A733" i="1"/>
  <c r="C733" i="1"/>
  <c r="E733" i="1" s="1"/>
  <c r="D733" i="1"/>
  <c r="K733" i="1"/>
  <c r="M733" i="1"/>
  <c r="N733" i="1"/>
  <c r="P733" i="1"/>
  <c r="A710" i="1"/>
  <c r="A711" i="1"/>
  <c r="A712" i="1"/>
  <c r="A713" i="1"/>
  <c r="A714" i="1"/>
  <c r="A715" i="1"/>
  <c r="A716" i="1"/>
  <c r="A717" i="1"/>
  <c r="A718" i="1"/>
  <c r="A719" i="1"/>
  <c r="A720" i="1"/>
  <c r="C710" i="1"/>
  <c r="E710" i="1" s="1"/>
  <c r="C711" i="1"/>
  <c r="E711" i="1" s="1"/>
  <c r="C712" i="1"/>
  <c r="E712" i="1" s="1"/>
  <c r="C713" i="1"/>
  <c r="E713" i="1" s="1"/>
  <c r="C714" i="1"/>
  <c r="E714" i="1" s="1"/>
  <c r="C715" i="1"/>
  <c r="E715" i="1" s="1"/>
  <c r="C716" i="1"/>
  <c r="E716" i="1" s="1"/>
  <c r="C717" i="1"/>
  <c r="E717" i="1" s="1"/>
  <c r="C718" i="1"/>
  <c r="E718" i="1" s="1"/>
  <c r="C719" i="1"/>
  <c r="E719" i="1" s="1"/>
  <c r="C720" i="1"/>
  <c r="E720" i="1" s="1"/>
  <c r="D710" i="1"/>
  <c r="D711" i="1"/>
  <c r="D712" i="1"/>
  <c r="D713" i="1"/>
  <c r="D714" i="1"/>
  <c r="D715" i="1"/>
  <c r="D716" i="1"/>
  <c r="D717" i="1"/>
  <c r="D718" i="1"/>
  <c r="D719" i="1"/>
  <c r="D720" i="1"/>
  <c r="K710" i="1"/>
  <c r="K711" i="1"/>
  <c r="K712" i="1"/>
  <c r="K713" i="1"/>
  <c r="K714" i="1"/>
  <c r="K715" i="1"/>
  <c r="K716" i="1"/>
  <c r="K717" i="1"/>
  <c r="K718" i="1"/>
  <c r="K719" i="1"/>
  <c r="K720" i="1"/>
  <c r="M710" i="1"/>
  <c r="M711" i="1"/>
  <c r="M712" i="1"/>
  <c r="M713" i="1"/>
  <c r="M714" i="1"/>
  <c r="M715" i="1"/>
  <c r="M716" i="1"/>
  <c r="M717" i="1"/>
  <c r="M718" i="1"/>
  <c r="M719" i="1"/>
  <c r="M720" i="1"/>
  <c r="N710" i="1"/>
  <c r="N711" i="1"/>
  <c r="N712" i="1"/>
  <c r="N713" i="1"/>
  <c r="N714" i="1"/>
  <c r="N715" i="1"/>
  <c r="N716" i="1"/>
  <c r="N717" i="1"/>
  <c r="N718" i="1"/>
  <c r="N719" i="1"/>
  <c r="N720" i="1"/>
  <c r="P710" i="1"/>
  <c r="P711" i="1"/>
  <c r="P712" i="1"/>
  <c r="P713" i="1"/>
  <c r="P714" i="1"/>
  <c r="P715" i="1"/>
  <c r="P716" i="1"/>
  <c r="P717" i="1"/>
  <c r="P718" i="1"/>
  <c r="P719" i="1"/>
  <c r="P720" i="1"/>
  <c r="A732" i="1"/>
  <c r="C732" i="1"/>
  <c r="E732" i="1" s="1"/>
  <c r="D732" i="1"/>
  <c r="K732" i="1"/>
  <c r="M732" i="1"/>
  <c r="N732" i="1"/>
  <c r="P732" i="1"/>
  <c r="A723" i="1"/>
  <c r="A724" i="1"/>
  <c r="A725" i="1"/>
  <c r="A726" i="1"/>
  <c r="A727" i="1"/>
  <c r="A728" i="1"/>
  <c r="A729" i="1"/>
  <c r="A730" i="1"/>
  <c r="A731" i="1"/>
  <c r="C723" i="1"/>
  <c r="E723" i="1" s="1"/>
  <c r="C724" i="1"/>
  <c r="E724" i="1" s="1"/>
  <c r="C725" i="1"/>
  <c r="E725" i="1" s="1"/>
  <c r="C726" i="1"/>
  <c r="E726" i="1" s="1"/>
  <c r="C727" i="1"/>
  <c r="E727" i="1" s="1"/>
  <c r="C728" i="1"/>
  <c r="E728" i="1" s="1"/>
  <c r="C729" i="1"/>
  <c r="E729" i="1" s="1"/>
  <c r="C730" i="1"/>
  <c r="E730" i="1" s="1"/>
  <c r="C731" i="1"/>
  <c r="E731" i="1" s="1"/>
  <c r="D723" i="1"/>
  <c r="D724" i="1"/>
  <c r="D725" i="1"/>
  <c r="D726" i="1"/>
  <c r="D727" i="1"/>
  <c r="D728" i="1"/>
  <c r="D729" i="1"/>
  <c r="D730" i="1"/>
  <c r="D731" i="1"/>
  <c r="K723" i="1"/>
  <c r="K724" i="1"/>
  <c r="K725" i="1"/>
  <c r="K726" i="1"/>
  <c r="K727" i="1"/>
  <c r="K728" i="1"/>
  <c r="K729" i="1"/>
  <c r="K730" i="1"/>
  <c r="K731" i="1"/>
  <c r="M723" i="1"/>
  <c r="M724" i="1"/>
  <c r="M725" i="1"/>
  <c r="M726" i="1"/>
  <c r="M727" i="1"/>
  <c r="M728" i="1"/>
  <c r="M729" i="1"/>
  <c r="M730" i="1"/>
  <c r="M731" i="1"/>
  <c r="N723" i="1"/>
  <c r="N724" i="1"/>
  <c r="N725" i="1"/>
  <c r="N726" i="1"/>
  <c r="N727" i="1"/>
  <c r="N728" i="1"/>
  <c r="N729" i="1"/>
  <c r="N730" i="1"/>
  <c r="N731" i="1"/>
  <c r="P723" i="1"/>
  <c r="P724" i="1"/>
  <c r="P725" i="1"/>
  <c r="P726" i="1"/>
  <c r="P727" i="1"/>
  <c r="P728" i="1"/>
  <c r="P729" i="1"/>
  <c r="P730" i="1"/>
  <c r="P731" i="1"/>
  <c r="A722" i="1"/>
  <c r="C722" i="1"/>
  <c r="E722" i="1" s="1"/>
  <c r="D722" i="1"/>
  <c r="K722" i="1"/>
  <c r="M722" i="1"/>
  <c r="N722" i="1"/>
  <c r="P722" i="1"/>
  <c r="A27" i="9" l="1"/>
  <c r="C27" i="9"/>
  <c r="D27" i="9"/>
  <c r="E27" i="9"/>
  <c r="M27" i="9"/>
  <c r="P27" i="9"/>
  <c r="R27" i="9"/>
  <c r="S27" i="9"/>
  <c r="U27" i="9"/>
  <c r="A910" i="1"/>
  <c r="C910" i="1"/>
  <c r="E910" i="1" s="1"/>
  <c r="D910" i="1"/>
  <c r="K910" i="1"/>
  <c r="M910" i="1"/>
  <c r="N910" i="1"/>
  <c r="P910" i="1"/>
  <c r="A390" i="1"/>
  <c r="C390" i="1"/>
  <c r="E390" i="1" s="1"/>
  <c r="D390" i="1"/>
  <c r="K390" i="1"/>
  <c r="M390" i="1"/>
  <c r="N390" i="1"/>
  <c r="P390" i="1"/>
  <c r="A1080" i="1"/>
  <c r="A1081" i="1"/>
  <c r="C1080" i="1"/>
  <c r="E1080" i="1" s="1"/>
  <c r="C1081" i="1"/>
  <c r="E1081" i="1" s="1"/>
  <c r="D1080" i="1"/>
  <c r="D1081" i="1"/>
  <c r="K1080" i="1"/>
  <c r="K1081" i="1"/>
  <c r="M1080" i="1"/>
  <c r="M1081" i="1"/>
  <c r="N1080" i="1"/>
  <c r="N1081" i="1"/>
  <c r="P1080" i="1"/>
  <c r="P1081" i="1"/>
  <c r="A1078" i="1"/>
  <c r="A1079" i="1"/>
  <c r="C1078" i="1"/>
  <c r="E1078" i="1" s="1"/>
  <c r="C1079" i="1"/>
  <c r="E1079" i="1" s="1"/>
  <c r="D1078" i="1"/>
  <c r="D1079" i="1"/>
  <c r="K1078" i="1"/>
  <c r="K1079" i="1"/>
  <c r="M1078" i="1"/>
  <c r="M1079" i="1"/>
  <c r="N1078" i="1"/>
  <c r="N1079" i="1"/>
  <c r="P1078" i="1"/>
  <c r="P1079" i="1"/>
  <c r="A1077" i="1"/>
  <c r="C1077" i="1"/>
  <c r="E1077" i="1" s="1"/>
  <c r="D1077" i="1"/>
  <c r="K1077" i="1"/>
  <c r="M1077" i="1"/>
  <c r="N1077" i="1"/>
  <c r="P1077" i="1"/>
  <c r="A1076" i="1"/>
  <c r="C1076" i="1"/>
  <c r="E1076" i="1" s="1"/>
  <c r="D1076" i="1"/>
  <c r="K1076" i="1"/>
  <c r="M1076" i="1"/>
  <c r="N1076" i="1"/>
  <c r="P1076" i="1"/>
  <c r="A1073" i="1"/>
  <c r="A1074" i="1"/>
  <c r="A1075" i="1"/>
  <c r="C1073" i="1"/>
  <c r="E1073" i="1" s="1"/>
  <c r="C1074" i="1"/>
  <c r="E1074" i="1" s="1"/>
  <c r="C1075" i="1"/>
  <c r="E1075" i="1" s="1"/>
  <c r="D1073" i="1"/>
  <c r="D1074" i="1"/>
  <c r="D1075" i="1"/>
  <c r="K1073" i="1"/>
  <c r="K1074" i="1"/>
  <c r="K1075" i="1"/>
  <c r="M1073" i="1"/>
  <c r="M1074" i="1"/>
  <c r="M1075" i="1"/>
  <c r="N1073" i="1"/>
  <c r="N1074" i="1"/>
  <c r="N1075" i="1"/>
  <c r="P1073" i="1"/>
  <c r="P1074" i="1"/>
  <c r="P1075" i="1"/>
  <c r="A1072" i="1"/>
  <c r="C1072" i="1"/>
  <c r="E1072" i="1" s="1"/>
  <c r="D1072" i="1"/>
  <c r="K1072" i="1"/>
  <c r="M1072" i="1"/>
  <c r="N1072" i="1"/>
  <c r="P1072" i="1"/>
  <c r="A1082" i="1"/>
  <c r="A1083" i="1"/>
  <c r="A1084" i="1"/>
  <c r="A1085" i="1"/>
  <c r="A1086" i="1"/>
  <c r="A1071" i="1"/>
  <c r="C1082" i="1"/>
  <c r="E1082" i="1" s="1"/>
  <c r="C1083" i="1"/>
  <c r="E1083" i="1" s="1"/>
  <c r="C1084" i="1"/>
  <c r="E1084" i="1" s="1"/>
  <c r="C1085" i="1"/>
  <c r="E1085" i="1" s="1"/>
  <c r="C1086" i="1"/>
  <c r="E1086" i="1" s="1"/>
  <c r="C1071" i="1"/>
  <c r="E1071" i="1" s="1"/>
  <c r="D1082" i="1"/>
  <c r="D1083" i="1"/>
  <c r="D1084" i="1"/>
  <c r="D1085" i="1"/>
  <c r="D1086" i="1"/>
  <c r="D1071" i="1"/>
  <c r="K1082" i="1"/>
  <c r="K1083" i="1"/>
  <c r="K1084" i="1"/>
  <c r="K1085" i="1"/>
  <c r="K1086" i="1"/>
  <c r="K1071" i="1"/>
  <c r="M1082" i="1"/>
  <c r="M1083" i="1"/>
  <c r="M1084" i="1"/>
  <c r="M1085" i="1"/>
  <c r="M1086" i="1"/>
  <c r="M1071" i="1"/>
  <c r="N1082" i="1"/>
  <c r="N1083" i="1"/>
  <c r="N1084" i="1"/>
  <c r="N1085" i="1"/>
  <c r="N1086" i="1"/>
  <c r="N1071" i="1"/>
  <c r="P1082" i="1"/>
  <c r="P1083" i="1"/>
  <c r="P1084" i="1"/>
  <c r="P1085" i="1"/>
  <c r="P1086" i="1"/>
  <c r="P1071" i="1"/>
  <c r="A1067" i="1"/>
  <c r="A1068" i="1"/>
  <c r="A1069" i="1"/>
  <c r="A1070" i="1"/>
  <c r="C1067" i="1"/>
  <c r="E1067" i="1" s="1"/>
  <c r="C1068" i="1"/>
  <c r="E1068" i="1" s="1"/>
  <c r="C1069" i="1"/>
  <c r="E1069" i="1" s="1"/>
  <c r="C1070" i="1"/>
  <c r="E1070" i="1" s="1"/>
  <c r="D1067" i="1"/>
  <c r="D1068" i="1"/>
  <c r="D1069" i="1"/>
  <c r="D1070" i="1"/>
  <c r="K1067" i="1"/>
  <c r="K1068" i="1"/>
  <c r="K1069" i="1"/>
  <c r="K1070" i="1"/>
  <c r="M1067" i="1"/>
  <c r="M1068" i="1"/>
  <c r="M1069" i="1"/>
  <c r="M1070" i="1"/>
  <c r="N1067" i="1"/>
  <c r="N1068" i="1"/>
  <c r="N1069" i="1"/>
  <c r="N1070" i="1"/>
  <c r="P1067" i="1"/>
  <c r="P1068" i="1"/>
  <c r="P1069" i="1"/>
  <c r="P1070" i="1"/>
  <c r="A325" i="6"/>
  <c r="A326" i="6"/>
  <c r="A327" i="6"/>
  <c r="C325" i="6"/>
  <c r="E325" i="6" s="1"/>
  <c r="C326" i="6"/>
  <c r="E326" i="6" s="1"/>
  <c r="C327" i="6"/>
  <c r="E327" i="6" s="1"/>
  <c r="D325" i="6"/>
  <c r="D326" i="6"/>
  <c r="D327" i="6"/>
  <c r="K325" i="6"/>
  <c r="N325" i="6" s="1"/>
  <c r="O325" i="6" s="1"/>
  <c r="K326" i="6"/>
  <c r="N326" i="6" s="1"/>
  <c r="O326" i="6" s="1"/>
  <c r="K327" i="6"/>
  <c r="N327" i="6" s="1"/>
  <c r="O327" i="6" s="1"/>
  <c r="A1099" i="1"/>
  <c r="C1099" i="1"/>
  <c r="E1099" i="1" s="1"/>
  <c r="D1099" i="1"/>
  <c r="K1099" i="1"/>
  <c r="M1099" i="1"/>
  <c r="N1099" i="1"/>
  <c r="P1099" i="1"/>
  <c r="A476" i="1"/>
  <c r="C476" i="1"/>
  <c r="E476" i="1" s="1"/>
  <c r="D476" i="1"/>
  <c r="K476" i="1"/>
  <c r="M476" i="1"/>
  <c r="N476" i="1"/>
  <c r="P476" i="1"/>
  <c r="A475" i="1"/>
  <c r="C475" i="1"/>
  <c r="E475" i="1" s="1"/>
  <c r="D475" i="1"/>
  <c r="K475" i="1"/>
  <c r="M475" i="1"/>
  <c r="N475" i="1"/>
  <c r="P475" i="1"/>
  <c r="A473" i="1"/>
  <c r="C473" i="1"/>
  <c r="E473" i="1" s="1"/>
  <c r="D473" i="1"/>
  <c r="K473" i="1"/>
  <c r="M473" i="1"/>
  <c r="N473" i="1"/>
  <c r="P473" i="1"/>
  <c r="A474" i="1"/>
  <c r="C474" i="1"/>
  <c r="E474" i="1" s="1"/>
  <c r="D474" i="1"/>
  <c r="K474" i="1"/>
  <c r="M474" i="1"/>
  <c r="N474" i="1"/>
  <c r="P474" i="1"/>
  <c r="A58" i="5"/>
  <c r="C58" i="5"/>
  <c r="E58" i="5" s="1"/>
  <c r="D58" i="5"/>
  <c r="A322" i="6"/>
  <c r="A323" i="6"/>
  <c r="A324" i="6"/>
  <c r="C322" i="6"/>
  <c r="E322" i="6" s="1"/>
  <c r="C323" i="6"/>
  <c r="E323" i="6" s="1"/>
  <c r="C324" i="6"/>
  <c r="E324" i="6" s="1"/>
  <c r="D322" i="6"/>
  <c r="D323" i="6"/>
  <c r="D324" i="6"/>
  <c r="K322" i="6"/>
  <c r="N322" i="6" s="1"/>
  <c r="O322" i="6" s="1"/>
  <c r="K323" i="6"/>
  <c r="N323" i="6" s="1"/>
  <c r="O323" i="6" s="1"/>
  <c r="K324" i="6"/>
  <c r="N324" i="6" s="1"/>
  <c r="O324" i="6" s="1"/>
  <c r="A581" i="1"/>
  <c r="C581" i="1"/>
  <c r="E581" i="1" s="1"/>
  <c r="D581" i="1"/>
  <c r="K581" i="1"/>
  <c r="M581" i="1"/>
  <c r="N581" i="1"/>
  <c r="P581" i="1"/>
  <c r="A321" i="6"/>
  <c r="C321" i="6"/>
  <c r="E321" i="6" s="1"/>
  <c r="D321" i="6"/>
  <c r="K321" i="6"/>
  <c r="N321" i="6" s="1"/>
  <c r="O321" i="6" s="1"/>
  <c r="A320" i="6"/>
  <c r="C320" i="6"/>
  <c r="E320" i="6" s="1"/>
  <c r="D320" i="6"/>
  <c r="K320" i="6"/>
  <c r="N320" i="6" s="1"/>
  <c r="O320" i="6" s="1"/>
  <c r="A470" i="1"/>
  <c r="C470" i="1"/>
  <c r="E470" i="1" s="1"/>
  <c r="D470" i="1"/>
  <c r="K470" i="1"/>
  <c r="M470" i="1"/>
  <c r="N470" i="1"/>
  <c r="P470" i="1"/>
  <c r="A468" i="1"/>
  <c r="C468" i="1"/>
  <c r="E468" i="1" s="1"/>
  <c r="D468" i="1"/>
  <c r="K468" i="1"/>
  <c r="M468" i="1"/>
  <c r="N468" i="1"/>
  <c r="P468" i="1"/>
  <c r="A467" i="1"/>
  <c r="C467" i="1"/>
  <c r="E467" i="1" s="1"/>
  <c r="D467" i="1"/>
  <c r="K467" i="1"/>
  <c r="M467" i="1"/>
  <c r="N467" i="1"/>
  <c r="P467" i="1"/>
  <c r="A466" i="1"/>
  <c r="C466" i="1"/>
  <c r="E466" i="1" s="1"/>
  <c r="D466" i="1"/>
  <c r="K466" i="1"/>
  <c r="M466" i="1"/>
  <c r="N466" i="1"/>
  <c r="P466" i="1"/>
  <c r="A465" i="1"/>
  <c r="C465" i="1"/>
  <c r="E465" i="1" s="1"/>
  <c r="D465" i="1"/>
  <c r="K465" i="1"/>
  <c r="M465" i="1"/>
  <c r="N465" i="1"/>
  <c r="P465" i="1"/>
  <c r="A464" i="1"/>
  <c r="C464" i="1"/>
  <c r="E464" i="1" s="1"/>
  <c r="D464" i="1"/>
  <c r="K464" i="1"/>
  <c r="M464" i="1"/>
  <c r="N464" i="1"/>
  <c r="P464" i="1"/>
  <c r="A463" i="1"/>
  <c r="C463" i="1"/>
  <c r="E463" i="1" s="1"/>
  <c r="D463" i="1"/>
  <c r="K463" i="1"/>
  <c r="M463" i="1"/>
  <c r="N463" i="1"/>
  <c r="P463" i="1"/>
  <c r="M92" i="6" l="1"/>
  <c r="A469" i="1" l="1"/>
  <c r="C469" i="1"/>
  <c r="E469" i="1" s="1"/>
  <c r="D469" i="1"/>
  <c r="K469" i="1"/>
  <c r="M469" i="1"/>
  <c r="N469" i="1"/>
  <c r="P469" i="1"/>
  <c r="A319" i="6"/>
  <c r="C319" i="6"/>
  <c r="E319" i="6" s="1"/>
  <c r="D319" i="6"/>
  <c r="K319" i="6"/>
  <c r="N319" i="6" s="1"/>
  <c r="O319" i="6" s="1"/>
  <c r="A584" i="1"/>
  <c r="C584" i="1"/>
  <c r="E584" i="1" s="1"/>
  <c r="D584" i="1"/>
  <c r="K584" i="1"/>
  <c r="M584" i="1"/>
  <c r="N584" i="1"/>
  <c r="P584" i="1"/>
  <c r="A583" i="1"/>
  <c r="C583" i="1"/>
  <c r="E583" i="1" s="1"/>
  <c r="D583" i="1"/>
  <c r="K583" i="1"/>
  <c r="M583" i="1"/>
  <c r="N583" i="1"/>
  <c r="P583" i="1"/>
  <c r="A318" i="6"/>
  <c r="C318" i="6"/>
  <c r="E318" i="6" s="1"/>
  <c r="D318" i="6"/>
  <c r="K318" i="6"/>
  <c r="N318" i="6" s="1"/>
  <c r="O318" i="6" s="1"/>
  <c r="A582" i="1"/>
  <c r="C582" i="1"/>
  <c r="E582" i="1" s="1"/>
  <c r="D582" i="1"/>
  <c r="K582" i="1"/>
  <c r="M582" i="1"/>
  <c r="N582" i="1"/>
  <c r="P582" i="1"/>
  <c r="A1229" i="1"/>
  <c r="C1229" i="1"/>
  <c r="E1229" i="1" s="1"/>
  <c r="D1229" i="1"/>
  <c r="K1229" i="1"/>
  <c r="M1229" i="1"/>
  <c r="N1229" i="1"/>
  <c r="P1229" i="1"/>
  <c r="A1228" i="1"/>
  <c r="C1228" i="1"/>
  <c r="E1228" i="1" s="1"/>
  <c r="D1228" i="1"/>
  <c r="K1228" i="1"/>
  <c r="M1228" i="1"/>
  <c r="N1228" i="1"/>
  <c r="P1228" i="1"/>
  <c r="A1227" i="1"/>
  <c r="C1227" i="1"/>
  <c r="E1227" i="1" s="1"/>
  <c r="D1227" i="1"/>
  <c r="K1227" i="1"/>
  <c r="M1227" i="1"/>
  <c r="N1227" i="1"/>
  <c r="P1227" i="1"/>
  <c r="A57" i="5"/>
  <c r="C57" i="5"/>
  <c r="E57" i="5" s="1"/>
  <c r="D57" i="5"/>
  <c r="A56" i="5"/>
  <c r="C56" i="5"/>
  <c r="E56" i="5" s="1"/>
  <c r="D56" i="5"/>
  <c r="A18" i="1"/>
  <c r="C18" i="1"/>
  <c r="E18" i="1" s="1"/>
  <c r="D18" i="1"/>
  <c r="K18" i="1"/>
  <c r="M18" i="1"/>
  <c r="N18" i="1"/>
  <c r="P18" i="1"/>
  <c r="A317" i="6"/>
  <c r="C317" i="6"/>
  <c r="E317" i="6" s="1"/>
  <c r="D317" i="6"/>
  <c r="K317" i="6"/>
  <c r="N317" i="6" s="1"/>
  <c r="O317" i="6" s="1"/>
  <c r="A316" i="6"/>
  <c r="C316" i="6"/>
  <c r="E316" i="6" s="1"/>
  <c r="D316" i="6"/>
  <c r="K316" i="6"/>
  <c r="N316" i="6" s="1"/>
  <c r="O316" i="6" s="1"/>
  <c r="A315" i="6" l="1"/>
  <c r="C315" i="6"/>
  <c r="E315" i="6" s="1"/>
  <c r="D315" i="6"/>
  <c r="K315" i="6"/>
  <c r="N315" i="6" s="1"/>
  <c r="O315" i="6" s="1"/>
  <c r="A314" i="6"/>
  <c r="C314" i="6"/>
  <c r="E314" i="6" s="1"/>
  <c r="D314" i="6"/>
  <c r="K314" i="6"/>
  <c r="N314" i="6" s="1"/>
  <c r="O314" i="6" s="1"/>
  <c r="A500" i="1" l="1"/>
  <c r="C500" i="1"/>
  <c r="E500" i="1" s="1"/>
  <c r="D500" i="1"/>
  <c r="K500" i="1"/>
  <c r="M500" i="1"/>
  <c r="N500" i="1"/>
  <c r="P500" i="1"/>
  <c r="A499" i="1"/>
  <c r="C499" i="1"/>
  <c r="E499" i="1" s="1"/>
  <c r="D499" i="1"/>
  <c r="K499" i="1"/>
  <c r="M499" i="1"/>
  <c r="N499" i="1"/>
  <c r="P499" i="1"/>
  <c r="A498" i="1"/>
  <c r="C498" i="1"/>
  <c r="E498" i="1" s="1"/>
  <c r="D498" i="1"/>
  <c r="K498" i="1"/>
  <c r="M498" i="1"/>
  <c r="N498" i="1"/>
  <c r="P498" i="1"/>
  <c r="A501" i="1"/>
  <c r="C501" i="1"/>
  <c r="E501" i="1" s="1"/>
  <c r="D501" i="1"/>
  <c r="K501" i="1"/>
  <c r="M501" i="1"/>
  <c r="N501" i="1"/>
  <c r="P501" i="1"/>
  <c r="A497" i="1"/>
  <c r="C497" i="1"/>
  <c r="E497" i="1" s="1"/>
  <c r="D497" i="1"/>
  <c r="K497" i="1"/>
  <c r="M497" i="1"/>
  <c r="N497" i="1"/>
  <c r="P497" i="1"/>
  <c r="A496" i="1"/>
  <c r="C496" i="1"/>
  <c r="E496" i="1" s="1"/>
  <c r="D496" i="1"/>
  <c r="K496" i="1"/>
  <c r="M496" i="1"/>
  <c r="N496" i="1"/>
  <c r="P496" i="1"/>
  <c r="A483" i="1"/>
  <c r="A484" i="1"/>
  <c r="A485" i="1"/>
  <c r="A486" i="1"/>
  <c r="A487" i="1"/>
  <c r="A488" i="1"/>
  <c r="A489" i="1"/>
  <c r="A490" i="1"/>
  <c r="C483" i="1"/>
  <c r="C484" i="1"/>
  <c r="C485" i="1"/>
  <c r="E485" i="1" s="1"/>
  <c r="C486" i="1"/>
  <c r="E486" i="1" s="1"/>
  <c r="C487" i="1"/>
  <c r="E487" i="1" s="1"/>
  <c r="C488" i="1"/>
  <c r="E488" i="1" s="1"/>
  <c r="C489" i="1"/>
  <c r="E489" i="1" s="1"/>
  <c r="C490" i="1"/>
  <c r="E490" i="1" s="1"/>
  <c r="D483" i="1"/>
  <c r="D484" i="1"/>
  <c r="D485" i="1"/>
  <c r="D486" i="1"/>
  <c r="D487" i="1"/>
  <c r="D488" i="1"/>
  <c r="D489" i="1"/>
  <c r="D490" i="1"/>
  <c r="E483" i="1"/>
  <c r="E484" i="1"/>
  <c r="K483" i="1"/>
  <c r="K484" i="1"/>
  <c r="K485" i="1"/>
  <c r="K486" i="1"/>
  <c r="K487" i="1"/>
  <c r="K488" i="1"/>
  <c r="K489" i="1"/>
  <c r="K490" i="1"/>
  <c r="M483" i="1"/>
  <c r="M484" i="1"/>
  <c r="M485" i="1"/>
  <c r="M486" i="1"/>
  <c r="M487" i="1"/>
  <c r="M488" i="1"/>
  <c r="M489" i="1"/>
  <c r="M490" i="1"/>
  <c r="N483" i="1"/>
  <c r="N484" i="1"/>
  <c r="N485" i="1"/>
  <c r="N486" i="1"/>
  <c r="N487" i="1"/>
  <c r="N488" i="1"/>
  <c r="N489" i="1"/>
  <c r="N490" i="1"/>
  <c r="P483" i="1"/>
  <c r="P484" i="1"/>
  <c r="P485" i="1"/>
  <c r="P486" i="1"/>
  <c r="P487" i="1"/>
  <c r="P488" i="1"/>
  <c r="P489" i="1"/>
  <c r="P490" i="1"/>
  <c r="A495" i="1"/>
  <c r="C495" i="1"/>
  <c r="E495" i="1" s="1"/>
  <c r="D495" i="1"/>
  <c r="K495" i="1"/>
  <c r="M495" i="1"/>
  <c r="N495" i="1"/>
  <c r="P495" i="1"/>
  <c r="A491" i="1"/>
  <c r="A492" i="1"/>
  <c r="A493" i="1"/>
  <c r="A494" i="1"/>
  <c r="C491" i="1"/>
  <c r="E491" i="1" s="1"/>
  <c r="C492" i="1"/>
  <c r="E492" i="1" s="1"/>
  <c r="C493" i="1"/>
  <c r="E493" i="1" s="1"/>
  <c r="C494" i="1"/>
  <c r="E494" i="1" s="1"/>
  <c r="D491" i="1"/>
  <c r="D492" i="1"/>
  <c r="D493" i="1"/>
  <c r="D494" i="1"/>
  <c r="K491" i="1"/>
  <c r="K492" i="1"/>
  <c r="K493" i="1"/>
  <c r="K494" i="1"/>
  <c r="M491" i="1"/>
  <c r="M492" i="1"/>
  <c r="M493" i="1"/>
  <c r="M494" i="1"/>
  <c r="N491" i="1"/>
  <c r="N492" i="1"/>
  <c r="N493" i="1"/>
  <c r="N494" i="1"/>
  <c r="P491" i="1"/>
  <c r="P492" i="1"/>
  <c r="P493" i="1"/>
  <c r="P494" i="1"/>
  <c r="A55" i="5"/>
  <c r="C55" i="5"/>
  <c r="E55" i="5" s="1"/>
  <c r="D55" i="5"/>
  <c r="A54" i="5"/>
  <c r="C54" i="5"/>
  <c r="E54" i="5" s="1"/>
  <c r="D54" i="5"/>
  <c r="A303" i="6"/>
  <c r="A304" i="6"/>
  <c r="A305" i="6"/>
  <c r="A306" i="6"/>
  <c r="A307" i="6"/>
  <c r="A308" i="6"/>
  <c r="A309" i="6"/>
  <c r="A310" i="6"/>
  <c r="A311" i="6"/>
  <c r="A312" i="6"/>
  <c r="A313" i="6"/>
  <c r="C303" i="6"/>
  <c r="E303" i="6" s="1"/>
  <c r="C304" i="6"/>
  <c r="E304" i="6" s="1"/>
  <c r="C305" i="6"/>
  <c r="E305" i="6" s="1"/>
  <c r="C306" i="6"/>
  <c r="E306" i="6" s="1"/>
  <c r="C307" i="6"/>
  <c r="E307" i="6" s="1"/>
  <c r="C308" i="6"/>
  <c r="E308" i="6" s="1"/>
  <c r="C309" i="6"/>
  <c r="E309" i="6" s="1"/>
  <c r="C310" i="6"/>
  <c r="E310" i="6" s="1"/>
  <c r="C311" i="6"/>
  <c r="E311" i="6" s="1"/>
  <c r="C312" i="6"/>
  <c r="E312" i="6" s="1"/>
  <c r="C313" i="6"/>
  <c r="E313" i="6" s="1"/>
  <c r="D303" i="6"/>
  <c r="D304" i="6"/>
  <c r="D305" i="6"/>
  <c r="D306" i="6"/>
  <c r="D307" i="6"/>
  <c r="D308" i="6"/>
  <c r="D309" i="6"/>
  <c r="D310" i="6"/>
  <c r="D311" i="6"/>
  <c r="D312" i="6"/>
  <c r="D313" i="6"/>
  <c r="K303" i="6"/>
  <c r="N303" i="6" s="1"/>
  <c r="O303" i="6" s="1"/>
  <c r="K304" i="6"/>
  <c r="N304" i="6" s="1"/>
  <c r="O304" i="6" s="1"/>
  <c r="K305" i="6"/>
  <c r="N305" i="6" s="1"/>
  <c r="O305" i="6" s="1"/>
  <c r="K306" i="6"/>
  <c r="N306" i="6" s="1"/>
  <c r="O306" i="6" s="1"/>
  <c r="K307" i="6"/>
  <c r="N307" i="6" s="1"/>
  <c r="O307" i="6" s="1"/>
  <c r="K308" i="6"/>
  <c r="N308" i="6" s="1"/>
  <c r="O308" i="6" s="1"/>
  <c r="K309" i="6"/>
  <c r="N309" i="6" s="1"/>
  <c r="O309" i="6" s="1"/>
  <c r="K310" i="6"/>
  <c r="N310" i="6" s="1"/>
  <c r="O310" i="6" s="1"/>
  <c r="K311" i="6"/>
  <c r="N311" i="6" s="1"/>
  <c r="O311" i="6" s="1"/>
  <c r="K312" i="6"/>
  <c r="N312" i="6" s="1"/>
  <c r="O312" i="6" s="1"/>
  <c r="K313" i="6"/>
  <c r="N313" i="6" s="1"/>
  <c r="O313" i="6" s="1"/>
  <c r="A26" i="9"/>
  <c r="C26" i="9"/>
  <c r="D26" i="9"/>
  <c r="E26" i="9"/>
  <c r="M26" i="9"/>
  <c r="P26" i="9"/>
  <c r="R26" i="9"/>
  <c r="S26" i="9"/>
  <c r="U26" i="9"/>
  <c r="A1226" i="1"/>
  <c r="C1226" i="1"/>
  <c r="E1226" i="1" s="1"/>
  <c r="D1226" i="1"/>
  <c r="K1226" i="1"/>
  <c r="M1226" i="1"/>
  <c r="N1226" i="1"/>
  <c r="P1226" i="1"/>
  <c r="A938" i="1"/>
  <c r="A939" i="1"/>
  <c r="A940" i="1"/>
  <c r="A941" i="1"/>
  <c r="A942" i="1"/>
  <c r="A943" i="1"/>
  <c r="A944" i="1"/>
  <c r="A945" i="1"/>
  <c r="A946" i="1"/>
  <c r="C938" i="1"/>
  <c r="E938" i="1" s="1"/>
  <c r="C939" i="1"/>
  <c r="E939" i="1" s="1"/>
  <c r="C940" i="1"/>
  <c r="E940" i="1" s="1"/>
  <c r="C941" i="1"/>
  <c r="E941" i="1" s="1"/>
  <c r="C942" i="1"/>
  <c r="E942" i="1" s="1"/>
  <c r="C943" i="1"/>
  <c r="E943" i="1" s="1"/>
  <c r="C944" i="1"/>
  <c r="E944" i="1" s="1"/>
  <c r="C945" i="1"/>
  <c r="E945" i="1" s="1"/>
  <c r="C946" i="1"/>
  <c r="E946" i="1" s="1"/>
  <c r="D938" i="1"/>
  <c r="D939" i="1"/>
  <c r="D940" i="1"/>
  <c r="D941" i="1"/>
  <c r="D942" i="1"/>
  <c r="D943" i="1"/>
  <c r="D944" i="1"/>
  <c r="D945" i="1"/>
  <c r="D946" i="1"/>
  <c r="K938" i="1"/>
  <c r="K939" i="1"/>
  <c r="K940" i="1"/>
  <c r="K941" i="1"/>
  <c r="K942" i="1"/>
  <c r="K943" i="1"/>
  <c r="K944" i="1"/>
  <c r="K945" i="1"/>
  <c r="K946" i="1"/>
  <c r="M938" i="1"/>
  <c r="M939" i="1"/>
  <c r="M940" i="1"/>
  <c r="M941" i="1"/>
  <c r="M942" i="1"/>
  <c r="M943" i="1"/>
  <c r="M944" i="1"/>
  <c r="M945" i="1"/>
  <c r="M946" i="1"/>
  <c r="N938" i="1"/>
  <c r="N939" i="1"/>
  <c r="N940" i="1"/>
  <c r="N941" i="1"/>
  <c r="N942" i="1"/>
  <c r="N943" i="1"/>
  <c r="N944" i="1"/>
  <c r="N945" i="1"/>
  <c r="N946" i="1"/>
  <c r="P938" i="1"/>
  <c r="P939" i="1"/>
  <c r="P940" i="1"/>
  <c r="P941" i="1"/>
  <c r="P942" i="1"/>
  <c r="P943" i="1"/>
  <c r="P944" i="1"/>
  <c r="P945" i="1"/>
  <c r="P946" i="1"/>
  <c r="A683" i="1"/>
  <c r="A684" i="1"/>
  <c r="A685" i="1"/>
  <c r="A686" i="1"/>
  <c r="A933" i="1"/>
  <c r="A934" i="1"/>
  <c r="A935" i="1"/>
  <c r="A936" i="1"/>
  <c r="A937" i="1"/>
  <c r="C683" i="1"/>
  <c r="E683" i="1" s="1"/>
  <c r="C684" i="1"/>
  <c r="E684" i="1" s="1"/>
  <c r="C685" i="1"/>
  <c r="E685" i="1" s="1"/>
  <c r="C686" i="1"/>
  <c r="E686" i="1" s="1"/>
  <c r="C933" i="1"/>
  <c r="E933" i="1" s="1"/>
  <c r="C934" i="1"/>
  <c r="E934" i="1" s="1"/>
  <c r="C935" i="1"/>
  <c r="E935" i="1" s="1"/>
  <c r="C936" i="1"/>
  <c r="E936" i="1" s="1"/>
  <c r="C937" i="1"/>
  <c r="E937" i="1" s="1"/>
  <c r="D683" i="1"/>
  <c r="D684" i="1"/>
  <c r="D685" i="1"/>
  <c r="D686" i="1"/>
  <c r="D933" i="1"/>
  <c r="D934" i="1"/>
  <c r="D935" i="1"/>
  <c r="D936" i="1"/>
  <c r="D937" i="1"/>
  <c r="K683" i="1"/>
  <c r="K684" i="1"/>
  <c r="K685" i="1"/>
  <c r="K686" i="1"/>
  <c r="K933" i="1"/>
  <c r="K934" i="1"/>
  <c r="K935" i="1"/>
  <c r="K936" i="1"/>
  <c r="K937" i="1"/>
  <c r="M683" i="1"/>
  <c r="M684" i="1"/>
  <c r="M685" i="1"/>
  <c r="M686" i="1"/>
  <c r="M933" i="1"/>
  <c r="M934" i="1"/>
  <c r="M935" i="1"/>
  <c r="M936" i="1"/>
  <c r="M937" i="1"/>
  <c r="N683" i="1"/>
  <c r="N684" i="1"/>
  <c r="N685" i="1"/>
  <c r="N686" i="1"/>
  <c r="N933" i="1"/>
  <c r="N934" i="1"/>
  <c r="N935" i="1"/>
  <c r="N936" i="1"/>
  <c r="N937" i="1"/>
  <c r="P683" i="1"/>
  <c r="P684" i="1"/>
  <c r="P685" i="1"/>
  <c r="P686" i="1"/>
  <c r="P933" i="1"/>
  <c r="P934" i="1"/>
  <c r="P935" i="1"/>
  <c r="P936" i="1"/>
  <c r="P937" i="1"/>
  <c r="A931" i="1"/>
  <c r="A932" i="1"/>
  <c r="C931" i="1"/>
  <c r="E931" i="1" s="1"/>
  <c r="C932" i="1"/>
  <c r="E932" i="1" s="1"/>
  <c r="D931" i="1"/>
  <c r="D932" i="1"/>
  <c r="K931" i="1"/>
  <c r="K932" i="1"/>
  <c r="M931" i="1"/>
  <c r="M932" i="1"/>
  <c r="N931" i="1"/>
  <c r="N932" i="1"/>
  <c r="P931" i="1"/>
  <c r="P932" i="1"/>
  <c r="A682" i="1"/>
  <c r="A930" i="1"/>
  <c r="C682" i="1"/>
  <c r="E682" i="1" s="1"/>
  <c r="C930" i="1"/>
  <c r="E930" i="1" s="1"/>
  <c r="D682" i="1"/>
  <c r="D930" i="1"/>
  <c r="K682" i="1"/>
  <c r="K930" i="1"/>
  <c r="M682" i="1"/>
  <c r="M930" i="1"/>
  <c r="N682" i="1"/>
  <c r="N930" i="1"/>
  <c r="P682" i="1"/>
  <c r="P930" i="1"/>
  <c r="A963" i="1"/>
  <c r="C963" i="1"/>
  <c r="E963" i="1" s="1"/>
  <c r="D963" i="1"/>
  <c r="K963" i="1"/>
  <c r="M963" i="1"/>
  <c r="N963" i="1"/>
  <c r="P963" i="1"/>
  <c r="A927" i="1"/>
  <c r="A928" i="1"/>
  <c r="A929" i="1"/>
  <c r="C927" i="1"/>
  <c r="E927" i="1" s="1"/>
  <c r="C928" i="1"/>
  <c r="E928" i="1" s="1"/>
  <c r="C929" i="1"/>
  <c r="E929" i="1" s="1"/>
  <c r="D927" i="1"/>
  <c r="D928" i="1"/>
  <c r="D929" i="1"/>
  <c r="K927" i="1"/>
  <c r="K928" i="1"/>
  <c r="K929" i="1"/>
  <c r="M927" i="1"/>
  <c r="M928" i="1"/>
  <c r="M929" i="1"/>
  <c r="N927" i="1"/>
  <c r="N928" i="1"/>
  <c r="N929" i="1"/>
  <c r="P927" i="1"/>
  <c r="P928" i="1"/>
  <c r="P929" i="1"/>
  <c r="A961" i="1"/>
  <c r="A962" i="1"/>
  <c r="A926" i="1"/>
  <c r="C961" i="1"/>
  <c r="E961" i="1" s="1"/>
  <c r="C962" i="1"/>
  <c r="E962" i="1" s="1"/>
  <c r="C926" i="1"/>
  <c r="E926" i="1" s="1"/>
  <c r="D961" i="1"/>
  <c r="D962" i="1"/>
  <c r="D926" i="1"/>
  <c r="K961" i="1"/>
  <c r="K962" i="1"/>
  <c r="K926" i="1"/>
  <c r="M961" i="1"/>
  <c r="M962" i="1"/>
  <c r="M926" i="1"/>
  <c r="N961" i="1"/>
  <c r="N962" i="1"/>
  <c r="N926" i="1"/>
  <c r="P961" i="1"/>
  <c r="P962" i="1"/>
  <c r="P926" i="1"/>
  <c r="A920" i="1"/>
  <c r="A921" i="1"/>
  <c r="A922" i="1"/>
  <c r="A923" i="1"/>
  <c r="A924" i="1"/>
  <c r="A925" i="1"/>
  <c r="C920" i="1"/>
  <c r="E920" i="1" s="1"/>
  <c r="C921" i="1"/>
  <c r="E921" i="1" s="1"/>
  <c r="C922" i="1"/>
  <c r="E922" i="1" s="1"/>
  <c r="C923" i="1"/>
  <c r="E923" i="1" s="1"/>
  <c r="C924" i="1"/>
  <c r="E924" i="1" s="1"/>
  <c r="C925" i="1"/>
  <c r="E925" i="1" s="1"/>
  <c r="D920" i="1"/>
  <c r="D921" i="1"/>
  <c r="D922" i="1"/>
  <c r="D923" i="1"/>
  <c r="D924" i="1"/>
  <c r="D925" i="1"/>
  <c r="K920" i="1"/>
  <c r="K921" i="1"/>
  <c r="K922" i="1"/>
  <c r="K923" i="1"/>
  <c r="K924" i="1"/>
  <c r="K925" i="1"/>
  <c r="M920" i="1"/>
  <c r="M921" i="1"/>
  <c r="M922" i="1"/>
  <c r="M923" i="1"/>
  <c r="M924" i="1"/>
  <c r="M925" i="1"/>
  <c r="N920" i="1"/>
  <c r="N921" i="1"/>
  <c r="N922" i="1"/>
  <c r="N923" i="1"/>
  <c r="N924" i="1"/>
  <c r="N925" i="1"/>
  <c r="P920" i="1"/>
  <c r="P921" i="1"/>
  <c r="P922" i="1"/>
  <c r="P923" i="1"/>
  <c r="P924" i="1"/>
  <c r="P925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C947" i="1"/>
  <c r="E947" i="1" s="1"/>
  <c r="C948" i="1"/>
  <c r="E948" i="1" s="1"/>
  <c r="C949" i="1"/>
  <c r="E949" i="1" s="1"/>
  <c r="C950" i="1"/>
  <c r="E950" i="1" s="1"/>
  <c r="C951" i="1"/>
  <c r="E951" i="1" s="1"/>
  <c r="C952" i="1"/>
  <c r="E952" i="1" s="1"/>
  <c r="C953" i="1"/>
  <c r="E953" i="1" s="1"/>
  <c r="C954" i="1"/>
  <c r="E954" i="1" s="1"/>
  <c r="C955" i="1"/>
  <c r="E955" i="1" s="1"/>
  <c r="C956" i="1"/>
  <c r="E956" i="1" s="1"/>
  <c r="C957" i="1"/>
  <c r="E957" i="1" s="1"/>
  <c r="C958" i="1"/>
  <c r="E958" i="1" s="1"/>
  <c r="C959" i="1"/>
  <c r="E959" i="1" s="1"/>
  <c r="C960" i="1"/>
  <c r="E960" i="1" s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A917" i="1"/>
  <c r="A918" i="1"/>
  <c r="A681" i="1"/>
  <c r="A919" i="1"/>
  <c r="C917" i="1"/>
  <c r="E917" i="1" s="1"/>
  <c r="C918" i="1"/>
  <c r="E918" i="1" s="1"/>
  <c r="C681" i="1"/>
  <c r="E681" i="1" s="1"/>
  <c r="C919" i="1"/>
  <c r="E919" i="1" s="1"/>
  <c r="D917" i="1"/>
  <c r="D918" i="1"/>
  <c r="D681" i="1"/>
  <c r="D919" i="1"/>
  <c r="K917" i="1"/>
  <c r="K918" i="1"/>
  <c r="K681" i="1"/>
  <c r="K919" i="1"/>
  <c r="M917" i="1"/>
  <c r="M918" i="1"/>
  <c r="M681" i="1"/>
  <c r="M919" i="1"/>
  <c r="N917" i="1"/>
  <c r="N918" i="1"/>
  <c r="N681" i="1"/>
  <c r="N919" i="1"/>
  <c r="P917" i="1"/>
  <c r="P918" i="1"/>
  <c r="P681" i="1"/>
  <c r="P919" i="1"/>
  <c r="A911" i="1"/>
  <c r="A912" i="1"/>
  <c r="A913" i="1"/>
  <c r="A914" i="1"/>
  <c r="A915" i="1"/>
  <c r="A916" i="1"/>
  <c r="C911" i="1"/>
  <c r="E911" i="1" s="1"/>
  <c r="C912" i="1"/>
  <c r="E912" i="1" s="1"/>
  <c r="C913" i="1"/>
  <c r="E913" i="1" s="1"/>
  <c r="C914" i="1"/>
  <c r="E914" i="1" s="1"/>
  <c r="C915" i="1"/>
  <c r="E915" i="1" s="1"/>
  <c r="C916" i="1"/>
  <c r="E916" i="1" s="1"/>
  <c r="D911" i="1"/>
  <c r="D912" i="1"/>
  <c r="D913" i="1"/>
  <c r="D914" i="1"/>
  <c r="D915" i="1"/>
  <c r="D916" i="1"/>
  <c r="K911" i="1"/>
  <c r="K912" i="1"/>
  <c r="K913" i="1"/>
  <c r="K914" i="1"/>
  <c r="K915" i="1"/>
  <c r="K916" i="1"/>
  <c r="M911" i="1"/>
  <c r="M912" i="1"/>
  <c r="M913" i="1"/>
  <c r="M914" i="1"/>
  <c r="M915" i="1"/>
  <c r="M916" i="1"/>
  <c r="N911" i="1"/>
  <c r="N912" i="1"/>
  <c r="N913" i="1"/>
  <c r="N914" i="1"/>
  <c r="N915" i="1"/>
  <c r="N916" i="1"/>
  <c r="P911" i="1"/>
  <c r="P912" i="1"/>
  <c r="P913" i="1"/>
  <c r="P914" i="1"/>
  <c r="P915" i="1"/>
  <c r="P916" i="1"/>
  <c r="A52" i="5"/>
  <c r="A53" i="5"/>
  <c r="C52" i="5"/>
  <c r="E52" i="5" s="1"/>
  <c r="C53" i="5"/>
  <c r="E53" i="5" s="1"/>
  <c r="D52" i="5"/>
  <c r="D53" i="5"/>
  <c r="A302" i="6"/>
  <c r="C302" i="6"/>
  <c r="E302" i="6" s="1"/>
  <c r="D302" i="6"/>
  <c r="K302" i="6"/>
  <c r="N302" i="6" s="1"/>
  <c r="O302" i="6" s="1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C287" i="6"/>
  <c r="E287" i="6" s="1"/>
  <c r="C288" i="6"/>
  <c r="E288" i="6" s="1"/>
  <c r="C289" i="6"/>
  <c r="E289" i="6" s="1"/>
  <c r="C290" i="6"/>
  <c r="E290" i="6" s="1"/>
  <c r="C291" i="6"/>
  <c r="E291" i="6" s="1"/>
  <c r="C292" i="6"/>
  <c r="E292" i="6" s="1"/>
  <c r="C293" i="6"/>
  <c r="E293" i="6" s="1"/>
  <c r="C294" i="6"/>
  <c r="E294" i="6" s="1"/>
  <c r="C295" i="6"/>
  <c r="E295" i="6" s="1"/>
  <c r="C296" i="6"/>
  <c r="E296" i="6" s="1"/>
  <c r="C297" i="6"/>
  <c r="E297" i="6" s="1"/>
  <c r="C298" i="6"/>
  <c r="E298" i="6" s="1"/>
  <c r="C299" i="6"/>
  <c r="E299" i="6" s="1"/>
  <c r="C300" i="6"/>
  <c r="E300" i="6" s="1"/>
  <c r="C301" i="6"/>
  <c r="E301" i="6" s="1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O287" i="6"/>
  <c r="K288" i="6"/>
  <c r="K289" i="6"/>
  <c r="N289" i="6" s="1"/>
  <c r="O289" i="6" s="1"/>
  <c r="K290" i="6"/>
  <c r="N290" i="6" s="1"/>
  <c r="O290" i="6" s="1"/>
  <c r="K291" i="6"/>
  <c r="N291" i="6" s="1"/>
  <c r="O291" i="6" s="1"/>
  <c r="N292" i="6"/>
  <c r="O292" i="6" s="1"/>
  <c r="K293" i="6"/>
  <c r="N293" i="6" s="1"/>
  <c r="O293" i="6" s="1"/>
  <c r="K294" i="6"/>
  <c r="N294" i="6" s="1"/>
  <c r="O294" i="6" s="1"/>
  <c r="N295" i="6"/>
  <c r="O295" i="6" s="1"/>
  <c r="K296" i="6"/>
  <c r="N296" i="6" s="1"/>
  <c r="O296" i="6" s="1"/>
  <c r="K297" i="6"/>
  <c r="N297" i="6" s="1"/>
  <c r="O297" i="6" s="1"/>
  <c r="K298" i="6"/>
  <c r="N298" i="6" s="1"/>
  <c r="O298" i="6" s="1"/>
  <c r="K299" i="6"/>
  <c r="N299" i="6" s="1"/>
  <c r="O299" i="6" s="1"/>
  <c r="K300" i="6"/>
  <c r="N300" i="6" s="1"/>
  <c r="O300" i="6" s="1"/>
  <c r="K301" i="6"/>
  <c r="N301" i="6" s="1"/>
  <c r="O301" i="6" s="1"/>
  <c r="N288" i="6" l="1"/>
  <c r="O288" i="6" s="1"/>
  <c r="A1225" i="1"/>
  <c r="C1225" i="1"/>
  <c r="E1225" i="1" s="1"/>
  <c r="D1225" i="1"/>
  <c r="K1225" i="1"/>
  <c r="M1225" i="1"/>
  <c r="N1225" i="1"/>
  <c r="P1225" i="1"/>
  <c r="A1224" i="1"/>
  <c r="C1224" i="1"/>
  <c r="E1224" i="1" s="1"/>
  <c r="D1224" i="1"/>
  <c r="K1224" i="1"/>
  <c r="M1224" i="1"/>
  <c r="N1224" i="1"/>
  <c r="P1224" i="1"/>
  <c r="A1221" i="1"/>
  <c r="A1222" i="1"/>
  <c r="A1223" i="1"/>
  <c r="C1221" i="1"/>
  <c r="E1221" i="1" s="1"/>
  <c r="C1222" i="1"/>
  <c r="E1222" i="1" s="1"/>
  <c r="C1223" i="1"/>
  <c r="E1223" i="1" s="1"/>
  <c r="D1221" i="1"/>
  <c r="D1222" i="1"/>
  <c r="D1223" i="1"/>
  <c r="K1221" i="1"/>
  <c r="K1222" i="1"/>
  <c r="K1223" i="1"/>
  <c r="M1221" i="1"/>
  <c r="M1222" i="1"/>
  <c r="M1223" i="1"/>
  <c r="N1221" i="1"/>
  <c r="N1222" i="1"/>
  <c r="N1223" i="1"/>
  <c r="P1221" i="1"/>
  <c r="P1222" i="1"/>
  <c r="P1223" i="1"/>
  <c r="A1220" i="1"/>
  <c r="C1220" i="1"/>
  <c r="E1220" i="1" s="1"/>
  <c r="D1220" i="1"/>
  <c r="K1220" i="1"/>
  <c r="M1220" i="1"/>
  <c r="N1220" i="1"/>
  <c r="P1220" i="1"/>
  <c r="A1218" i="1"/>
  <c r="A1219" i="1"/>
  <c r="C1218" i="1"/>
  <c r="E1218" i="1" s="1"/>
  <c r="C1219" i="1"/>
  <c r="E1219" i="1" s="1"/>
  <c r="D1218" i="1"/>
  <c r="D1219" i="1"/>
  <c r="K1218" i="1"/>
  <c r="K1219" i="1"/>
  <c r="M1218" i="1"/>
  <c r="M1219" i="1"/>
  <c r="N1218" i="1"/>
  <c r="N1219" i="1"/>
  <c r="P1218" i="1"/>
  <c r="P1219" i="1"/>
  <c r="A1216" i="1"/>
  <c r="A1217" i="1"/>
  <c r="C1216" i="1"/>
  <c r="E1216" i="1" s="1"/>
  <c r="C1217" i="1"/>
  <c r="E1217" i="1" s="1"/>
  <c r="D1216" i="1"/>
  <c r="D1217" i="1"/>
  <c r="K1216" i="1"/>
  <c r="K1217" i="1"/>
  <c r="M1216" i="1"/>
  <c r="M1217" i="1"/>
  <c r="N1216" i="1"/>
  <c r="N1217" i="1"/>
  <c r="P1216" i="1"/>
  <c r="P1217" i="1"/>
  <c r="A1214" i="1"/>
  <c r="A1215" i="1"/>
  <c r="C1214" i="1"/>
  <c r="E1214" i="1" s="1"/>
  <c r="C1215" i="1"/>
  <c r="E1215" i="1" s="1"/>
  <c r="D1214" i="1"/>
  <c r="D1215" i="1"/>
  <c r="K1214" i="1"/>
  <c r="K1215" i="1"/>
  <c r="M1214" i="1"/>
  <c r="M1215" i="1"/>
  <c r="N1214" i="1"/>
  <c r="N1215" i="1"/>
  <c r="P1214" i="1"/>
  <c r="P1215" i="1"/>
  <c r="A1212" i="1"/>
  <c r="A1213" i="1"/>
  <c r="C1212" i="1"/>
  <c r="E1212" i="1" s="1"/>
  <c r="C1213" i="1"/>
  <c r="E1213" i="1" s="1"/>
  <c r="D1212" i="1"/>
  <c r="D1213" i="1"/>
  <c r="K1212" i="1"/>
  <c r="K1213" i="1"/>
  <c r="M1212" i="1"/>
  <c r="M1213" i="1"/>
  <c r="N1212" i="1"/>
  <c r="N1213" i="1"/>
  <c r="P1212" i="1"/>
  <c r="P1213" i="1"/>
  <c r="A1230" i="1"/>
  <c r="A1231" i="1"/>
  <c r="A1232" i="1"/>
  <c r="A1233" i="1"/>
  <c r="A1234" i="1"/>
  <c r="A1235" i="1"/>
  <c r="A1236" i="1"/>
  <c r="A1237" i="1"/>
  <c r="C1230" i="1"/>
  <c r="E1230" i="1" s="1"/>
  <c r="C1231" i="1"/>
  <c r="E1231" i="1" s="1"/>
  <c r="C1232" i="1"/>
  <c r="E1232" i="1" s="1"/>
  <c r="C1233" i="1"/>
  <c r="E1233" i="1" s="1"/>
  <c r="C1234" i="1"/>
  <c r="E1234" i="1" s="1"/>
  <c r="C1235" i="1"/>
  <c r="E1235" i="1" s="1"/>
  <c r="C1236" i="1"/>
  <c r="E1236" i="1" s="1"/>
  <c r="C1237" i="1"/>
  <c r="E1237" i="1" s="1"/>
  <c r="D1230" i="1"/>
  <c r="D1231" i="1"/>
  <c r="D1232" i="1"/>
  <c r="D1233" i="1"/>
  <c r="D1234" i="1"/>
  <c r="D1235" i="1"/>
  <c r="D1236" i="1"/>
  <c r="D1237" i="1"/>
  <c r="K1230" i="1"/>
  <c r="K1231" i="1"/>
  <c r="K1232" i="1"/>
  <c r="K1233" i="1"/>
  <c r="K1234" i="1"/>
  <c r="K1235" i="1"/>
  <c r="K1236" i="1"/>
  <c r="K1237" i="1"/>
  <c r="M1230" i="1"/>
  <c r="M1231" i="1"/>
  <c r="M1232" i="1"/>
  <c r="M1233" i="1"/>
  <c r="M1234" i="1"/>
  <c r="M1235" i="1"/>
  <c r="M1236" i="1"/>
  <c r="M1237" i="1"/>
  <c r="N1230" i="1"/>
  <c r="N1231" i="1"/>
  <c r="N1232" i="1"/>
  <c r="N1233" i="1"/>
  <c r="N1234" i="1"/>
  <c r="N1235" i="1"/>
  <c r="N1236" i="1"/>
  <c r="N1237" i="1"/>
  <c r="P1230" i="1"/>
  <c r="P1231" i="1"/>
  <c r="P1232" i="1"/>
  <c r="P1233" i="1"/>
  <c r="P1234" i="1"/>
  <c r="P1235" i="1"/>
  <c r="P1236" i="1"/>
  <c r="P1237" i="1"/>
  <c r="A1211" i="1"/>
  <c r="C1211" i="1"/>
  <c r="E1211" i="1" s="1"/>
  <c r="D1211" i="1"/>
  <c r="K1211" i="1"/>
  <c r="M1211" i="1"/>
  <c r="N1211" i="1"/>
  <c r="P1211" i="1"/>
  <c r="A1207" i="1"/>
  <c r="A1208" i="1"/>
  <c r="A1209" i="1"/>
  <c r="A1210" i="1"/>
  <c r="C1207" i="1"/>
  <c r="E1207" i="1" s="1"/>
  <c r="C1208" i="1"/>
  <c r="E1208" i="1" s="1"/>
  <c r="C1209" i="1"/>
  <c r="E1209" i="1" s="1"/>
  <c r="C1210" i="1"/>
  <c r="E1210" i="1" s="1"/>
  <c r="D1207" i="1"/>
  <c r="D1208" i="1"/>
  <c r="D1209" i="1"/>
  <c r="D1210" i="1"/>
  <c r="K1207" i="1"/>
  <c r="K1208" i="1"/>
  <c r="K1209" i="1"/>
  <c r="K1210" i="1"/>
  <c r="M1207" i="1"/>
  <c r="M1208" i="1"/>
  <c r="M1209" i="1"/>
  <c r="M1210" i="1"/>
  <c r="N1207" i="1"/>
  <c r="N1208" i="1"/>
  <c r="N1209" i="1"/>
  <c r="N1210" i="1"/>
  <c r="P1207" i="1"/>
  <c r="P1208" i="1"/>
  <c r="P1209" i="1"/>
  <c r="P1210" i="1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C264" i="6"/>
  <c r="E264" i="6" s="1"/>
  <c r="C265" i="6"/>
  <c r="E265" i="6" s="1"/>
  <c r="C266" i="6"/>
  <c r="E266" i="6" s="1"/>
  <c r="C267" i="6"/>
  <c r="E267" i="6" s="1"/>
  <c r="C268" i="6"/>
  <c r="E268" i="6" s="1"/>
  <c r="C269" i="6"/>
  <c r="E269" i="6" s="1"/>
  <c r="C270" i="6"/>
  <c r="E270" i="6" s="1"/>
  <c r="C271" i="6"/>
  <c r="E271" i="6" s="1"/>
  <c r="C272" i="6"/>
  <c r="E272" i="6" s="1"/>
  <c r="C273" i="6"/>
  <c r="E273" i="6" s="1"/>
  <c r="C274" i="6"/>
  <c r="E274" i="6" s="1"/>
  <c r="C275" i="6"/>
  <c r="E275" i="6" s="1"/>
  <c r="C276" i="6"/>
  <c r="E276" i="6" s="1"/>
  <c r="C277" i="6"/>
  <c r="E277" i="6" s="1"/>
  <c r="C278" i="6"/>
  <c r="E278" i="6" s="1"/>
  <c r="C279" i="6"/>
  <c r="E279" i="6" s="1"/>
  <c r="C280" i="6"/>
  <c r="E280" i="6" s="1"/>
  <c r="C281" i="6"/>
  <c r="E281" i="6" s="1"/>
  <c r="C282" i="6"/>
  <c r="E282" i="6" s="1"/>
  <c r="C283" i="6"/>
  <c r="E283" i="6" s="1"/>
  <c r="C284" i="6"/>
  <c r="E284" i="6" s="1"/>
  <c r="C285" i="6"/>
  <c r="E285" i="6" s="1"/>
  <c r="C286" i="6"/>
  <c r="E286" i="6" s="1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K264" i="6"/>
  <c r="K265" i="6"/>
  <c r="N265" i="6" s="1"/>
  <c r="O265" i="6" s="1"/>
  <c r="K266" i="6"/>
  <c r="N266" i="6" s="1"/>
  <c r="O266" i="6" s="1"/>
  <c r="K267" i="6"/>
  <c r="N267" i="6" s="1"/>
  <c r="O267" i="6" s="1"/>
  <c r="K268" i="6"/>
  <c r="N268" i="6" s="1"/>
  <c r="O268" i="6" s="1"/>
  <c r="K269" i="6"/>
  <c r="N269" i="6" s="1"/>
  <c r="O269" i="6" s="1"/>
  <c r="K270" i="6"/>
  <c r="N270" i="6" s="1"/>
  <c r="O270" i="6" s="1"/>
  <c r="K271" i="6"/>
  <c r="N271" i="6" s="1"/>
  <c r="O271" i="6" s="1"/>
  <c r="K272" i="6"/>
  <c r="N272" i="6" s="1"/>
  <c r="O272" i="6" s="1"/>
  <c r="K273" i="6"/>
  <c r="N273" i="6" s="1"/>
  <c r="O273" i="6" s="1"/>
  <c r="K274" i="6"/>
  <c r="N274" i="6" s="1"/>
  <c r="O274" i="6" s="1"/>
  <c r="K275" i="6"/>
  <c r="N275" i="6" s="1"/>
  <c r="O275" i="6" s="1"/>
  <c r="K276" i="6"/>
  <c r="N276" i="6" s="1"/>
  <c r="O276" i="6" s="1"/>
  <c r="K277" i="6"/>
  <c r="N277" i="6" s="1"/>
  <c r="O277" i="6" s="1"/>
  <c r="K278" i="6"/>
  <c r="N278" i="6" s="1"/>
  <c r="O278" i="6" s="1"/>
  <c r="K279" i="6"/>
  <c r="N279" i="6" s="1"/>
  <c r="O279" i="6" s="1"/>
  <c r="K280" i="6"/>
  <c r="N280" i="6" s="1"/>
  <c r="O280" i="6" s="1"/>
  <c r="K281" i="6"/>
  <c r="N281" i="6" s="1"/>
  <c r="O281" i="6" s="1"/>
  <c r="K282" i="6"/>
  <c r="N282" i="6" s="1"/>
  <c r="O282" i="6" s="1"/>
  <c r="K283" i="6"/>
  <c r="N283" i="6" s="1"/>
  <c r="O283" i="6" s="1"/>
  <c r="K284" i="6"/>
  <c r="N284" i="6" s="1"/>
  <c r="O284" i="6" s="1"/>
  <c r="K285" i="6"/>
  <c r="N285" i="6" s="1"/>
  <c r="O285" i="6" s="1"/>
  <c r="K286" i="6"/>
  <c r="N286" i="6" s="1"/>
  <c r="O286" i="6" s="1"/>
  <c r="H1109" i="1"/>
  <c r="A1109" i="1"/>
  <c r="C1109" i="1"/>
  <c r="E1109" i="1" s="1"/>
  <c r="D1109" i="1"/>
  <c r="K1109" i="1"/>
  <c r="M1109" i="1"/>
  <c r="N1109" i="1"/>
  <c r="P1109" i="1"/>
  <c r="N264" i="6" l="1"/>
  <c r="O264" i="6" s="1"/>
  <c r="A1245" i="1"/>
  <c r="C1245" i="1"/>
  <c r="E1245" i="1" s="1"/>
  <c r="D1245" i="1"/>
  <c r="K1245" i="1"/>
  <c r="N1245" i="1"/>
  <c r="P1245" i="1"/>
  <c r="A416" i="1"/>
  <c r="C416" i="1"/>
  <c r="E416" i="1" s="1"/>
  <c r="D416" i="1"/>
  <c r="K416" i="1"/>
  <c r="M416" i="1"/>
  <c r="N416" i="1"/>
  <c r="P416" i="1"/>
  <c r="A415" i="1"/>
  <c r="C415" i="1"/>
  <c r="E415" i="1" s="1"/>
  <c r="D415" i="1"/>
  <c r="K415" i="1"/>
  <c r="M415" i="1"/>
  <c r="N415" i="1"/>
  <c r="P415" i="1"/>
  <c r="A414" i="1"/>
  <c r="C414" i="1"/>
  <c r="E414" i="1" s="1"/>
  <c r="D414" i="1"/>
  <c r="K414" i="1"/>
  <c r="M414" i="1"/>
  <c r="N414" i="1"/>
  <c r="P414" i="1"/>
  <c r="A412" i="1"/>
  <c r="A413" i="1"/>
  <c r="C412" i="1"/>
  <c r="E412" i="1" s="1"/>
  <c r="C413" i="1"/>
  <c r="E413" i="1" s="1"/>
  <c r="D412" i="1"/>
  <c r="D413" i="1"/>
  <c r="K412" i="1"/>
  <c r="K413" i="1"/>
  <c r="M412" i="1"/>
  <c r="M413" i="1"/>
  <c r="N412" i="1"/>
  <c r="N413" i="1"/>
  <c r="P412" i="1"/>
  <c r="P413" i="1"/>
  <c r="A411" i="1"/>
  <c r="C411" i="1"/>
  <c r="E411" i="1" s="1"/>
  <c r="D411" i="1"/>
  <c r="K411" i="1"/>
  <c r="M411" i="1"/>
  <c r="N411" i="1"/>
  <c r="P411" i="1"/>
  <c r="A51" i="5"/>
  <c r="C51" i="5"/>
  <c r="E51" i="5" s="1"/>
  <c r="D51" i="5"/>
  <c r="A263" i="6"/>
  <c r="C263" i="6"/>
  <c r="E263" i="6" s="1"/>
  <c r="D263" i="6"/>
  <c r="K263" i="6"/>
  <c r="N263" i="6" s="1"/>
  <c r="O263" i="6" s="1"/>
  <c r="A25" i="9" l="1"/>
  <c r="C25" i="9"/>
  <c r="D25" i="9"/>
  <c r="E25" i="9"/>
  <c r="M25" i="9"/>
  <c r="P25" i="9"/>
  <c r="R25" i="9"/>
  <c r="S25" i="9"/>
  <c r="U25" i="9"/>
  <c r="A24" i="9"/>
  <c r="C24" i="9"/>
  <c r="D24" i="9"/>
  <c r="E24" i="9"/>
  <c r="P24" i="9"/>
  <c r="R24" i="9"/>
  <c r="S24" i="9"/>
  <c r="U24" i="9"/>
  <c r="A23" i="9"/>
  <c r="C23" i="9"/>
  <c r="D23" i="9"/>
  <c r="E23" i="9"/>
  <c r="P23" i="9"/>
  <c r="R23" i="9"/>
  <c r="S23" i="9"/>
  <c r="U23" i="9"/>
  <c r="A13" i="9"/>
  <c r="C13" i="9"/>
  <c r="D13" i="9"/>
  <c r="E13" i="9"/>
  <c r="M13" i="9"/>
  <c r="P13" i="9"/>
  <c r="R13" i="9"/>
  <c r="S13" i="9"/>
  <c r="U13" i="9"/>
  <c r="A1264" i="1"/>
  <c r="C1264" i="1"/>
  <c r="E1264" i="1" s="1"/>
  <c r="D1264" i="1"/>
  <c r="K1264" i="1"/>
  <c r="M1264" i="1"/>
  <c r="N1264" i="1"/>
  <c r="P1264" i="1"/>
  <c r="A1173" i="1"/>
  <c r="A1174" i="1"/>
  <c r="C1173" i="1"/>
  <c r="E1173" i="1" s="1"/>
  <c r="C1174" i="1"/>
  <c r="E1174" i="1" s="1"/>
  <c r="D1173" i="1"/>
  <c r="D1174" i="1"/>
  <c r="K1173" i="1"/>
  <c r="K1174" i="1"/>
  <c r="M1173" i="1"/>
  <c r="M1174" i="1"/>
  <c r="N1173" i="1"/>
  <c r="N1174" i="1"/>
  <c r="P1173" i="1"/>
  <c r="P1174" i="1"/>
  <c r="A1172" i="1"/>
  <c r="C1172" i="1"/>
  <c r="E1172" i="1" s="1"/>
  <c r="D1172" i="1"/>
  <c r="K1172" i="1"/>
  <c r="M1172" i="1"/>
  <c r="N1172" i="1"/>
  <c r="P1172" i="1"/>
  <c r="A1171" i="1"/>
  <c r="C1171" i="1"/>
  <c r="E1171" i="1" s="1"/>
  <c r="D1171" i="1"/>
  <c r="K1171" i="1"/>
  <c r="M1171" i="1"/>
  <c r="N1171" i="1"/>
  <c r="P1171" i="1"/>
  <c r="A1170" i="1"/>
  <c r="C1170" i="1"/>
  <c r="E1170" i="1" s="1"/>
  <c r="D1170" i="1"/>
  <c r="K1170" i="1"/>
  <c r="M1170" i="1"/>
  <c r="N1170" i="1"/>
  <c r="P1170" i="1"/>
  <c r="A1169" i="1"/>
  <c r="C1169" i="1"/>
  <c r="E1169" i="1" s="1"/>
  <c r="D1169" i="1"/>
  <c r="K1169" i="1"/>
  <c r="M1169" i="1"/>
  <c r="N1169" i="1"/>
  <c r="P1169" i="1"/>
  <c r="A1168" i="1"/>
  <c r="C1168" i="1"/>
  <c r="E1168" i="1" s="1"/>
  <c r="D1168" i="1"/>
  <c r="K1168" i="1"/>
  <c r="M1168" i="1"/>
  <c r="N1168" i="1"/>
  <c r="P1168" i="1"/>
  <c r="A1167" i="1"/>
  <c r="C1167" i="1"/>
  <c r="E1167" i="1" s="1"/>
  <c r="D1167" i="1"/>
  <c r="K1167" i="1"/>
  <c r="M1167" i="1"/>
  <c r="N1167" i="1"/>
  <c r="P1167" i="1"/>
  <c r="A1160" i="1"/>
  <c r="A1161" i="1"/>
  <c r="A1162" i="1"/>
  <c r="A1163" i="1"/>
  <c r="A1164" i="1"/>
  <c r="A1165" i="1"/>
  <c r="A1166" i="1"/>
  <c r="C1160" i="1"/>
  <c r="E1160" i="1" s="1"/>
  <c r="C1161" i="1"/>
  <c r="E1161" i="1" s="1"/>
  <c r="C1162" i="1"/>
  <c r="E1162" i="1" s="1"/>
  <c r="C1163" i="1"/>
  <c r="E1163" i="1" s="1"/>
  <c r="C1164" i="1"/>
  <c r="E1164" i="1" s="1"/>
  <c r="C1165" i="1"/>
  <c r="E1165" i="1" s="1"/>
  <c r="C1166" i="1"/>
  <c r="E1166" i="1" s="1"/>
  <c r="D1160" i="1"/>
  <c r="D1161" i="1"/>
  <c r="D1162" i="1"/>
  <c r="D1163" i="1"/>
  <c r="D1164" i="1"/>
  <c r="D1165" i="1"/>
  <c r="D1166" i="1"/>
  <c r="K1160" i="1"/>
  <c r="K1161" i="1"/>
  <c r="K1162" i="1"/>
  <c r="K1163" i="1"/>
  <c r="K1164" i="1"/>
  <c r="K1165" i="1"/>
  <c r="K1166" i="1"/>
  <c r="M1160" i="1"/>
  <c r="M1161" i="1"/>
  <c r="M1162" i="1"/>
  <c r="M1163" i="1"/>
  <c r="M1164" i="1"/>
  <c r="M1165" i="1"/>
  <c r="M1166" i="1"/>
  <c r="N1160" i="1"/>
  <c r="N1161" i="1"/>
  <c r="N1162" i="1"/>
  <c r="N1163" i="1"/>
  <c r="N1164" i="1"/>
  <c r="N1165" i="1"/>
  <c r="N1166" i="1"/>
  <c r="P1160" i="1"/>
  <c r="P1161" i="1"/>
  <c r="P1162" i="1"/>
  <c r="P1163" i="1"/>
  <c r="P1164" i="1"/>
  <c r="P1165" i="1"/>
  <c r="P1166" i="1"/>
  <c r="A1182" i="1"/>
  <c r="A1183" i="1"/>
  <c r="C1182" i="1"/>
  <c r="E1182" i="1" s="1"/>
  <c r="C1183" i="1"/>
  <c r="E1183" i="1" s="1"/>
  <c r="D1182" i="1"/>
  <c r="D1183" i="1"/>
  <c r="K1182" i="1"/>
  <c r="K1183" i="1"/>
  <c r="M1182" i="1"/>
  <c r="M1183" i="1"/>
  <c r="N1182" i="1"/>
  <c r="N1183" i="1"/>
  <c r="P1182" i="1"/>
  <c r="P1183" i="1"/>
  <c r="A1159" i="1"/>
  <c r="C1159" i="1"/>
  <c r="E1159" i="1" s="1"/>
  <c r="D1159" i="1"/>
  <c r="K1159" i="1"/>
  <c r="M1159" i="1"/>
  <c r="N1159" i="1"/>
  <c r="P1159" i="1"/>
  <c r="A1175" i="1"/>
  <c r="A1176" i="1"/>
  <c r="A1177" i="1"/>
  <c r="A1178" i="1"/>
  <c r="A1179" i="1"/>
  <c r="A1180" i="1"/>
  <c r="A1181" i="1"/>
  <c r="C1175" i="1"/>
  <c r="E1175" i="1" s="1"/>
  <c r="C1176" i="1"/>
  <c r="E1176" i="1" s="1"/>
  <c r="C1177" i="1"/>
  <c r="E1177" i="1" s="1"/>
  <c r="C1178" i="1"/>
  <c r="E1178" i="1" s="1"/>
  <c r="C1179" i="1"/>
  <c r="E1179" i="1" s="1"/>
  <c r="C1180" i="1"/>
  <c r="E1180" i="1" s="1"/>
  <c r="C1181" i="1"/>
  <c r="E1181" i="1" s="1"/>
  <c r="D1175" i="1"/>
  <c r="D1176" i="1"/>
  <c r="D1177" i="1"/>
  <c r="D1178" i="1"/>
  <c r="D1179" i="1"/>
  <c r="D1180" i="1"/>
  <c r="D1181" i="1"/>
  <c r="K1175" i="1"/>
  <c r="K1176" i="1"/>
  <c r="K1177" i="1"/>
  <c r="K1178" i="1"/>
  <c r="K1179" i="1"/>
  <c r="K1180" i="1"/>
  <c r="K1181" i="1"/>
  <c r="M1175" i="1"/>
  <c r="M1176" i="1"/>
  <c r="M1177" i="1"/>
  <c r="M1178" i="1"/>
  <c r="M1179" i="1"/>
  <c r="M1180" i="1"/>
  <c r="M1181" i="1"/>
  <c r="N1175" i="1"/>
  <c r="N1176" i="1"/>
  <c r="N1177" i="1"/>
  <c r="N1178" i="1"/>
  <c r="N1179" i="1"/>
  <c r="N1180" i="1"/>
  <c r="N1181" i="1"/>
  <c r="P1175" i="1"/>
  <c r="P1176" i="1"/>
  <c r="P1177" i="1"/>
  <c r="P1178" i="1"/>
  <c r="P1179" i="1"/>
  <c r="P1180" i="1"/>
  <c r="P1181" i="1"/>
  <c r="A1158" i="1"/>
  <c r="C1158" i="1"/>
  <c r="E1158" i="1" s="1"/>
  <c r="D1158" i="1"/>
  <c r="K1158" i="1"/>
  <c r="M1158" i="1"/>
  <c r="N1158" i="1"/>
  <c r="P1158" i="1"/>
  <c r="A1155" i="1"/>
  <c r="A1156" i="1"/>
  <c r="A1157" i="1"/>
  <c r="C1155" i="1"/>
  <c r="E1155" i="1" s="1"/>
  <c r="C1156" i="1"/>
  <c r="E1156" i="1" s="1"/>
  <c r="C1157" i="1"/>
  <c r="E1157" i="1" s="1"/>
  <c r="D1155" i="1"/>
  <c r="D1156" i="1"/>
  <c r="D1157" i="1"/>
  <c r="K1155" i="1"/>
  <c r="K1156" i="1"/>
  <c r="K1157" i="1"/>
  <c r="M1155" i="1"/>
  <c r="M1156" i="1"/>
  <c r="M1157" i="1"/>
  <c r="N1155" i="1"/>
  <c r="N1156" i="1"/>
  <c r="N1157" i="1"/>
  <c r="P1155" i="1"/>
  <c r="P1156" i="1"/>
  <c r="P1157" i="1"/>
  <c r="A262" i="6"/>
  <c r="C262" i="6"/>
  <c r="E262" i="6" s="1"/>
  <c r="D262" i="6"/>
  <c r="K262" i="6"/>
  <c r="N262" i="6" s="1"/>
  <c r="O262" i="6" s="1"/>
  <c r="A256" i="6"/>
  <c r="A257" i="6"/>
  <c r="A258" i="6"/>
  <c r="A259" i="6"/>
  <c r="A260" i="6"/>
  <c r="A261" i="6"/>
  <c r="C256" i="6"/>
  <c r="E256" i="6" s="1"/>
  <c r="C257" i="6"/>
  <c r="E257" i="6" s="1"/>
  <c r="C258" i="6"/>
  <c r="E258" i="6" s="1"/>
  <c r="C259" i="6"/>
  <c r="E259" i="6" s="1"/>
  <c r="C260" i="6"/>
  <c r="E260" i="6" s="1"/>
  <c r="C261" i="6"/>
  <c r="E261" i="6" s="1"/>
  <c r="D256" i="6"/>
  <c r="D257" i="6"/>
  <c r="D258" i="6"/>
  <c r="D259" i="6"/>
  <c r="D260" i="6"/>
  <c r="D261" i="6"/>
  <c r="K256" i="6"/>
  <c r="N256" i="6" s="1"/>
  <c r="O256" i="6" s="1"/>
  <c r="K257" i="6"/>
  <c r="N257" i="6" s="1"/>
  <c r="O257" i="6" s="1"/>
  <c r="K258" i="6"/>
  <c r="N258" i="6" s="1"/>
  <c r="O258" i="6" s="1"/>
  <c r="K259" i="6"/>
  <c r="N259" i="6" s="1"/>
  <c r="O259" i="6" s="1"/>
  <c r="K260" i="6"/>
  <c r="N260" i="6" s="1"/>
  <c r="O260" i="6" s="1"/>
  <c r="K261" i="6"/>
  <c r="N261" i="6" s="1"/>
  <c r="O261" i="6" s="1"/>
  <c r="A22" i="9"/>
  <c r="C22" i="9"/>
  <c r="D22" i="9"/>
  <c r="E22" i="9"/>
  <c r="M22" i="9"/>
  <c r="P22" i="9"/>
  <c r="R22" i="9"/>
  <c r="S22" i="9"/>
  <c r="U22" i="9"/>
  <c r="A21" i="9" l="1"/>
  <c r="C21" i="9"/>
  <c r="D21" i="9"/>
  <c r="E21" i="9"/>
  <c r="M21" i="9"/>
  <c r="P21" i="9"/>
  <c r="R21" i="9"/>
  <c r="S21" i="9"/>
  <c r="U21" i="9"/>
  <c r="A1141" i="1"/>
  <c r="C1141" i="1"/>
  <c r="E1141" i="1" s="1"/>
  <c r="D1141" i="1"/>
  <c r="K1141" i="1"/>
  <c r="M1141" i="1"/>
  <c r="N1141" i="1"/>
  <c r="P1141" i="1"/>
  <c r="A1140" i="1"/>
  <c r="C1140" i="1"/>
  <c r="E1140" i="1" s="1"/>
  <c r="D1140" i="1"/>
  <c r="K1140" i="1"/>
  <c r="M1140" i="1"/>
  <c r="N1140" i="1"/>
  <c r="P1140" i="1"/>
  <c r="A1135" i="1"/>
  <c r="A1136" i="1"/>
  <c r="A1137" i="1"/>
  <c r="A1138" i="1"/>
  <c r="A1139" i="1"/>
  <c r="C1135" i="1"/>
  <c r="E1135" i="1" s="1"/>
  <c r="C1136" i="1"/>
  <c r="E1136" i="1" s="1"/>
  <c r="C1137" i="1"/>
  <c r="E1137" i="1" s="1"/>
  <c r="C1138" i="1"/>
  <c r="E1138" i="1" s="1"/>
  <c r="C1139" i="1"/>
  <c r="E1139" i="1" s="1"/>
  <c r="D1135" i="1"/>
  <c r="D1136" i="1"/>
  <c r="D1137" i="1"/>
  <c r="D1138" i="1"/>
  <c r="D1139" i="1"/>
  <c r="K1135" i="1"/>
  <c r="K1136" i="1"/>
  <c r="K1137" i="1"/>
  <c r="K1138" i="1"/>
  <c r="K1139" i="1"/>
  <c r="M1135" i="1"/>
  <c r="M1136" i="1"/>
  <c r="M1137" i="1"/>
  <c r="M1138" i="1"/>
  <c r="M1139" i="1"/>
  <c r="N1135" i="1"/>
  <c r="N1136" i="1"/>
  <c r="N1137" i="1"/>
  <c r="N1138" i="1"/>
  <c r="N1139" i="1"/>
  <c r="P1135" i="1"/>
  <c r="P1136" i="1"/>
  <c r="P1137" i="1"/>
  <c r="P1138" i="1"/>
  <c r="P1139" i="1"/>
  <c r="A1134" i="1"/>
  <c r="C1134" i="1"/>
  <c r="E1134" i="1" s="1"/>
  <c r="D1134" i="1"/>
  <c r="K1134" i="1"/>
  <c r="M1134" i="1"/>
  <c r="N1134" i="1"/>
  <c r="P1134" i="1"/>
  <c r="A1152" i="1"/>
  <c r="C1152" i="1"/>
  <c r="E1152" i="1" s="1"/>
  <c r="D1152" i="1"/>
  <c r="K1152" i="1"/>
  <c r="M1152" i="1"/>
  <c r="N1152" i="1"/>
  <c r="P1152" i="1"/>
  <c r="A1132" i="1"/>
  <c r="A1133" i="1"/>
  <c r="C1132" i="1"/>
  <c r="E1132" i="1" s="1"/>
  <c r="C1133" i="1"/>
  <c r="E1133" i="1" s="1"/>
  <c r="D1132" i="1"/>
  <c r="D1133" i="1"/>
  <c r="K1132" i="1"/>
  <c r="K1133" i="1"/>
  <c r="M1132" i="1"/>
  <c r="M1133" i="1"/>
  <c r="N1132" i="1"/>
  <c r="N1133" i="1"/>
  <c r="P1132" i="1"/>
  <c r="P1133" i="1"/>
  <c r="A1142" i="1"/>
  <c r="A1143" i="1"/>
  <c r="A1144" i="1"/>
  <c r="A1145" i="1"/>
  <c r="A1146" i="1"/>
  <c r="A1147" i="1"/>
  <c r="A1148" i="1"/>
  <c r="A1149" i="1"/>
  <c r="A1150" i="1"/>
  <c r="A1151" i="1"/>
  <c r="C1142" i="1"/>
  <c r="E1142" i="1" s="1"/>
  <c r="C1143" i="1"/>
  <c r="E1143" i="1" s="1"/>
  <c r="C1144" i="1"/>
  <c r="E1144" i="1" s="1"/>
  <c r="C1145" i="1"/>
  <c r="E1145" i="1" s="1"/>
  <c r="C1146" i="1"/>
  <c r="E1146" i="1" s="1"/>
  <c r="C1147" i="1"/>
  <c r="E1147" i="1" s="1"/>
  <c r="C1148" i="1"/>
  <c r="E1148" i="1" s="1"/>
  <c r="C1149" i="1"/>
  <c r="E1149" i="1" s="1"/>
  <c r="C1150" i="1"/>
  <c r="E1150" i="1" s="1"/>
  <c r="C1151" i="1"/>
  <c r="E1151" i="1" s="1"/>
  <c r="D1142" i="1"/>
  <c r="D1143" i="1"/>
  <c r="D1144" i="1"/>
  <c r="D1145" i="1"/>
  <c r="D1146" i="1"/>
  <c r="D1147" i="1"/>
  <c r="D1148" i="1"/>
  <c r="D1149" i="1"/>
  <c r="D1150" i="1"/>
  <c r="D1151" i="1"/>
  <c r="K1142" i="1"/>
  <c r="K1143" i="1"/>
  <c r="K1144" i="1"/>
  <c r="K1145" i="1"/>
  <c r="K1146" i="1"/>
  <c r="K1147" i="1"/>
  <c r="K1148" i="1"/>
  <c r="K1149" i="1"/>
  <c r="K1150" i="1"/>
  <c r="K1151" i="1"/>
  <c r="M1142" i="1"/>
  <c r="M1143" i="1"/>
  <c r="M1144" i="1"/>
  <c r="M1145" i="1"/>
  <c r="M1146" i="1"/>
  <c r="M1147" i="1"/>
  <c r="M1148" i="1"/>
  <c r="M1149" i="1"/>
  <c r="M1150" i="1"/>
  <c r="M1151" i="1"/>
  <c r="N1142" i="1"/>
  <c r="N1143" i="1"/>
  <c r="N1144" i="1"/>
  <c r="N1145" i="1"/>
  <c r="N1146" i="1"/>
  <c r="N1147" i="1"/>
  <c r="N1148" i="1"/>
  <c r="N1149" i="1"/>
  <c r="N1150" i="1"/>
  <c r="N1151" i="1"/>
  <c r="P1142" i="1"/>
  <c r="P1143" i="1"/>
  <c r="P1144" i="1"/>
  <c r="P1145" i="1"/>
  <c r="P1146" i="1"/>
  <c r="P1147" i="1"/>
  <c r="P1148" i="1"/>
  <c r="P1149" i="1"/>
  <c r="P1150" i="1"/>
  <c r="P1151" i="1"/>
  <c r="A1130" i="1"/>
  <c r="A1131" i="1"/>
  <c r="C1130" i="1"/>
  <c r="E1130" i="1" s="1"/>
  <c r="C1131" i="1"/>
  <c r="E1131" i="1" s="1"/>
  <c r="D1130" i="1"/>
  <c r="D1131" i="1"/>
  <c r="K1130" i="1"/>
  <c r="K1131" i="1"/>
  <c r="M1130" i="1"/>
  <c r="M1131" i="1"/>
  <c r="N1130" i="1"/>
  <c r="N1131" i="1"/>
  <c r="P1130" i="1"/>
  <c r="P1131" i="1"/>
  <c r="A1127" i="1"/>
  <c r="A1128" i="1"/>
  <c r="A1129" i="1"/>
  <c r="C1127" i="1"/>
  <c r="E1127" i="1" s="1"/>
  <c r="C1128" i="1"/>
  <c r="E1128" i="1" s="1"/>
  <c r="C1129" i="1"/>
  <c r="E1129" i="1" s="1"/>
  <c r="D1127" i="1"/>
  <c r="D1128" i="1"/>
  <c r="D1129" i="1"/>
  <c r="K1127" i="1"/>
  <c r="K1128" i="1"/>
  <c r="K1129" i="1"/>
  <c r="M1127" i="1"/>
  <c r="M1128" i="1"/>
  <c r="M1129" i="1"/>
  <c r="N1127" i="1"/>
  <c r="N1128" i="1"/>
  <c r="N1129" i="1"/>
  <c r="P1127" i="1"/>
  <c r="P1128" i="1"/>
  <c r="P1129" i="1"/>
  <c r="A1126" i="1"/>
  <c r="C1126" i="1"/>
  <c r="E1126" i="1" s="1"/>
  <c r="D1126" i="1"/>
  <c r="K1126" i="1"/>
  <c r="M1126" i="1"/>
  <c r="N1126" i="1"/>
  <c r="P1126" i="1"/>
  <c r="A50" i="5"/>
  <c r="C50" i="5"/>
  <c r="E50" i="5" s="1"/>
  <c r="D50" i="5"/>
  <c r="A255" i="6"/>
  <c r="C255" i="6"/>
  <c r="E255" i="6" s="1"/>
  <c r="D255" i="6"/>
  <c r="K255" i="6"/>
  <c r="N255" i="6" s="1"/>
  <c r="O255" i="6" s="1"/>
  <c r="A250" i="6"/>
  <c r="A251" i="6"/>
  <c r="A252" i="6"/>
  <c r="A253" i="6"/>
  <c r="A254" i="6"/>
  <c r="C250" i="6"/>
  <c r="E250" i="6" s="1"/>
  <c r="C251" i="6"/>
  <c r="E251" i="6" s="1"/>
  <c r="C252" i="6"/>
  <c r="E252" i="6" s="1"/>
  <c r="C253" i="6"/>
  <c r="E253" i="6" s="1"/>
  <c r="C254" i="6"/>
  <c r="E254" i="6" s="1"/>
  <c r="D250" i="6"/>
  <c r="D251" i="6"/>
  <c r="D252" i="6"/>
  <c r="D253" i="6"/>
  <c r="D254" i="6"/>
  <c r="K250" i="6"/>
  <c r="N250" i="6" s="1"/>
  <c r="O250" i="6" s="1"/>
  <c r="K251" i="6"/>
  <c r="N251" i="6" s="1"/>
  <c r="O251" i="6" s="1"/>
  <c r="K252" i="6"/>
  <c r="N252" i="6" s="1"/>
  <c r="O252" i="6" s="1"/>
  <c r="K253" i="6"/>
  <c r="N253" i="6" s="1"/>
  <c r="O253" i="6" s="1"/>
  <c r="K254" i="6"/>
  <c r="N254" i="6" s="1"/>
  <c r="O254" i="6" s="1"/>
  <c r="A266" i="1"/>
  <c r="C266" i="1"/>
  <c r="E266" i="1" s="1"/>
  <c r="D266" i="1"/>
  <c r="K266" i="1"/>
  <c r="M266" i="1"/>
  <c r="N266" i="1"/>
  <c r="P266" i="1"/>
  <c r="A1154" i="1"/>
  <c r="C1154" i="1"/>
  <c r="E1154" i="1" s="1"/>
  <c r="D1154" i="1"/>
  <c r="K1154" i="1"/>
  <c r="M1154" i="1"/>
  <c r="N1154" i="1"/>
  <c r="P1154" i="1"/>
  <c r="A1153" i="1"/>
  <c r="C1153" i="1"/>
  <c r="E1153" i="1" s="1"/>
  <c r="D1153" i="1"/>
  <c r="K1153" i="1"/>
  <c r="M1153" i="1"/>
  <c r="N1153" i="1"/>
  <c r="P1153" i="1"/>
  <c r="A536" i="1" l="1"/>
  <c r="C536" i="1"/>
  <c r="E536" i="1" s="1"/>
  <c r="D536" i="1"/>
  <c r="K536" i="1"/>
  <c r="M536" i="1"/>
  <c r="N536" i="1"/>
  <c r="P536" i="1"/>
  <c r="A535" i="1"/>
  <c r="C535" i="1"/>
  <c r="E535" i="1" s="1"/>
  <c r="D535" i="1"/>
  <c r="K535" i="1"/>
  <c r="M535" i="1"/>
  <c r="N535" i="1"/>
  <c r="P535" i="1"/>
  <c r="A537" i="1"/>
  <c r="C537" i="1"/>
  <c r="E537" i="1" s="1"/>
  <c r="D537" i="1"/>
  <c r="K537" i="1"/>
  <c r="M537" i="1"/>
  <c r="N537" i="1"/>
  <c r="P537" i="1"/>
  <c r="A534" i="1"/>
  <c r="C534" i="1"/>
  <c r="E534" i="1" s="1"/>
  <c r="D534" i="1"/>
  <c r="K534" i="1"/>
  <c r="M534" i="1"/>
  <c r="N534" i="1"/>
  <c r="P534" i="1"/>
  <c r="A531" i="1"/>
  <c r="C531" i="1"/>
  <c r="E531" i="1" s="1"/>
  <c r="D531" i="1"/>
  <c r="K531" i="1"/>
  <c r="M531" i="1"/>
  <c r="N531" i="1"/>
  <c r="P531" i="1"/>
  <c r="A533" i="1"/>
  <c r="C533" i="1"/>
  <c r="E533" i="1" s="1"/>
  <c r="D533" i="1"/>
  <c r="K533" i="1"/>
  <c r="M533" i="1"/>
  <c r="N533" i="1"/>
  <c r="P533" i="1"/>
  <c r="A532" i="1"/>
  <c r="C532" i="1"/>
  <c r="E532" i="1" s="1"/>
  <c r="D532" i="1"/>
  <c r="K532" i="1"/>
  <c r="M532" i="1"/>
  <c r="N532" i="1"/>
  <c r="P532" i="1"/>
  <c r="A249" i="6"/>
  <c r="C249" i="6"/>
  <c r="E249" i="6" s="1"/>
  <c r="D249" i="6"/>
  <c r="K249" i="6"/>
  <c r="N249" i="6" s="1"/>
  <c r="O249" i="6" s="1"/>
  <c r="A248" i="6"/>
  <c r="C248" i="6"/>
  <c r="E248" i="6" s="1"/>
  <c r="D248" i="6"/>
  <c r="K248" i="6"/>
  <c r="N248" i="6" s="1"/>
  <c r="O248" i="6" s="1"/>
  <c r="A396" i="1" l="1"/>
  <c r="C396" i="1"/>
  <c r="E396" i="1" s="1"/>
  <c r="D396" i="1"/>
  <c r="K396" i="1"/>
  <c r="M396" i="1"/>
  <c r="N396" i="1"/>
  <c r="P396" i="1"/>
  <c r="A395" i="1"/>
  <c r="C395" i="1"/>
  <c r="E395" i="1" s="1"/>
  <c r="D395" i="1"/>
  <c r="K395" i="1"/>
  <c r="M395" i="1"/>
  <c r="N395" i="1"/>
  <c r="P395" i="1"/>
  <c r="A394" i="1"/>
  <c r="C394" i="1"/>
  <c r="E394" i="1" s="1"/>
  <c r="D394" i="1"/>
  <c r="K394" i="1"/>
  <c r="M394" i="1"/>
  <c r="N394" i="1"/>
  <c r="P394" i="1"/>
  <c r="A397" i="1"/>
  <c r="C397" i="1"/>
  <c r="E397" i="1" s="1"/>
  <c r="D397" i="1"/>
  <c r="K397" i="1"/>
  <c r="M397" i="1"/>
  <c r="N397" i="1"/>
  <c r="P397" i="1"/>
  <c r="A391" i="1"/>
  <c r="C391" i="1"/>
  <c r="E391" i="1" s="1"/>
  <c r="D391" i="1"/>
  <c r="K391" i="1"/>
  <c r="M391" i="1"/>
  <c r="N391" i="1"/>
  <c r="P391" i="1"/>
  <c r="A393" i="1"/>
  <c r="C393" i="1"/>
  <c r="E393" i="1" s="1"/>
  <c r="D393" i="1"/>
  <c r="K393" i="1"/>
  <c r="M393" i="1"/>
  <c r="N393" i="1"/>
  <c r="P393" i="1"/>
  <c r="A392" i="1"/>
  <c r="C392" i="1"/>
  <c r="E392" i="1" s="1"/>
  <c r="D392" i="1"/>
  <c r="K392" i="1"/>
  <c r="M392" i="1"/>
  <c r="N392" i="1"/>
  <c r="P392" i="1"/>
  <c r="A1098" i="1" l="1"/>
  <c r="C1098" i="1"/>
  <c r="E1098" i="1" s="1"/>
  <c r="D1098" i="1"/>
  <c r="K1098" i="1"/>
  <c r="M1098" i="1"/>
  <c r="N1098" i="1"/>
  <c r="P1098" i="1"/>
  <c r="A1092" i="1" l="1"/>
  <c r="C1092" i="1"/>
  <c r="E1092" i="1" s="1"/>
  <c r="D1092" i="1"/>
  <c r="K1092" i="1"/>
  <c r="M1092" i="1"/>
  <c r="N1092" i="1"/>
  <c r="P1092" i="1"/>
  <c r="A1087" i="1"/>
  <c r="A1088" i="1"/>
  <c r="A1089" i="1"/>
  <c r="A1090" i="1"/>
  <c r="A1091" i="1"/>
  <c r="C1087" i="1"/>
  <c r="E1087" i="1" s="1"/>
  <c r="C1088" i="1"/>
  <c r="E1088" i="1" s="1"/>
  <c r="C1089" i="1"/>
  <c r="E1089" i="1" s="1"/>
  <c r="C1090" i="1"/>
  <c r="E1090" i="1" s="1"/>
  <c r="C1091" i="1"/>
  <c r="E1091" i="1" s="1"/>
  <c r="D1087" i="1"/>
  <c r="D1088" i="1"/>
  <c r="D1089" i="1"/>
  <c r="D1090" i="1"/>
  <c r="D1091" i="1"/>
  <c r="K1087" i="1"/>
  <c r="K1088" i="1"/>
  <c r="K1089" i="1"/>
  <c r="K1090" i="1"/>
  <c r="K1091" i="1"/>
  <c r="M1087" i="1"/>
  <c r="M1088" i="1"/>
  <c r="M1089" i="1"/>
  <c r="M1090" i="1"/>
  <c r="M1091" i="1"/>
  <c r="N1087" i="1"/>
  <c r="N1088" i="1"/>
  <c r="N1089" i="1"/>
  <c r="N1090" i="1"/>
  <c r="N1091" i="1"/>
  <c r="P1087" i="1"/>
  <c r="P1088" i="1"/>
  <c r="P1089" i="1"/>
  <c r="P1090" i="1"/>
  <c r="P1091" i="1"/>
  <c r="A1051" i="1"/>
  <c r="C1051" i="1"/>
  <c r="E1051" i="1" s="1"/>
  <c r="D1051" i="1"/>
  <c r="K1051" i="1"/>
  <c r="M1051" i="1"/>
  <c r="N1051" i="1"/>
  <c r="P1051" i="1"/>
  <c r="A247" i="6"/>
  <c r="C247" i="6"/>
  <c r="E247" i="6" s="1"/>
  <c r="D247" i="6"/>
  <c r="K247" i="6"/>
  <c r="N247" i="6" s="1"/>
  <c r="O247" i="6" s="1"/>
  <c r="A1050" i="1"/>
  <c r="C1050" i="1"/>
  <c r="E1050" i="1" s="1"/>
  <c r="D1050" i="1"/>
  <c r="K1050" i="1"/>
  <c r="M1050" i="1"/>
  <c r="N1050" i="1"/>
  <c r="P1050" i="1"/>
  <c r="A1049" i="1"/>
  <c r="C1049" i="1"/>
  <c r="E1049" i="1" s="1"/>
  <c r="D1049" i="1"/>
  <c r="K1049" i="1"/>
  <c r="M1049" i="1"/>
  <c r="N1049" i="1"/>
  <c r="P1049" i="1"/>
  <c r="A1048" i="1"/>
  <c r="C1048" i="1"/>
  <c r="E1048" i="1" s="1"/>
  <c r="D1048" i="1"/>
  <c r="K1048" i="1"/>
  <c r="M1048" i="1"/>
  <c r="N1048" i="1"/>
  <c r="P1048" i="1"/>
  <c r="A1017" i="1" l="1"/>
  <c r="C1017" i="1"/>
  <c r="E1017" i="1" s="1"/>
  <c r="D1017" i="1"/>
  <c r="K1017" i="1"/>
  <c r="M1017" i="1"/>
  <c r="N1017" i="1"/>
  <c r="P1017" i="1"/>
  <c r="A1016" i="1"/>
  <c r="A1047" i="1"/>
  <c r="A756" i="1"/>
  <c r="C1016" i="1"/>
  <c r="E1016" i="1" s="1"/>
  <c r="C1047" i="1"/>
  <c r="E1047" i="1" s="1"/>
  <c r="C756" i="1"/>
  <c r="E756" i="1" s="1"/>
  <c r="D1016" i="1"/>
  <c r="D1047" i="1"/>
  <c r="D756" i="1"/>
  <c r="K1016" i="1"/>
  <c r="K1047" i="1"/>
  <c r="K756" i="1"/>
  <c r="M1016" i="1"/>
  <c r="M1047" i="1"/>
  <c r="M756" i="1"/>
  <c r="N1016" i="1"/>
  <c r="N1047" i="1"/>
  <c r="N756" i="1"/>
  <c r="P1016" i="1"/>
  <c r="P1047" i="1"/>
  <c r="P756" i="1"/>
  <c r="A755" i="1"/>
  <c r="C755" i="1"/>
  <c r="E755" i="1" s="1"/>
  <c r="D755" i="1"/>
  <c r="K755" i="1"/>
  <c r="M755" i="1"/>
  <c r="N755" i="1"/>
  <c r="P755" i="1"/>
  <c r="A1046" i="1"/>
  <c r="C1046" i="1"/>
  <c r="E1046" i="1" s="1"/>
  <c r="D1046" i="1"/>
  <c r="K1046" i="1"/>
  <c r="M1046" i="1"/>
  <c r="N1046" i="1"/>
  <c r="P1046" i="1"/>
  <c r="A1015" i="1" l="1"/>
  <c r="C1015" i="1"/>
  <c r="E1015" i="1" s="1"/>
  <c r="D1015" i="1"/>
  <c r="K1015" i="1"/>
  <c r="M1015" i="1"/>
  <c r="N1015" i="1"/>
  <c r="P1015" i="1"/>
  <c r="A1097" i="1"/>
  <c r="C1097" i="1"/>
  <c r="E1097" i="1" s="1"/>
  <c r="D1097" i="1"/>
  <c r="K1097" i="1"/>
  <c r="M1097" i="1"/>
  <c r="N1097" i="1"/>
  <c r="P1097" i="1"/>
  <c r="A20" i="9"/>
  <c r="C20" i="9"/>
  <c r="D20" i="9"/>
  <c r="E20" i="9"/>
  <c r="M20" i="9"/>
  <c r="P20" i="9"/>
  <c r="R20" i="9"/>
  <c r="S20" i="9"/>
  <c r="U20" i="9"/>
  <c r="A1096" i="1" l="1"/>
  <c r="C1096" i="1"/>
  <c r="E1096" i="1" s="1"/>
  <c r="D1096" i="1"/>
  <c r="K1096" i="1"/>
  <c r="M1096" i="1"/>
  <c r="N1096" i="1"/>
  <c r="P1096" i="1"/>
  <c r="A1095" i="1"/>
  <c r="C1095" i="1"/>
  <c r="E1095" i="1" s="1"/>
  <c r="D1095" i="1"/>
  <c r="K1095" i="1"/>
  <c r="M1095" i="1"/>
  <c r="N1095" i="1"/>
  <c r="P1095" i="1"/>
  <c r="A1094" i="1"/>
  <c r="C1094" i="1"/>
  <c r="E1094" i="1" s="1"/>
  <c r="D1094" i="1"/>
  <c r="K1094" i="1"/>
  <c r="M1094" i="1"/>
  <c r="N1094" i="1"/>
  <c r="P1094" i="1"/>
  <c r="A1093" i="1"/>
  <c r="C1093" i="1"/>
  <c r="E1093" i="1" s="1"/>
  <c r="D1093" i="1"/>
  <c r="K1093" i="1"/>
  <c r="M1093" i="1"/>
  <c r="N1093" i="1"/>
  <c r="P1093" i="1"/>
  <c r="A246" i="6"/>
  <c r="C246" i="6"/>
  <c r="E246" i="6" s="1"/>
  <c r="D246" i="6"/>
  <c r="K246" i="6"/>
  <c r="N246" i="6" s="1"/>
  <c r="O246" i="6" s="1"/>
  <c r="A245" i="6"/>
  <c r="C245" i="6"/>
  <c r="E245" i="6" s="1"/>
  <c r="D245" i="6"/>
  <c r="K245" i="6"/>
  <c r="N245" i="6" s="1"/>
  <c r="O245" i="6" s="1"/>
  <c r="A244" i="6"/>
  <c r="C244" i="6"/>
  <c r="E244" i="6" s="1"/>
  <c r="D244" i="6"/>
  <c r="K244" i="6"/>
  <c r="N244" i="6" s="1"/>
  <c r="O244" i="6" s="1"/>
  <c r="A1036" i="1"/>
  <c r="C1036" i="1"/>
  <c r="E1036" i="1" s="1"/>
  <c r="D1036" i="1"/>
  <c r="K1036" i="1"/>
  <c r="M1036" i="1"/>
  <c r="N1036" i="1"/>
  <c r="P1036" i="1"/>
  <c r="A1030" i="1"/>
  <c r="A1031" i="1"/>
  <c r="A1032" i="1"/>
  <c r="A1033" i="1"/>
  <c r="A1034" i="1"/>
  <c r="A1035" i="1"/>
  <c r="C1030" i="1"/>
  <c r="E1030" i="1" s="1"/>
  <c r="C1031" i="1"/>
  <c r="E1031" i="1" s="1"/>
  <c r="C1032" i="1"/>
  <c r="E1032" i="1" s="1"/>
  <c r="C1033" i="1"/>
  <c r="E1033" i="1" s="1"/>
  <c r="C1034" i="1"/>
  <c r="E1034" i="1" s="1"/>
  <c r="C1035" i="1"/>
  <c r="E1035" i="1" s="1"/>
  <c r="D1030" i="1"/>
  <c r="D1031" i="1"/>
  <c r="D1032" i="1"/>
  <c r="D1033" i="1"/>
  <c r="D1034" i="1"/>
  <c r="D1035" i="1"/>
  <c r="K1030" i="1"/>
  <c r="K1031" i="1"/>
  <c r="K1032" i="1"/>
  <c r="K1033" i="1"/>
  <c r="K1034" i="1"/>
  <c r="K1035" i="1"/>
  <c r="M1030" i="1"/>
  <c r="M1031" i="1"/>
  <c r="M1032" i="1"/>
  <c r="M1033" i="1"/>
  <c r="M1034" i="1"/>
  <c r="M1035" i="1"/>
  <c r="N1030" i="1"/>
  <c r="N1031" i="1"/>
  <c r="N1032" i="1"/>
  <c r="N1033" i="1"/>
  <c r="N1034" i="1"/>
  <c r="N1035" i="1"/>
  <c r="P1030" i="1"/>
  <c r="P1031" i="1"/>
  <c r="P1032" i="1"/>
  <c r="P1033" i="1"/>
  <c r="P1034" i="1"/>
  <c r="P1035" i="1"/>
  <c r="A1029" i="1"/>
  <c r="C1029" i="1"/>
  <c r="E1029" i="1" s="1"/>
  <c r="D1029" i="1"/>
  <c r="K1029" i="1"/>
  <c r="M1029" i="1"/>
  <c r="N1029" i="1"/>
  <c r="P1029" i="1"/>
  <c r="A1027" i="1"/>
  <c r="C1027" i="1"/>
  <c r="E1027" i="1" s="1"/>
  <c r="D1027" i="1"/>
  <c r="K1027" i="1"/>
  <c r="M1027" i="1"/>
  <c r="N1027" i="1"/>
  <c r="P1027" i="1"/>
  <c r="A1023" i="1"/>
  <c r="A1024" i="1"/>
  <c r="A1025" i="1"/>
  <c r="A1026" i="1"/>
  <c r="C1023" i="1"/>
  <c r="E1023" i="1" s="1"/>
  <c r="C1024" i="1"/>
  <c r="E1024" i="1" s="1"/>
  <c r="C1025" i="1"/>
  <c r="E1025" i="1" s="1"/>
  <c r="C1026" i="1"/>
  <c r="E1026" i="1" s="1"/>
  <c r="D1023" i="1"/>
  <c r="D1024" i="1"/>
  <c r="D1025" i="1"/>
  <c r="D1026" i="1"/>
  <c r="K1023" i="1"/>
  <c r="K1024" i="1"/>
  <c r="K1025" i="1"/>
  <c r="K1026" i="1"/>
  <c r="M1023" i="1"/>
  <c r="M1024" i="1"/>
  <c r="M1025" i="1"/>
  <c r="M1026" i="1"/>
  <c r="N1023" i="1"/>
  <c r="N1024" i="1"/>
  <c r="N1025" i="1"/>
  <c r="N1026" i="1"/>
  <c r="P1023" i="1"/>
  <c r="P1024" i="1"/>
  <c r="P1025" i="1"/>
  <c r="P1026" i="1"/>
  <c r="A1044" i="1"/>
  <c r="C1044" i="1"/>
  <c r="E1044" i="1" s="1"/>
  <c r="D1044" i="1"/>
  <c r="K1044" i="1"/>
  <c r="M1044" i="1"/>
  <c r="N1044" i="1"/>
  <c r="P1044" i="1"/>
  <c r="A1021" i="1"/>
  <c r="A1022" i="1"/>
  <c r="C1021" i="1"/>
  <c r="E1021" i="1" s="1"/>
  <c r="C1022" i="1"/>
  <c r="E1022" i="1" s="1"/>
  <c r="D1021" i="1"/>
  <c r="D1022" i="1"/>
  <c r="K1021" i="1"/>
  <c r="K1022" i="1"/>
  <c r="M1021" i="1"/>
  <c r="M1022" i="1"/>
  <c r="N1021" i="1"/>
  <c r="N1022" i="1"/>
  <c r="P1021" i="1"/>
  <c r="P1022" i="1"/>
  <c r="A1037" i="1"/>
  <c r="A1038" i="1"/>
  <c r="A1039" i="1"/>
  <c r="A1040" i="1"/>
  <c r="A1041" i="1"/>
  <c r="A1042" i="1"/>
  <c r="A1043" i="1"/>
  <c r="C1037" i="1"/>
  <c r="E1037" i="1" s="1"/>
  <c r="C1038" i="1"/>
  <c r="E1038" i="1" s="1"/>
  <c r="C1039" i="1"/>
  <c r="C1040" i="1"/>
  <c r="E1040" i="1" s="1"/>
  <c r="C1041" i="1"/>
  <c r="E1041" i="1" s="1"/>
  <c r="C1042" i="1"/>
  <c r="E1042" i="1" s="1"/>
  <c r="C1043" i="1"/>
  <c r="E1043" i="1" s="1"/>
  <c r="D1037" i="1"/>
  <c r="D1038" i="1"/>
  <c r="D1039" i="1"/>
  <c r="D1040" i="1"/>
  <c r="D1041" i="1"/>
  <c r="D1042" i="1"/>
  <c r="D1043" i="1"/>
  <c r="E1039" i="1"/>
  <c r="K1037" i="1"/>
  <c r="K1038" i="1"/>
  <c r="K1039" i="1"/>
  <c r="K1040" i="1"/>
  <c r="K1041" i="1"/>
  <c r="K1042" i="1"/>
  <c r="K1043" i="1"/>
  <c r="M1037" i="1"/>
  <c r="M1038" i="1"/>
  <c r="M1039" i="1"/>
  <c r="M1040" i="1"/>
  <c r="M1041" i="1"/>
  <c r="M1042" i="1"/>
  <c r="M1043" i="1"/>
  <c r="N1037" i="1"/>
  <c r="N1038" i="1"/>
  <c r="N1039" i="1"/>
  <c r="N1040" i="1"/>
  <c r="N1041" i="1"/>
  <c r="N1042" i="1"/>
  <c r="N1043" i="1"/>
  <c r="P1037" i="1"/>
  <c r="P1038" i="1"/>
  <c r="P1039" i="1"/>
  <c r="P1040" i="1"/>
  <c r="P1041" i="1"/>
  <c r="P1042" i="1"/>
  <c r="P1043" i="1"/>
  <c r="A1019" i="1"/>
  <c r="C1019" i="1"/>
  <c r="E1019" i="1" s="1"/>
  <c r="D1019" i="1"/>
  <c r="K1019" i="1"/>
  <c r="M1019" i="1"/>
  <c r="N1019" i="1"/>
  <c r="P1019" i="1"/>
  <c r="A1018" i="1"/>
  <c r="C1018" i="1"/>
  <c r="E1018" i="1" s="1"/>
  <c r="D1018" i="1"/>
  <c r="K1018" i="1"/>
  <c r="M1018" i="1"/>
  <c r="N1018" i="1"/>
  <c r="P1018" i="1"/>
  <c r="A243" i="6"/>
  <c r="C243" i="6"/>
  <c r="E243" i="6" s="1"/>
  <c r="D243" i="6"/>
  <c r="K243" i="6"/>
  <c r="N243" i="6" s="1"/>
  <c r="O243" i="6" s="1"/>
  <c r="A234" i="6"/>
  <c r="A235" i="6"/>
  <c r="A236" i="6"/>
  <c r="A237" i="6"/>
  <c r="A238" i="6"/>
  <c r="A239" i="6"/>
  <c r="A240" i="6"/>
  <c r="A241" i="6"/>
  <c r="A242" i="6"/>
  <c r="C234" i="6"/>
  <c r="E234" i="6" s="1"/>
  <c r="C235" i="6"/>
  <c r="E235" i="6" s="1"/>
  <c r="C236" i="6"/>
  <c r="E236" i="6" s="1"/>
  <c r="C237" i="6"/>
  <c r="E237" i="6" s="1"/>
  <c r="C238" i="6"/>
  <c r="E238" i="6" s="1"/>
  <c r="C239" i="6"/>
  <c r="E239" i="6" s="1"/>
  <c r="C240" i="6"/>
  <c r="E240" i="6" s="1"/>
  <c r="C241" i="6"/>
  <c r="E241" i="6" s="1"/>
  <c r="C242" i="6"/>
  <c r="E242" i="6" s="1"/>
  <c r="D234" i="6"/>
  <c r="D235" i="6"/>
  <c r="D236" i="6"/>
  <c r="D237" i="6"/>
  <c r="D238" i="6"/>
  <c r="D239" i="6"/>
  <c r="D240" i="6"/>
  <c r="D241" i="6"/>
  <c r="D242" i="6"/>
  <c r="K234" i="6"/>
  <c r="N234" i="6" s="1"/>
  <c r="K235" i="6"/>
  <c r="N235" i="6" s="1"/>
  <c r="O235" i="6" s="1"/>
  <c r="K236" i="6"/>
  <c r="N236" i="6" s="1"/>
  <c r="O236" i="6" s="1"/>
  <c r="K237" i="6"/>
  <c r="N237" i="6" s="1"/>
  <c r="O237" i="6" s="1"/>
  <c r="K238" i="6"/>
  <c r="N238" i="6" s="1"/>
  <c r="O238" i="6" s="1"/>
  <c r="K239" i="6"/>
  <c r="N239" i="6" s="1"/>
  <c r="O239" i="6" s="1"/>
  <c r="K240" i="6"/>
  <c r="N240" i="6" s="1"/>
  <c r="O240" i="6" s="1"/>
  <c r="K241" i="6"/>
  <c r="N241" i="6" s="1"/>
  <c r="O241" i="6" s="1"/>
  <c r="K242" i="6"/>
  <c r="N242" i="6" s="1"/>
  <c r="O242" i="6" s="1"/>
  <c r="A987" i="1"/>
  <c r="A988" i="1"/>
  <c r="C987" i="1"/>
  <c r="E987" i="1" s="1"/>
  <c r="C988" i="1"/>
  <c r="E988" i="1" s="1"/>
  <c r="D987" i="1"/>
  <c r="D988" i="1"/>
  <c r="K987" i="1"/>
  <c r="K988" i="1"/>
  <c r="M987" i="1"/>
  <c r="M988" i="1"/>
  <c r="N987" i="1"/>
  <c r="N988" i="1"/>
  <c r="P987" i="1"/>
  <c r="P988" i="1"/>
  <c r="A984" i="1"/>
  <c r="A985" i="1"/>
  <c r="A986" i="1"/>
  <c r="C984" i="1"/>
  <c r="E984" i="1" s="1"/>
  <c r="C985" i="1"/>
  <c r="E985" i="1" s="1"/>
  <c r="C986" i="1"/>
  <c r="E986" i="1" s="1"/>
  <c r="D984" i="1"/>
  <c r="D985" i="1"/>
  <c r="D986" i="1"/>
  <c r="K984" i="1"/>
  <c r="K985" i="1"/>
  <c r="K986" i="1"/>
  <c r="M984" i="1"/>
  <c r="M985" i="1"/>
  <c r="M986" i="1"/>
  <c r="N984" i="1"/>
  <c r="N985" i="1"/>
  <c r="N986" i="1"/>
  <c r="P984" i="1"/>
  <c r="P985" i="1"/>
  <c r="P986" i="1"/>
  <c r="A983" i="1"/>
  <c r="C983" i="1"/>
  <c r="E983" i="1" s="1"/>
  <c r="D983" i="1"/>
  <c r="K983" i="1"/>
  <c r="M983" i="1"/>
  <c r="N983" i="1"/>
  <c r="P983" i="1"/>
  <c r="A982" i="1"/>
  <c r="C982" i="1"/>
  <c r="E982" i="1" s="1"/>
  <c r="D982" i="1"/>
  <c r="K982" i="1"/>
  <c r="M982" i="1"/>
  <c r="N982" i="1"/>
  <c r="P982" i="1"/>
  <c r="A1002" i="1"/>
  <c r="A1003" i="1"/>
  <c r="C1002" i="1"/>
  <c r="E1002" i="1" s="1"/>
  <c r="C1003" i="1"/>
  <c r="E1003" i="1" s="1"/>
  <c r="D1002" i="1"/>
  <c r="D1003" i="1"/>
  <c r="K1002" i="1"/>
  <c r="K1003" i="1"/>
  <c r="M1002" i="1"/>
  <c r="M1003" i="1"/>
  <c r="N1002" i="1"/>
  <c r="N1003" i="1"/>
  <c r="P1002" i="1"/>
  <c r="P1003" i="1"/>
  <c r="A977" i="1"/>
  <c r="A978" i="1"/>
  <c r="A979" i="1"/>
  <c r="A980" i="1"/>
  <c r="A981" i="1"/>
  <c r="C977" i="1"/>
  <c r="E977" i="1" s="1"/>
  <c r="C978" i="1"/>
  <c r="E978" i="1" s="1"/>
  <c r="C979" i="1"/>
  <c r="E979" i="1" s="1"/>
  <c r="C980" i="1"/>
  <c r="E980" i="1" s="1"/>
  <c r="C981" i="1"/>
  <c r="E981" i="1" s="1"/>
  <c r="D977" i="1"/>
  <c r="D978" i="1"/>
  <c r="D979" i="1"/>
  <c r="D980" i="1"/>
  <c r="D981" i="1"/>
  <c r="K977" i="1"/>
  <c r="K978" i="1"/>
  <c r="K979" i="1"/>
  <c r="K980" i="1"/>
  <c r="K981" i="1"/>
  <c r="M977" i="1"/>
  <c r="M978" i="1"/>
  <c r="M979" i="1"/>
  <c r="M980" i="1"/>
  <c r="M981" i="1"/>
  <c r="N977" i="1"/>
  <c r="N978" i="1"/>
  <c r="N979" i="1"/>
  <c r="N980" i="1"/>
  <c r="N981" i="1"/>
  <c r="P977" i="1"/>
  <c r="P978" i="1"/>
  <c r="P979" i="1"/>
  <c r="P980" i="1"/>
  <c r="P981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C989" i="1"/>
  <c r="E989" i="1" s="1"/>
  <c r="C990" i="1"/>
  <c r="E990" i="1" s="1"/>
  <c r="C991" i="1"/>
  <c r="E991" i="1" s="1"/>
  <c r="C992" i="1"/>
  <c r="E992" i="1" s="1"/>
  <c r="C993" i="1"/>
  <c r="E993" i="1" s="1"/>
  <c r="C994" i="1"/>
  <c r="E994" i="1" s="1"/>
  <c r="C995" i="1"/>
  <c r="E995" i="1" s="1"/>
  <c r="C996" i="1"/>
  <c r="E996" i="1" s="1"/>
  <c r="C997" i="1"/>
  <c r="E997" i="1" s="1"/>
  <c r="C998" i="1"/>
  <c r="E998" i="1" s="1"/>
  <c r="C999" i="1"/>
  <c r="E999" i="1" s="1"/>
  <c r="C1000" i="1"/>
  <c r="E1000" i="1" s="1"/>
  <c r="C1001" i="1"/>
  <c r="E1001" i="1" s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A976" i="1"/>
  <c r="C976" i="1"/>
  <c r="E976" i="1" s="1"/>
  <c r="D976" i="1"/>
  <c r="K976" i="1"/>
  <c r="M976" i="1"/>
  <c r="N976" i="1"/>
  <c r="P976" i="1"/>
  <c r="A966" i="1"/>
  <c r="A967" i="1"/>
  <c r="A968" i="1"/>
  <c r="A969" i="1"/>
  <c r="A970" i="1"/>
  <c r="A971" i="1"/>
  <c r="A972" i="1"/>
  <c r="A973" i="1"/>
  <c r="A974" i="1"/>
  <c r="A975" i="1"/>
  <c r="C966" i="1"/>
  <c r="C967" i="1"/>
  <c r="E967" i="1" s="1"/>
  <c r="C968" i="1"/>
  <c r="E968" i="1" s="1"/>
  <c r="C969" i="1"/>
  <c r="E969" i="1" s="1"/>
  <c r="C970" i="1"/>
  <c r="E970" i="1" s="1"/>
  <c r="C971" i="1"/>
  <c r="E971" i="1" s="1"/>
  <c r="C972" i="1"/>
  <c r="E972" i="1" s="1"/>
  <c r="C973" i="1"/>
  <c r="E973" i="1" s="1"/>
  <c r="C974" i="1"/>
  <c r="E974" i="1" s="1"/>
  <c r="C975" i="1"/>
  <c r="E975" i="1" s="1"/>
  <c r="D966" i="1"/>
  <c r="D967" i="1"/>
  <c r="D968" i="1"/>
  <c r="D969" i="1"/>
  <c r="D970" i="1"/>
  <c r="D971" i="1"/>
  <c r="D972" i="1"/>
  <c r="D973" i="1"/>
  <c r="D974" i="1"/>
  <c r="D975" i="1"/>
  <c r="E966" i="1"/>
  <c r="K966" i="1"/>
  <c r="K967" i="1"/>
  <c r="K968" i="1"/>
  <c r="K969" i="1"/>
  <c r="K970" i="1"/>
  <c r="K971" i="1"/>
  <c r="K972" i="1"/>
  <c r="K973" i="1"/>
  <c r="K974" i="1"/>
  <c r="K975" i="1"/>
  <c r="M966" i="1"/>
  <c r="M967" i="1"/>
  <c r="M968" i="1"/>
  <c r="M969" i="1"/>
  <c r="M970" i="1"/>
  <c r="M971" i="1"/>
  <c r="M972" i="1"/>
  <c r="M973" i="1"/>
  <c r="M974" i="1"/>
  <c r="M975" i="1"/>
  <c r="N966" i="1"/>
  <c r="N967" i="1"/>
  <c r="N968" i="1"/>
  <c r="N969" i="1"/>
  <c r="N970" i="1"/>
  <c r="N971" i="1"/>
  <c r="N972" i="1"/>
  <c r="N973" i="1"/>
  <c r="N974" i="1"/>
  <c r="N975" i="1"/>
  <c r="P966" i="1"/>
  <c r="P967" i="1"/>
  <c r="P968" i="1"/>
  <c r="P969" i="1"/>
  <c r="P970" i="1"/>
  <c r="P971" i="1"/>
  <c r="P972" i="1"/>
  <c r="P973" i="1"/>
  <c r="P974" i="1"/>
  <c r="P975" i="1"/>
  <c r="A43" i="5"/>
  <c r="A44" i="5"/>
  <c r="A45" i="5"/>
  <c r="A46" i="5"/>
  <c r="A47" i="5"/>
  <c r="A48" i="5"/>
  <c r="A49" i="5"/>
  <c r="C43" i="5"/>
  <c r="E43" i="5" s="1"/>
  <c r="C44" i="5"/>
  <c r="E44" i="5" s="1"/>
  <c r="C45" i="5"/>
  <c r="E45" i="5" s="1"/>
  <c r="C46" i="5"/>
  <c r="E46" i="5" s="1"/>
  <c r="C47" i="5"/>
  <c r="E47" i="5" s="1"/>
  <c r="C48" i="5"/>
  <c r="E48" i="5" s="1"/>
  <c r="C49" i="5"/>
  <c r="E49" i="5" s="1"/>
  <c r="D43" i="5"/>
  <c r="D44" i="5"/>
  <c r="D45" i="5"/>
  <c r="D46" i="5"/>
  <c r="D47" i="5"/>
  <c r="D48" i="5"/>
  <c r="D49" i="5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C150" i="6"/>
  <c r="C151" i="6"/>
  <c r="C152" i="6"/>
  <c r="C153" i="6"/>
  <c r="C154" i="6"/>
  <c r="C155" i="6"/>
  <c r="C156" i="6"/>
  <c r="E156" i="6" s="1"/>
  <c r="C157" i="6"/>
  <c r="E157" i="6" s="1"/>
  <c r="C158" i="6"/>
  <c r="E158" i="6" s="1"/>
  <c r="C159" i="6"/>
  <c r="E159" i="6" s="1"/>
  <c r="C160" i="6"/>
  <c r="E160" i="6" s="1"/>
  <c r="C161" i="6"/>
  <c r="E161" i="6" s="1"/>
  <c r="C162" i="6"/>
  <c r="E162" i="6" s="1"/>
  <c r="C163" i="6"/>
  <c r="E163" i="6" s="1"/>
  <c r="C164" i="6"/>
  <c r="E164" i="6" s="1"/>
  <c r="C165" i="6"/>
  <c r="E165" i="6" s="1"/>
  <c r="C166" i="6"/>
  <c r="E166" i="6" s="1"/>
  <c r="C167" i="6"/>
  <c r="E167" i="6" s="1"/>
  <c r="C168" i="6"/>
  <c r="E168" i="6" s="1"/>
  <c r="C169" i="6"/>
  <c r="E169" i="6" s="1"/>
  <c r="C170" i="6"/>
  <c r="E170" i="6" s="1"/>
  <c r="C171" i="6"/>
  <c r="E171" i="6" s="1"/>
  <c r="C172" i="6"/>
  <c r="E172" i="6" s="1"/>
  <c r="C173" i="6"/>
  <c r="E173" i="6" s="1"/>
  <c r="C174" i="6"/>
  <c r="E174" i="6" s="1"/>
  <c r="C175" i="6"/>
  <c r="E175" i="6" s="1"/>
  <c r="C176" i="6"/>
  <c r="E176" i="6" s="1"/>
  <c r="C177" i="6"/>
  <c r="E177" i="6" s="1"/>
  <c r="C178" i="6"/>
  <c r="E178" i="6" s="1"/>
  <c r="C179" i="6"/>
  <c r="E179" i="6" s="1"/>
  <c r="C180" i="6"/>
  <c r="E180" i="6" s="1"/>
  <c r="C181" i="6"/>
  <c r="E181" i="6" s="1"/>
  <c r="C182" i="6"/>
  <c r="E182" i="6" s="1"/>
  <c r="C183" i="6"/>
  <c r="E183" i="6" s="1"/>
  <c r="C184" i="6"/>
  <c r="E184" i="6" s="1"/>
  <c r="C185" i="6"/>
  <c r="E185" i="6" s="1"/>
  <c r="C186" i="6"/>
  <c r="E186" i="6" s="1"/>
  <c r="C187" i="6"/>
  <c r="E187" i="6" s="1"/>
  <c r="C188" i="6"/>
  <c r="E188" i="6" s="1"/>
  <c r="C189" i="6"/>
  <c r="E189" i="6" s="1"/>
  <c r="C190" i="6"/>
  <c r="E190" i="6" s="1"/>
  <c r="C191" i="6"/>
  <c r="E191" i="6" s="1"/>
  <c r="C192" i="6"/>
  <c r="E192" i="6" s="1"/>
  <c r="C193" i="6"/>
  <c r="E193" i="6" s="1"/>
  <c r="C194" i="6"/>
  <c r="E194" i="6" s="1"/>
  <c r="C195" i="6"/>
  <c r="E195" i="6" s="1"/>
  <c r="C196" i="6"/>
  <c r="E196" i="6" s="1"/>
  <c r="C197" i="6"/>
  <c r="E197" i="6" s="1"/>
  <c r="C198" i="6"/>
  <c r="E198" i="6" s="1"/>
  <c r="C199" i="6"/>
  <c r="E199" i="6" s="1"/>
  <c r="C200" i="6"/>
  <c r="E200" i="6" s="1"/>
  <c r="C201" i="6"/>
  <c r="E201" i="6" s="1"/>
  <c r="C202" i="6"/>
  <c r="E202" i="6" s="1"/>
  <c r="C203" i="6"/>
  <c r="E203" i="6" s="1"/>
  <c r="C204" i="6"/>
  <c r="E204" i="6" s="1"/>
  <c r="C205" i="6"/>
  <c r="E205" i="6" s="1"/>
  <c r="C206" i="6"/>
  <c r="E206" i="6" s="1"/>
  <c r="C207" i="6"/>
  <c r="E207" i="6" s="1"/>
  <c r="C208" i="6"/>
  <c r="E208" i="6" s="1"/>
  <c r="C209" i="6"/>
  <c r="E209" i="6" s="1"/>
  <c r="C210" i="6"/>
  <c r="E210" i="6" s="1"/>
  <c r="C211" i="6"/>
  <c r="E211" i="6" s="1"/>
  <c r="C212" i="6"/>
  <c r="E212" i="6" s="1"/>
  <c r="C213" i="6"/>
  <c r="E213" i="6" s="1"/>
  <c r="C214" i="6"/>
  <c r="E214" i="6" s="1"/>
  <c r="C215" i="6"/>
  <c r="E215" i="6" s="1"/>
  <c r="C216" i="6"/>
  <c r="E216" i="6" s="1"/>
  <c r="C217" i="6"/>
  <c r="E217" i="6" s="1"/>
  <c r="C218" i="6"/>
  <c r="E218" i="6" s="1"/>
  <c r="C219" i="6"/>
  <c r="E219" i="6" s="1"/>
  <c r="C220" i="6"/>
  <c r="E220" i="6" s="1"/>
  <c r="C221" i="6"/>
  <c r="E221" i="6" s="1"/>
  <c r="C222" i="6"/>
  <c r="E222" i="6" s="1"/>
  <c r="C223" i="6"/>
  <c r="E223" i="6" s="1"/>
  <c r="C224" i="6"/>
  <c r="E224" i="6" s="1"/>
  <c r="C225" i="6"/>
  <c r="E225" i="6" s="1"/>
  <c r="C226" i="6"/>
  <c r="E226" i="6" s="1"/>
  <c r="C227" i="6"/>
  <c r="E227" i="6" s="1"/>
  <c r="C228" i="6"/>
  <c r="E228" i="6" s="1"/>
  <c r="C229" i="6"/>
  <c r="E229" i="6" s="1"/>
  <c r="C230" i="6"/>
  <c r="E230" i="6" s="1"/>
  <c r="C231" i="6"/>
  <c r="E231" i="6" s="1"/>
  <c r="C232" i="6"/>
  <c r="E232" i="6" s="1"/>
  <c r="C233" i="6"/>
  <c r="E233" i="6" s="1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E150" i="6"/>
  <c r="E151" i="6"/>
  <c r="E152" i="6"/>
  <c r="E153" i="6"/>
  <c r="E154" i="6"/>
  <c r="E155" i="6"/>
  <c r="K150" i="6"/>
  <c r="N150" i="6" s="1"/>
  <c r="O150" i="6" s="1"/>
  <c r="K151" i="6"/>
  <c r="N151" i="6" s="1"/>
  <c r="O151" i="6" s="1"/>
  <c r="K152" i="6"/>
  <c r="N152" i="6" s="1"/>
  <c r="O152" i="6" s="1"/>
  <c r="K153" i="6"/>
  <c r="N153" i="6" s="1"/>
  <c r="O153" i="6" s="1"/>
  <c r="K154" i="6"/>
  <c r="N154" i="6" s="1"/>
  <c r="O154" i="6" s="1"/>
  <c r="K155" i="6"/>
  <c r="N155" i="6" s="1"/>
  <c r="O155" i="6" s="1"/>
  <c r="K156" i="6"/>
  <c r="N156" i="6" s="1"/>
  <c r="O156" i="6" s="1"/>
  <c r="K157" i="6"/>
  <c r="N157" i="6" s="1"/>
  <c r="O157" i="6" s="1"/>
  <c r="K158" i="6"/>
  <c r="N158" i="6" s="1"/>
  <c r="O158" i="6" s="1"/>
  <c r="K159" i="6"/>
  <c r="N159" i="6" s="1"/>
  <c r="O159" i="6" s="1"/>
  <c r="K160" i="6"/>
  <c r="N160" i="6" s="1"/>
  <c r="O160" i="6" s="1"/>
  <c r="K161" i="6"/>
  <c r="N161" i="6" s="1"/>
  <c r="O161" i="6" s="1"/>
  <c r="K162" i="6"/>
  <c r="N162" i="6" s="1"/>
  <c r="O162" i="6" s="1"/>
  <c r="K163" i="6"/>
  <c r="N163" i="6" s="1"/>
  <c r="O163" i="6" s="1"/>
  <c r="K164" i="6"/>
  <c r="N164" i="6" s="1"/>
  <c r="O164" i="6" s="1"/>
  <c r="K165" i="6"/>
  <c r="N165" i="6" s="1"/>
  <c r="O165" i="6" s="1"/>
  <c r="K166" i="6"/>
  <c r="N166" i="6" s="1"/>
  <c r="O166" i="6" s="1"/>
  <c r="K167" i="6"/>
  <c r="N167" i="6" s="1"/>
  <c r="O167" i="6" s="1"/>
  <c r="K168" i="6"/>
  <c r="N168" i="6" s="1"/>
  <c r="O168" i="6" s="1"/>
  <c r="K169" i="6"/>
  <c r="N169" i="6" s="1"/>
  <c r="O169" i="6" s="1"/>
  <c r="K170" i="6"/>
  <c r="N170" i="6" s="1"/>
  <c r="O170" i="6" s="1"/>
  <c r="K171" i="6"/>
  <c r="N171" i="6" s="1"/>
  <c r="O171" i="6" s="1"/>
  <c r="K172" i="6"/>
  <c r="N172" i="6" s="1"/>
  <c r="O172" i="6" s="1"/>
  <c r="K173" i="6"/>
  <c r="N173" i="6" s="1"/>
  <c r="O173" i="6" s="1"/>
  <c r="K174" i="6"/>
  <c r="N174" i="6" s="1"/>
  <c r="O174" i="6" s="1"/>
  <c r="K175" i="6"/>
  <c r="N175" i="6" s="1"/>
  <c r="O175" i="6" s="1"/>
  <c r="K176" i="6"/>
  <c r="N176" i="6" s="1"/>
  <c r="O176" i="6" s="1"/>
  <c r="K177" i="6"/>
  <c r="N177" i="6" s="1"/>
  <c r="O177" i="6" s="1"/>
  <c r="K178" i="6"/>
  <c r="N178" i="6" s="1"/>
  <c r="O178" i="6" s="1"/>
  <c r="K179" i="6"/>
  <c r="N179" i="6" s="1"/>
  <c r="O179" i="6" s="1"/>
  <c r="K180" i="6"/>
  <c r="N180" i="6" s="1"/>
  <c r="O180" i="6" s="1"/>
  <c r="K181" i="6"/>
  <c r="N181" i="6" s="1"/>
  <c r="O181" i="6" s="1"/>
  <c r="K182" i="6"/>
  <c r="N182" i="6" s="1"/>
  <c r="O182" i="6" s="1"/>
  <c r="K183" i="6"/>
  <c r="N183" i="6" s="1"/>
  <c r="O183" i="6" s="1"/>
  <c r="K184" i="6"/>
  <c r="N184" i="6" s="1"/>
  <c r="O184" i="6" s="1"/>
  <c r="K185" i="6"/>
  <c r="N185" i="6" s="1"/>
  <c r="O185" i="6" s="1"/>
  <c r="K186" i="6"/>
  <c r="N186" i="6" s="1"/>
  <c r="O186" i="6" s="1"/>
  <c r="K187" i="6"/>
  <c r="N187" i="6" s="1"/>
  <c r="O187" i="6" s="1"/>
  <c r="K188" i="6"/>
  <c r="N188" i="6" s="1"/>
  <c r="O188" i="6" s="1"/>
  <c r="K189" i="6"/>
  <c r="N189" i="6" s="1"/>
  <c r="O189" i="6" s="1"/>
  <c r="K190" i="6"/>
  <c r="N190" i="6" s="1"/>
  <c r="O190" i="6" s="1"/>
  <c r="K191" i="6"/>
  <c r="N191" i="6" s="1"/>
  <c r="O191" i="6" s="1"/>
  <c r="K192" i="6"/>
  <c r="N192" i="6" s="1"/>
  <c r="O192" i="6" s="1"/>
  <c r="K193" i="6"/>
  <c r="N193" i="6" s="1"/>
  <c r="O193" i="6" s="1"/>
  <c r="K194" i="6"/>
  <c r="N194" i="6" s="1"/>
  <c r="O194" i="6" s="1"/>
  <c r="K195" i="6"/>
  <c r="N195" i="6" s="1"/>
  <c r="O195" i="6" s="1"/>
  <c r="K196" i="6"/>
  <c r="N196" i="6" s="1"/>
  <c r="O196" i="6" s="1"/>
  <c r="K197" i="6"/>
  <c r="N197" i="6" s="1"/>
  <c r="O197" i="6" s="1"/>
  <c r="K198" i="6"/>
  <c r="N198" i="6" s="1"/>
  <c r="O198" i="6" s="1"/>
  <c r="K199" i="6"/>
  <c r="N199" i="6" s="1"/>
  <c r="O199" i="6" s="1"/>
  <c r="K200" i="6"/>
  <c r="N200" i="6" s="1"/>
  <c r="O200" i="6" s="1"/>
  <c r="K201" i="6"/>
  <c r="N201" i="6" s="1"/>
  <c r="O201" i="6" s="1"/>
  <c r="K202" i="6"/>
  <c r="N202" i="6" s="1"/>
  <c r="O202" i="6" s="1"/>
  <c r="K203" i="6"/>
  <c r="N203" i="6" s="1"/>
  <c r="O203" i="6" s="1"/>
  <c r="K204" i="6"/>
  <c r="N204" i="6" s="1"/>
  <c r="O204" i="6" s="1"/>
  <c r="K205" i="6"/>
  <c r="N205" i="6" s="1"/>
  <c r="O205" i="6" s="1"/>
  <c r="K206" i="6"/>
  <c r="N206" i="6" s="1"/>
  <c r="O206" i="6" s="1"/>
  <c r="K207" i="6"/>
  <c r="N207" i="6" s="1"/>
  <c r="O207" i="6" s="1"/>
  <c r="K208" i="6"/>
  <c r="N208" i="6" s="1"/>
  <c r="O208" i="6" s="1"/>
  <c r="K209" i="6"/>
  <c r="N209" i="6" s="1"/>
  <c r="O209" i="6" s="1"/>
  <c r="K210" i="6"/>
  <c r="N210" i="6" s="1"/>
  <c r="O210" i="6" s="1"/>
  <c r="K211" i="6"/>
  <c r="N211" i="6" s="1"/>
  <c r="O211" i="6" s="1"/>
  <c r="K212" i="6"/>
  <c r="N212" i="6" s="1"/>
  <c r="O212" i="6" s="1"/>
  <c r="K213" i="6"/>
  <c r="N213" i="6" s="1"/>
  <c r="O213" i="6" s="1"/>
  <c r="K214" i="6"/>
  <c r="N214" i="6" s="1"/>
  <c r="O214" i="6" s="1"/>
  <c r="K215" i="6"/>
  <c r="N215" i="6" s="1"/>
  <c r="O215" i="6" s="1"/>
  <c r="K216" i="6"/>
  <c r="N216" i="6" s="1"/>
  <c r="O216" i="6" s="1"/>
  <c r="K217" i="6"/>
  <c r="N217" i="6" s="1"/>
  <c r="O217" i="6" s="1"/>
  <c r="K218" i="6"/>
  <c r="N218" i="6" s="1"/>
  <c r="O218" i="6" s="1"/>
  <c r="K219" i="6"/>
  <c r="N219" i="6" s="1"/>
  <c r="O219" i="6" s="1"/>
  <c r="K220" i="6"/>
  <c r="N220" i="6" s="1"/>
  <c r="O220" i="6" s="1"/>
  <c r="K221" i="6"/>
  <c r="N221" i="6" s="1"/>
  <c r="O221" i="6" s="1"/>
  <c r="K222" i="6"/>
  <c r="N222" i="6" s="1"/>
  <c r="O222" i="6" s="1"/>
  <c r="K223" i="6"/>
  <c r="N223" i="6" s="1"/>
  <c r="O223" i="6" s="1"/>
  <c r="K224" i="6"/>
  <c r="N224" i="6" s="1"/>
  <c r="O224" i="6" s="1"/>
  <c r="K225" i="6"/>
  <c r="N225" i="6" s="1"/>
  <c r="O225" i="6" s="1"/>
  <c r="K226" i="6"/>
  <c r="N226" i="6" s="1"/>
  <c r="O226" i="6" s="1"/>
  <c r="K227" i="6"/>
  <c r="N227" i="6" s="1"/>
  <c r="O227" i="6" s="1"/>
  <c r="K228" i="6"/>
  <c r="N228" i="6" s="1"/>
  <c r="O228" i="6" s="1"/>
  <c r="K229" i="6"/>
  <c r="N229" i="6" s="1"/>
  <c r="O229" i="6" s="1"/>
  <c r="K230" i="6"/>
  <c r="N230" i="6" s="1"/>
  <c r="O230" i="6" s="1"/>
  <c r="K231" i="6"/>
  <c r="N231" i="6" s="1"/>
  <c r="O231" i="6" s="1"/>
  <c r="K232" i="6"/>
  <c r="N232" i="6" s="1"/>
  <c r="O232" i="6" s="1"/>
  <c r="K233" i="6"/>
  <c r="N233" i="6" s="1"/>
  <c r="O233" i="6" s="1"/>
  <c r="E2" i="9"/>
  <c r="E3" i="9"/>
  <c r="E4" i="9"/>
  <c r="E5" i="9"/>
  <c r="E6" i="9"/>
  <c r="E7" i="9"/>
  <c r="E8" i="9"/>
  <c r="E10" i="9"/>
  <c r="E11" i="9"/>
  <c r="E12" i="9"/>
  <c r="E14" i="9"/>
  <c r="E15" i="9"/>
  <c r="E16" i="9"/>
  <c r="E17" i="9"/>
  <c r="E18" i="9"/>
  <c r="E19" i="9"/>
  <c r="U2" i="9"/>
  <c r="U3" i="9"/>
  <c r="U4" i="9"/>
  <c r="U5" i="9"/>
  <c r="U6" i="9"/>
  <c r="U7" i="9"/>
  <c r="U8" i="9"/>
  <c r="U10" i="9"/>
  <c r="U11" i="9"/>
  <c r="U12" i="9"/>
  <c r="U14" i="9"/>
  <c r="U15" i="9"/>
  <c r="U16" i="9"/>
  <c r="U17" i="9"/>
  <c r="U18" i="9"/>
  <c r="U19" i="9"/>
  <c r="S2" i="9"/>
  <c r="S3" i="9"/>
  <c r="S4" i="9"/>
  <c r="S5" i="9"/>
  <c r="S6" i="9"/>
  <c r="S7" i="9"/>
  <c r="S8" i="9"/>
  <c r="S10" i="9"/>
  <c r="S11" i="9"/>
  <c r="S12" i="9"/>
  <c r="S14" i="9"/>
  <c r="S15" i="9"/>
  <c r="S16" i="9"/>
  <c r="S17" i="9"/>
  <c r="S18" i="9"/>
  <c r="S19" i="9"/>
  <c r="R2" i="9"/>
  <c r="R3" i="9"/>
  <c r="R4" i="9"/>
  <c r="R5" i="9"/>
  <c r="R6" i="9"/>
  <c r="R7" i="9"/>
  <c r="R8" i="9"/>
  <c r="R10" i="9"/>
  <c r="R11" i="9"/>
  <c r="R12" i="9"/>
  <c r="R14" i="9"/>
  <c r="R15" i="9"/>
  <c r="R16" i="9"/>
  <c r="R17" i="9"/>
  <c r="R18" i="9"/>
  <c r="R19" i="9"/>
  <c r="P2" i="9"/>
  <c r="P3" i="9"/>
  <c r="P4" i="9"/>
  <c r="P5" i="9"/>
  <c r="P6" i="9"/>
  <c r="P7" i="9"/>
  <c r="P8" i="9"/>
  <c r="P10" i="9"/>
  <c r="P11" i="9"/>
  <c r="P12" i="9"/>
  <c r="P14" i="9"/>
  <c r="P15" i="9"/>
  <c r="P16" i="9"/>
  <c r="P17" i="9"/>
  <c r="P18" i="9"/>
  <c r="P19" i="9"/>
  <c r="D2" i="9"/>
  <c r="D3" i="9"/>
  <c r="D4" i="9"/>
  <c r="D5" i="9"/>
  <c r="D6" i="9"/>
  <c r="D7" i="9"/>
  <c r="D8" i="9"/>
  <c r="D10" i="9"/>
  <c r="D11" i="9"/>
  <c r="D12" i="9"/>
  <c r="D14" i="9"/>
  <c r="D15" i="9"/>
  <c r="D16" i="9"/>
  <c r="D17" i="9"/>
  <c r="D18" i="9"/>
  <c r="D19" i="9"/>
  <c r="C2" i="9"/>
  <c r="A3" i="9"/>
  <c r="A4" i="9"/>
  <c r="A5" i="9"/>
  <c r="A6" i="9"/>
  <c r="A7" i="9"/>
  <c r="A8" i="9"/>
  <c r="A10" i="9"/>
  <c r="A11" i="9"/>
  <c r="A12" i="9"/>
  <c r="A14" i="9"/>
  <c r="A15" i="9"/>
  <c r="A16" i="9"/>
  <c r="A17" i="9"/>
  <c r="A18" i="9"/>
  <c r="A19" i="9"/>
  <c r="A2" i="9"/>
  <c r="M2" i="9"/>
  <c r="C3" i="9"/>
  <c r="C4" i="9"/>
  <c r="C5" i="9"/>
  <c r="C6" i="9"/>
  <c r="C7" i="9"/>
  <c r="C8" i="9"/>
  <c r="C10" i="9"/>
  <c r="C11" i="9"/>
  <c r="C12" i="9"/>
  <c r="C14" i="9"/>
  <c r="C15" i="9"/>
  <c r="C16" i="9"/>
  <c r="C17" i="9"/>
  <c r="C18" i="9"/>
  <c r="C19" i="9"/>
  <c r="M3" i="9"/>
  <c r="M4" i="9"/>
  <c r="M5" i="9"/>
  <c r="M6" i="9"/>
  <c r="M7" i="9"/>
  <c r="M8" i="9"/>
  <c r="M10" i="9"/>
  <c r="M11" i="9"/>
  <c r="M12" i="9"/>
  <c r="M14" i="9"/>
  <c r="M15" i="9"/>
  <c r="M16" i="9"/>
  <c r="M17" i="9"/>
  <c r="M18" i="9"/>
  <c r="M19" i="9"/>
  <c r="A699" i="1"/>
  <c r="A700" i="1"/>
  <c r="C699" i="1"/>
  <c r="E699" i="1" s="1"/>
  <c r="C700" i="1"/>
  <c r="E700" i="1" s="1"/>
  <c r="D699" i="1"/>
  <c r="D700" i="1"/>
  <c r="K699" i="1"/>
  <c r="K700" i="1"/>
  <c r="M699" i="1"/>
  <c r="M700" i="1"/>
  <c r="N699" i="1"/>
  <c r="N700" i="1"/>
  <c r="P699" i="1"/>
  <c r="P700" i="1"/>
  <c r="A696" i="1"/>
  <c r="A697" i="1"/>
  <c r="A698" i="1"/>
  <c r="C696" i="1"/>
  <c r="E696" i="1" s="1"/>
  <c r="C697" i="1"/>
  <c r="E697" i="1" s="1"/>
  <c r="C698" i="1"/>
  <c r="E698" i="1" s="1"/>
  <c r="D696" i="1"/>
  <c r="D697" i="1"/>
  <c r="D698" i="1"/>
  <c r="K696" i="1"/>
  <c r="K697" i="1"/>
  <c r="K698" i="1"/>
  <c r="M696" i="1"/>
  <c r="M697" i="1"/>
  <c r="M698" i="1"/>
  <c r="N696" i="1"/>
  <c r="N697" i="1"/>
  <c r="N698" i="1"/>
  <c r="P696" i="1"/>
  <c r="P697" i="1"/>
  <c r="P698" i="1"/>
  <c r="A695" i="1"/>
  <c r="C695" i="1"/>
  <c r="E695" i="1" s="1"/>
  <c r="D695" i="1"/>
  <c r="K695" i="1"/>
  <c r="M695" i="1"/>
  <c r="N695" i="1"/>
  <c r="P695" i="1"/>
  <c r="A694" i="1"/>
  <c r="C694" i="1"/>
  <c r="E694" i="1" s="1"/>
  <c r="D694" i="1"/>
  <c r="K694" i="1"/>
  <c r="M694" i="1"/>
  <c r="N694" i="1"/>
  <c r="P694" i="1"/>
  <c r="A688" i="1"/>
  <c r="A689" i="1"/>
  <c r="A690" i="1"/>
  <c r="A691" i="1"/>
  <c r="A692" i="1"/>
  <c r="A693" i="1"/>
  <c r="C688" i="1"/>
  <c r="E688" i="1" s="1"/>
  <c r="C689" i="1"/>
  <c r="E689" i="1" s="1"/>
  <c r="C690" i="1"/>
  <c r="E690" i="1" s="1"/>
  <c r="C691" i="1"/>
  <c r="E691" i="1" s="1"/>
  <c r="C692" i="1"/>
  <c r="E692" i="1" s="1"/>
  <c r="C693" i="1"/>
  <c r="E693" i="1" s="1"/>
  <c r="D688" i="1"/>
  <c r="D689" i="1"/>
  <c r="D690" i="1"/>
  <c r="D691" i="1"/>
  <c r="D692" i="1"/>
  <c r="D693" i="1"/>
  <c r="K688" i="1"/>
  <c r="K689" i="1"/>
  <c r="K690" i="1"/>
  <c r="K691" i="1"/>
  <c r="K692" i="1"/>
  <c r="K693" i="1"/>
  <c r="M688" i="1"/>
  <c r="M689" i="1"/>
  <c r="M690" i="1"/>
  <c r="M691" i="1"/>
  <c r="M692" i="1"/>
  <c r="M693" i="1"/>
  <c r="N688" i="1"/>
  <c r="N689" i="1"/>
  <c r="N690" i="1"/>
  <c r="N691" i="1"/>
  <c r="N692" i="1"/>
  <c r="N693" i="1"/>
  <c r="P688" i="1"/>
  <c r="P689" i="1"/>
  <c r="P690" i="1"/>
  <c r="P691" i="1"/>
  <c r="P692" i="1"/>
  <c r="P693" i="1"/>
  <c r="A709" i="1"/>
  <c r="C709" i="1"/>
  <c r="E709" i="1" s="1"/>
  <c r="D709" i="1"/>
  <c r="K709" i="1"/>
  <c r="M709" i="1"/>
  <c r="N709" i="1"/>
  <c r="P709" i="1"/>
  <c r="A708" i="1"/>
  <c r="C708" i="1"/>
  <c r="E708" i="1" s="1"/>
  <c r="D708" i="1"/>
  <c r="K708" i="1"/>
  <c r="M708" i="1"/>
  <c r="N708" i="1"/>
  <c r="P708" i="1"/>
  <c r="A701" i="1"/>
  <c r="A702" i="1"/>
  <c r="A703" i="1"/>
  <c r="A704" i="1"/>
  <c r="A705" i="1"/>
  <c r="A706" i="1"/>
  <c r="A707" i="1"/>
  <c r="C701" i="1"/>
  <c r="E701" i="1" s="1"/>
  <c r="C702" i="1"/>
  <c r="E702" i="1" s="1"/>
  <c r="C703" i="1"/>
  <c r="E703" i="1" s="1"/>
  <c r="C704" i="1"/>
  <c r="E704" i="1" s="1"/>
  <c r="C705" i="1"/>
  <c r="E705" i="1" s="1"/>
  <c r="C706" i="1"/>
  <c r="E706" i="1" s="1"/>
  <c r="C707" i="1"/>
  <c r="E707" i="1" s="1"/>
  <c r="D701" i="1"/>
  <c r="D702" i="1"/>
  <c r="D703" i="1"/>
  <c r="D704" i="1"/>
  <c r="D705" i="1"/>
  <c r="D706" i="1"/>
  <c r="D707" i="1"/>
  <c r="K701" i="1"/>
  <c r="K702" i="1"/>
  <c r="K703" i="1"/>
  <c r="K704" i="1"/>
  <c r="K705" i="1"/>
  <c r="K706" i="1"/>
  <c r="K707" i="1"/>
  <c r="M701" i="1"/>
  <c r="M702" i="1"/>
  <c r="M703" i="1"/>
  <c r="M704" i="1"/>
  <c r="M705" i="1"/>
  <c r="M706" i="1"/>
  <c r="M707" i="1"/>
  <c r="N701" i="1"/>
  <c r="N702" i="1"/>
  <c r="N703" i="1"/>
  <c r="N704" i="1"/>
  <c r="N705" i="1"/>
  <c r="N706" i="1"/>
  <c r="N707" i="1"/>
  <c r="P701" i="1"/>
  <c r="P702" i="1"/>
  <c r="P703" i="1"/>
  <c r="P704" i="1"/>
  <c r="P705" i="1"/>
  <c r="P706" i="1"/>
  <c r="P707" i="1"/>
  <c r="A687" i="1"/>
  <c r="C687" i="1"/>
  <c r="E687" i="1" s="1"/>
  <c r="D687" i="1"/>
  <c r="K687" i="1"/>
  <c r="M687" i="1"/>
  <c r="N687" i="1"/>
  <c r="P687" i="1"/>
  <c r="A144" i="6"/>
  <c r="A145" i="6"/>
  <c r="A146" i="6"/>
  <c r="A147" i="6"/>
  <c r="A148" i="6"/>
  <c r="A149" i="6"/>
  <c r="C144" i="6"/>
  <c r="E144" i="6" s="1"/>
  <c r="C145" i="6"/>
  <c r="E145" i="6" s="1"/>
  <c r="C146" i="6"/>
  <c r="E146" i="6" s="1"/>
  <c r="C147" i="6"/>
  <c r="E147" i="6" s="1"/>
  <c r="C148" i="6"/>
  <c r="E148" i="6" s="1"/>
  <c r="C149" i="6"/>
  <c r="E149" i="6" s="1"/>
  <c r="D144" i="6"/>
  <c r="D145" i="6"/>
  <c r="D146" i="6"/>
  <c r="D147" i="6"/>
  <c r="D148" i="6"/>
  <c r="D149" i="6"/>
  <c r="K144" i="6"/>
  <c r="N144" i="6" s="1"/>
  <c r="O144" i="6" s="1"/>
  <c r="K145" i="6"/>
  <c r="N145" i="6" s="1"/>
  <c r="O145" i="6" s="1"/>
  <c r="K146" i="6"/>
  <c r="N146" i="6" s="1"/>
  <c r="O146" i="6" s="1"/>
  <c r="K147" i="6"/>
  <c r="N147" i="6" s="1"/>
  <c r="O147" i="6" s="1"/>
  <c r="K148" i="6"/>
  <c r="N148" i="6" s="1"/>
  <c r="O148" i="6" s="1"/>
  <c r="K149" i="6"/>
  <c r="N149" i="6" s="1"/>
  <c r="O149" i="6" s="1"/>
  <c r="A668" i="1"/>
  <c r="C668" i="1"/>
  <c r="E668" i="1" s="1"/>
  <c r="D668" i="1"/>
  <c r="K668" i="1"/>
  <c r="M668" i="1"/>
  <c r="N668" i="1"/>
  <c r="P668" i="1"/>
  <c r="A666" i="1"/>
  <c r="A667" i="1"/>
  <c r="C666" i="1"/>
  <c r="E666" i="1" s="1"/>
  <c r="C667" i="1"/>
  <c r="E667" i="1" s="1"/>
  <c r="D666" i="1"/>
  <c r="D667" i="1"/>
  <c r="K666" i="1"/>
  <c r="K667" i="1"/>
  <c r="M666" i="1"/>
  <c r="M667" i="1"/>
  <c r="N666" i="1"/>
  <c r="N667" i="1"/>
  <c r="P666" i="1"/>
  <c r="P667" i="1"/>
  <c r="A665" i="1"/>
  <c r="C665" i="1"/>
  <c r="E665" i="1" s="1"/>
  <c r="D665" i="1"/>
  <c r="K665" i="1"/>
  <c r="M665" i="1"/>
  <c r="N665" i="1"/>
  <c r="P665" i="1"/>
  <c r="A664" i="1"/>
  <c r="C664" i="1"/>
  <c r="E664" i="1" s="1"/>
  <c r="D664" i="1"/>
  <c r="K664" i="1"/>
  <c r="M664" i="1"/>
  <c r="N664" i="1"/>
  <c r="P664" i="1"/>
  <c r="A659" i="1"/>
  <c r="A660" i="1"/>
  <c r="A661" i="1"/>
  <c r="A662" i="1"/>
  <c r="A663" i="1"/>
  <c r="A679" i="1"/>
  <c r="C659" i="1"/>
  <c r="E659" i="1" s="1"/>
  <c r="C660" i="1"/>
  <c r="E660" i="1" s="1"/>
  <c r="C661" i="1"/>
  <c r="E661" i="1" s="1"/>
  <c r="C662" i="1"/>
  <c r="E662" i="1" s="1"/>
  <c r="C663" i="1"/>
  <c r="E663" i="1" s="1"/>
  <c r="C679" i="1"/>
  <c r="E679" i="1" s="1"/>
  <c r="D659" i="1"/>
  <c r="D660" i="1"/>
  <c r="D661" i="1"/>
  <c r="D662" i="1"/>
  <c r="D663" i="1"/>
  <c r="D679" i="1"/>
  <c r="K659" i="1"/>
  <c r="K660" i="1"/>
  <c r="K661" i="1"/>
  <c r="K662" i="1"/>
  <c r="K663" i="1"/>
  <c r="K679" i="1"/>
  <c r="M659" i="1"/>
  <c r="M660" i="1"/>
  <c r="M661" i="1"/>
  <c r="M662" i="1"/>
  <c r="M663" i="1"/>
  <c r="M679" i="1"/>
  <c r="N659" i="1"/>
  <c r="N660" i="1"/>
  <c r="N661" i="1"/>
  <c r="N662" i="1"/>
  <c r="N663" i="1"/>
  <c r="N679" i="1"/>
  <c r="P659" i="1"/>
  <c r="P660" i="1"/>
  <c r="P661" i="1"/>
  <c r="P662" i="1"/>
  <c r="P663" i="1"/>
  <c r="P679" i="1"/>
  <c r="A680" i="1"/>
  <c r="A658" i="1"/>
  <c r="C680" i="1"/>
  <c r="E680" i="1" s="1"/>
  <c r="C658" i="1"/>
  <c r="E658" i="1" s="1"/>
  <c r="D680" i="1"/>
  <c r="D658" i="1"/>
  <c r="K680" i="1"/>
  <c r="K658" i="1"/>
  <c r="M680" i="1"/>
  <c r="M658" i="1"/>
  <c r="N680" i="1"/>
  <c r="N658" i="1"/>
  <c r="P680" i="1"/>
  <c r="P658" i="1"/>
  <c r="A657" i="1"/>
  <c r="C657" i="1"/>
  <c r="E657" i="1" s="1"/>
  <c r="D657" i="1"/>
  <c r="K657" i="1"/>
  <c r="M657" i="1"/>
  <c r="N657" i="1"/>
  <c r="P657" i="1"/>
  <c r="A669" i="1"/>
  <c r="A670" i="1"/>
  <c r="A671" i="1"/>
  <c r="A672" i="1"/>
  <c r="A673" i="1"/>
  <c r="A674" i="1"/>
  <c r="A675" i="1"/>
  <c r="A676" i="1"/>
  <c r="A677" i="1"/>
  <c r="A678" i="1"/>
  <c r="C669" i="1"/>
  <c r="E669" i="1" s="1"/>
  <c r="C670" i="1"/>
  <c r="E670" i="1" s="1"/>
  <c r="C671" i="1"/>
  <c r="E671" i="1" s="1"/>
  <c r="C672" i="1"/>
  <c r="E672" i="1" s="1"/>
  <c r="C673" i="1"/>
  <c r="E673" i="1" s="1"/>
  <c r="C674" i="1"/>
  <c r="E674" i="1" s="1"/>
  <c r="C675" i="1"/>
  <c r="E675" i="1" s="1"/>
  <c r="C676" i="1"/>
  <c r="E676" i="1" s="1"/>
  <c r="C677" i="1"/>
  <c r="E677" i="1" s="1"/>
  <c r="C678" i="1"/>
  <c r="E678" i="1" s="1"/>
  <c r="D669" i="1"/>
  <c r="D670" i="1"/>
  <c r="D671" i="1"/>
  <c r="D672" i="1"/>
  <c r="D673" i="1"/>
  <c r="D674" i="1"/>
  <c r="D675" i="1"/>
  <c r="D676" i="1"/>
  <c r="D677" i="1"/>
  <c r="D678" i="1"/>
  <c r="K669" i="1"/>
  <c r="K670" i="1"/>
  <c r="K671" i="1"/>
  <c r="K672" i="1"/>
  <c r="K673" i="1"/>
  <c r="K674" i="1"/>
  <c r="K675" i="1"/>
  <c r="K676" i="1"/>
  <c r="K677" i="1"/>
  <c r="K678" i="1"/>
  <c r="M669" i="1"/>
  <c r="M670" i="1"/>
  <c r="M671" i="1"/>
  <c r="M672" i="1"/>
  <c r="M673" i="1"/>
  <c r="M674" i="1"/>
  <c r="M675" i="1"/>
  <c r="M676" i="1"/>
  <c r="M677" i="1"/>
  <c r="M678" i="1"/>
  <c r="N669" i="1"/>
  <c r="N670" i="1"/>
  <c r="N671" i="1"/>
  <c r="N672" i="1"/>
  <c r="N673" i="1"/>
  <c r="N674" i="1"/>
  <c r="N675" i="1"/>
  <c r="N676" i="1"/>
  <c r="N677" i="1"/>
  <c r="N678" i="1"/>
  <c r="P669" i="1"/>
  <c r="P670" i="1"/>
  <c r="P671" i="1"/>
  <c r="P672" i="1"/>
  <c r="P673" i="1"/>
  <c r="P674" i="1"/>
  <c r="P675" i="1"/>
  <c r="P676" i="1"/>
  <c r="P677" i="1"/>
  <c r="P678" i="1"/>
  <c r="A656" i="1"/>
  <c r="C656" i="1"/>
  <c r="E656" i="1" s="1"/>
  <c r="D656" i="1"/>
  <c r="K656" i="1"/>
  <c r="M656" i="1"/>
  <c r="N656" i="1"/>
  <c r="P656" i="1"/>
  <c r="A655" i="1"/>
  <c r="C655" i="1"/>
  <c r="E655" i="1" s="1"/>
  <c r="D655" i="1"/>
  <c r="K655" i="1"/>
  <c r="M655" i="1"/>
  <c r="N655" i="1"/>
  <c r="P655" i="1"/>
  <c r="A647" i="1"/>
  <c r="A648" i="1"/>
  <c r="A649" i="1"/>
  <c r="A650" i="1"/>
  <c r="A651" i="1"/>
  <c r="A652" i="1"/>
  <c r="A653" i="1"/>
  <c r="A654" i="1"/>
  <c r="C647" i="1"/>
  <c r="E647" i="1" s="1"/>
  <c r="C648" i="1"/>
  <c r="E648" i="1" s="1"/>
  <c r="C649" i="1"/>
  <c r="E649" i="1" s="1"/>
  <c r="C650" i="1"/>
  <c r="E650" i="1" s="1"/>
  <c r="C651" i="1"/>
  <c r="E651" i="1" s="1"/>
  <c r="C652" i="1"/>
  <c r="E652" i="1" s="1"/>
  <c r="C653" i="1"/>
  <c r="E653" i="1" s="1"/>
  <c r="C654" i="1"/>
  <c r="E654" i="1" s="1"/>
  <c r="D647" i="1"/>
  <c r="D648" i="1"/>
  <c r="D649" i="1"/>
  <c r="D650" i="1"/>
  <c r="D651" i="1"/>
  <c r="D652" i="1"/>
  <c r="D653" i="1"/>
  <c r="D654" i="1"/>
  <c r="K647" i="1"/>
  <c r="K648" i="1"/>
  <c r="K649" i="1"/>
  <c r="K650" i="1"/>
  <c r="K651" i="1"/>
  <c r="K652" i="1"/>
  <c r="K653" i="1"/>
  <c r="K654" i="1"/>
  <c r="M647" i="1"/>
  <c r="M648" i="1"/>
  <c r="M649" i="1"/>
  <c r="M650" i="1"/>
  <c r="M651" i="1"/>
  <c r="M652" i="1"/>
  <c r="M653" i="1"/>
  <c r="M654" i="1"/>
  <c r="N647" i="1"/>
  <c r="N648" i="1"/>
  <c r="N649" i="1"/>
  <c r="N650" i="1"/>
  <c r="N651" i="1"/>
  <c r="N652" i="1"/>
  <c r="N653" i="1"/>
  <c r="N654" i="1"/>
  <c r="P647" i="1"/>
  <c r="P648" i="1"/>
  <c r="P649" i="1"/>
  <c r="P650" i="1"/>
  <c r="P651" i="1"/>
  <c r="P652" i="1"/>
  <c r="P653" i="1"/>
  <c r="P654" i="1"/>
  <c r="A142" i="6"/>
  <c r="A143" i="6"/>
  <c r="C142" i="6"/>
  <c r="E142" i="6" s="1"/>
  <c r="C143" i="6"/>
  <c r="E143" i="6" s="1"/>
  <c r="D142" i="6"/>
  <c r="D143" i="6"/>
  <c r="K142" i="6"/>
  <c r="N142" i="6" s="1"/>
  <c r="O142" i="6" s="1"/>
  <c r="K143" i="6"/>
  <c r="N143" i="6" s="1"/>
  <c r="O143" i="6" s="1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C128" i="6"/>
  <c r="E128" i="6" s="1"/>
  <c r="C129" i="6"/>
  <c r="E129" i="6" s="1"/>
  <c r="C130" i="6"/>
  <c r="E130" i="6" s="1"/>
  <c r="C131" i="6"/>
  <c r="E131" i="6" s="1"/>
  <c r="C132" i="6"/>
  <c r="E132" i="6" s="1"/>
  <c r="C133" i="6"/>
  <c r="E133" i="6" s="1"/>
  <c r="C134" i="6"/>
  <c r="E134" i="6" s="1"/>
  <c r="C135" i="6"/>
  <c r="E135" i="6" s="1"/>
  <c r="C136" i="6"/>
  <c r="E136" i="6" s="1"/>
  <c r="C137" i="6"/>
  <c r="E137" i="6" s="1"/>
  <c r="C138" i="6"/>
  <c r="E138" i="6" s="1"/>
  <c r="C139" i="6"/>
  <c r="E139" i="6" s="1"/>
  <c r="C140" i="6"/>
  <c r="E140" i="6" s="1"/>
  <c r="C141" i="6"/>
  <c r="E141" i="6" s="1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K128" i="6"/>
  <c r="N128" i="6" s="1"/>
  <c r="O128" i="6" s="1"/>
  <c r="K129" i="6"/>
  <c r="N129" i="6" s="1"/>
  <c r="O129" i="6" s="1"/>
  <c r="K130" i="6"/>
  <c r="K131" i="6"/>
  <c r="N131" i="6" s="1"/>
  <c r="O131" i="6" s="1"/>
  <c r="K132" i="6"/>
  <c r="N132" i="6" s="1"/>
  <c r="O132" i="6" s="1"/>
  <c r="K133" i="6"/>
  <c r="N133" i="6" s="1"/>
  <c r="O133" i="6" s="1"/>
  <c r="K134" i="6"/>
  <c r="N134" i="6" s="1"/>
  <c r="O134" i="6" s="1"/>
  <c r="K135" i="6"/>
  <c r="N135" i="6" s="1"/>
  <c r="O135" i="6" s="1"/>
  <c r="K136" i="6"/>
  <c r="N136" i="6" s="1"/>
  <c r="O136" i="6" s="1"/>
  <c r="K137" i="6"/>
  <c r="N137" i="6" s="1"/>
  <c r="O137" i="6" s="1"/>
  <c r="K138" i="6"/>
  <c r="N138" i="6" s="1"/>
  <c r="O138" i="6" s="1"/>
  <c r="K139" i="6"/>
  <c r="N139" i="6" s="1"/>
  <c r="O139" i="6" s="1"/>
  <c r="K140" i="6"/>
  <c r="N140" i="6" s="1"/>
  <c r="O140" i="6" s="1"/>
  <c r="K141" i="6"/>
  <c r="N141" i="6" s="1"/>
  <c r="O141" i="6" s="1"/>
  <c r="N130" i="6"/>
  <c r="O130" i="6" s="1"/>
  <c r="A632" i="1"/>
  <c r="A633" i="1"/>
  <c r="C632" i="1"/>
  <c r="E632" i="1" s="1"/>
  <c r="C633" i="1"/>
  <c r="E633" i="1" s="1"/>
  <c r="D632" i="1"/>
  <c r="D633" i="1"/>
  <c r="K632" i="1"/>
  <c r="K633" i="1"/>
  <c r="M632" i="1"/>
  <c r="M633" i="1"/>
  <c r="N632" i="1"/>
  <c r="N633" i="1"/>
  <c r="P632" i="1"/>
  <c r="P633" i="1"/>
  <c r="A631" i="1"/>
  <c r="C631" i="1"/>
  <c r="E631" i="1" s="1"/>
  <c r="D631" i="1"/>
  <c r="K631" i="1"/>
  <c r="M631" i="1"/>
  <c r="N631" i="1"/>
  <c r="P631" i="1"/>
  <c r="A630" i="1"/>
  <c r="C630" i="1"/>
  <c r="E630" i="1" s="1"/>
  <c r="D630" i="1"/>
  <c r="K630" i="1"/>
  <c r="M630" i="1"/>
  <c r="N630" i="1"/>
  <c r="P630" i="1"/>
  <c r="A629" i="1"/>
  <c r="C629" i="1"/>
  <c r="E629" i="1" s="1"/>
  <c r="D629" i="1"/>
  <c r="K629" i="1"/>
  <c r="M629" i="1"/>
  <c r="N629" i="1"/>
  <c r="P629" i="1"/>
  <c r="A627" i="1"/>
  <c r="A628" i="1"/>
  <c r="C627" i="1"/>
  <c r="E627" i="1" s="1"/>
  <c r="C628" i="1"/>
  <c r="E628" i="1" s="1"/>
  <c r="D627" i="1"/>
  <c r="D628" i="1"/>
  <c r="K627" i="1"/>
  <c r="K628" i="1"/>
  <c r="M627" i="1"/>
  <c r="M628" i="1"/>
  <c r="N627" i="1"/>
  <c r="N628" i="1"/>
  <c r="P627" i="1"/>
  <c r="P628" i="1"/>
  <c r="A643" i="1"/>
  <c r="C643" i="1"/>
  <c r="E643" i="1" s="1"/>
  <c r="D643" i="1"/>
  <c r="K643" i="1"/>
  <c r="M643" i="1"/>
  <c r="N643" i="1"/>
  <c r="P643" i="1"/>
  <c r="A626" i="1"/>
  <c r="C626" i="1"/>
  <c r="E626" i="1" s="1"/>
  <c r="D626" i="1"/>
  <c r="K626" i="1"/>
  <c r="M626" i="1"/>
  <c r="N626" i="1"/>
  <c r="P626" i="1"/>
  <c r="A634" i="1"/>
  <c r="A635" i="1"/>
  <c r="A636" i="1"/>
  <c r="A637" i="1"/>
  <c r="A638" i="1"/>
  <c r="A639" i="1"/>
  <c r="A640" i="1"/>
  <c r="A641" i="1"/>
  <c r="C634" i="1"/>
  <c r="E634" i="1" s="1"/>
  <c r="C635" i="1"/>
  <c r="E635" i="1" s="1"/>
  <c r="C636" i="1"/>
  <c r="E636" i="1" s="1"/>
  <c r="C637" i="1"/>
  <c r="E637" i="1" s="1"/>
  <c r="C638" i="1"/>
  <c r="E638" i="1" s="1"/>
  <c r="C639" i="1"/>
  <c r="E639" i="1" s="1"/>
  <c r="C640" i="1"/>
  <c r="E640" i="1" s="1"/>
  <c r="C641" i="1"/>
  <c r="E641" i="1" s="1"/>
  <c r="D634" i="1"/>
  <c r="D635" i="1"/>
  <c r="D636" i="1"/>
  <c r="D637" i="1"/>
  <c r="D638" i="1"/>
  <c r="D639" i="1"/>
  <c r="D640" i="1"/>
  <c r="D641" i="1"/>
  <c r="K634" i="1"/>
  <c r="K635" i="1"/>
  <c r="K636" i="1"/>
  <c r="K637" i="1"/>
  <c r="K638" i="1"/>
  <c r="K639" i="1"/>
  <c r="K640" i="1"/>
  <c r="K641" i="1"/>
  <c r="M634" i="1"/>
  <c r="M635" i="1"/>
  <c r="M636" i="1"/>
  <c r="M637" i="1"/>
  <c r="M638" i="1"/>
  <c r="M639" i="1"/>
  <c r="M640" i="1"/>
  <c r="M641" i="1"/>
  <c r="N634" i="1"/>
  <c r="N635" i="1"/>
  <c r="N636" i="1"/>
  <c r="N637" i="1"/>
  <c r="N638" i="1"/>
  <c r="N639" i="1"/>
  <c r="N640" i="1"/>
  <c r="N641" i="1"/>
  <c r="P634" i="1"/>
  <c r="P635" i="1"/>
  <c r="P636" i="1"/>
  <c r="P637" i="1"/>
  <c r="P638" i="1"/>
  <c r="P639" i="1"/>
  <c r="P640" i="1"/>
  <c r="P641" i="1"/>
  <c r="A625" i="1"/>
  <c r="C625" i="1"/>
  <c r="E625" i="1" s="1"/>
  <c r="D625" i="1"/>
  <c r="K625" i="1"/>
  <c r="M625" i="1"/>
  <c r="N625" i="1"/>
  <c r="P625" i="1"/>
  <c r="A621" i="1"/>
  <c r="A622" i="1"/>
  <c r="A623" i="1"/>
  <c r="A642" i="1"/>
  <c r="A624" i="1"/>
  <c r="C621" i="1"/>
  <c r="E621" i="1" s="1"/>
  <c r="C622" i="1"/>
  <c r="E622" i="1" s="1"/>
  <c r="C623" i="1"/>
  <c r="E623" i="1" s="1"/>
  <c r="C642" i="1"/>
  <c r="E642" i="1" s="1"/>
  <c r="C624" i="1"/>
  <c r="E624" i="1" s="1"/>
  <c r="D621" i="1"/>
  <c r="D622" i="1"/>
  <c r="D623" i="1"/>
  <c r="D642" i="1"/>
  <c r="D624" i="1"/>
  <c r="K621" i="1"/>
  <c r="K622" i="1"/>
  <c r="K623" i="1"/>
  <c r="K642" i="1"/>
  <c r="K624" i="1"/>
  <c r="M621" i="1"/>
  <c r="M622" i="1"/>
  <c r="M623" i="1"/>
  <c r="M642" i="1"/>
  <c r="M624" i="1"/>
  <c r="N621" i="1"/>
  <c r="N622" i="1"/>
  <c r="N623" i="1"/>
  <c r="N642" i="1"/>
  <c r="N624" i="1"/>
  <c r="P621" i="1"/>
  <c r="P622" i="1"/>
  <c r="P623" i="1"/>
  <c r="P642" i="1"/>
  <c r="P624" i="1"/>
  <c r="A39" i="5"/>
  <c r="A40" i="5"/>
  <c r="A42" i="5"/>
  <c r="C39" i="5"/>
  <c r="E39" i="5" s="1"/>
  <c r="C40" i="5"/>
  <c r="E40" i="5" s="1"/>
  <c r="C42" i="5"/>
  <c r="E42" i="5" s="1"/>
  <c r="D39" i="5"/>
  <c r="D40" i="5"/>
  <c r="D42" i="5"/>
  <c r="A127" i="6"/>
  <c r="C127" i="6"/>
  <c r="E127" i="6" s="1"/>
  <c r="D127" i="6"/>
  <c r="K127" i="6"/>
  <c r="N127" i="6" s="1"/>
  <c r="O127" i="6" s="1"/>
  <c r="O234" i="6" l="1"/>
  <c r="K116" i="6"/>
  <c r="N116" i="6" s="1"/>
  <c r="O116" i="6" s="1"/>
  <c r="K117" i="6"/>
  <c r="N117" i="6" s="1"/>
  <c r="O117" i="6" s="1"/>
  <c r="K118" i="6"/>
  <c r="N118" i="6" s="1"/>
  <c r="O118" i="6" s="1"/>
  <c r="K119" i="6"/>
  <c r="N119" i="6" s="1"/>
  <c r="O119" i="6" s="1"/>
  <c r="K120" i="6"/>
  <c r="N120" i="6" s="1"/>
  <c r="O120" i="6" s="1"/>
  <c r="K121" i="6"/>
  <c r="N121" i="6" s="1"/>
  <c r="O121" i="6" s="1"/>
  <c r="K122" i="6"/>
  <c r="N122" i="6" s="1"/>
  <c r="O122" i="6" s="1"/>
  <c r="K123" i="6"/>
  <c r="N123" i="6" s="1"/>
  <c r="O123" i="6" s="1"/>
  <c r="K124" i="6"/>
  <c r="N124" i="6" s="1"/>
  <c r="O124" i="6" s="1"/>
  <c r="K125" i="6"/>
  <c r="N125" i="6" s="1"/>
  <c r="O125" i="6" s="1"/>
  <c r="K126" i="6"/>
  <c r="N126" i="6" s="1"/>
  <c r="O126" i="6" s="1"/>
  <c r="A116" i="6"/>
  <c r="A117" i="6"/>
  <c r="A118" i="6"/>
  <c r="A119" i="6"/>
  <c r="A120" i="6"/>
  <c r="A121" i="6"/>
  <c r="A122" i="6"/>
  <c r="A123" i="6"/>
  <c r="A124" i="6"/>
  <c r="A125" i="6"/>
  <c r="A126" i="6"/>
  <c r="C116" i="6"/>
  <c r="E116" i="6" s="1"/>
  <c r="C117" i="6"/>
  <c r="E117" i="6" s="1"/>
  <c r="C118" i="6"/>
  <c r="E118" i="6" s="1"/>
  <c r="C119" i="6"/>
  <c r="E119" i="6" s="1"/>
  <c r="C120" i="6"/>
  <c r="E120" i="6" s="1"/>
  <c r="C121" i="6"/>
  <c r="E121" i="6" s="1"/>
  <c r="C122" i="6"/>
  <c r="E122" i="6" s="1"/>
  <c r="C123" i="6"/>
  <c r="E123" i="6" s="1"/>
  <c r="C124" i="6"/>
  <c r="E124" i="6" s="1"/>
  <c r="C125" i="6"/>
  <c r="E125" i="6" s="1"/>
  <c r="C126" i="6"/>
  <c r="E126" i="6" s="1"/>
  <c r="D116" i="6"/>
  <c r="D117" i="6"/>
  <c r="D118" i="6"/>
  <c r="D119" i="6"/>
  <c r="D120" i="6"/>
  <c r="D121" i="6"/>
  <c r="D122" i="6"/>
  <c r="D123" i="6"/>
  <c r="D124" i="6"/>
  <c r="D125" i="6"/>
  <c r="D126" i="6"/>
  <c r="A603" i="1"/>
  <c r="A604" i="1"/>
  <c r="C603" i="1"/>
  <c r="E603" i="1" s="1"/>
  <c r="C604" i="1"/>
  <c r="E604" i="1" s="1"/>
  <c r="D603" i="1"/>
  <c r="D604" i="1"/>
  <c r="K603" i="1"/>
  <c r="K604" i="1"/>
  <c r="M603" i="1"/>
  <c r="M604" i="1"/>
  <c r="N603" i="1"/>
  <c r="N604" i="1"/>
  <c r="P603" i="1"/>
  <c r="P604" i="1"/>
  <c r="A601" i="1"/>
  <c r="A602" i="1"/>
  <c r="C601" i="1"/>
  <c r="E601" i="1" s="1"/>
  <c r="C602" i="1"/>
  <c r="E602" i="1" s="1"/>
  <c r="D601" i="1"/>
  <c r="D602" i="1"/>
  <c r="K601" i="1"/>
  <c r="K602" i="1"/>
  <c r="M601" i="1"/>
  <c r="M602" i="1"/>
  <c r="N601" i="1"/>
  <c r="N602" i="1"/>
  <c r="P601" i="1"/>
  <c r="P602" i="1"/>
  <c r="A599" i="1"/>
  <c r="A600" i="1"/>
  <c r="C599" i="1"/>
  <c r="E599" i="1" s="1"/>
  <c r="C600" i="1"/>
  <c r="E600" i="1" s="1"/>
  <c r="D599" i="1"/>
  <c r="D600" i="1"/>
  <c r="K599" i="1"/>
  <c r="K600" i="1"/>
  <c r="M599" i="1"/>
  <c r="M600" i="1"/>
  <c r="N599" i="1"/>
  <c r="N600" i="1"/>
  <c r="P599" i="1"/>
  <c r="P600" i="1"/>
  <c r="A597" i="1"/>
  <c r="A598" i="1"/>
  <c r="C597" i="1"/>
  <c r="E597" i="1" s="1"/>
  <c r="C598" i="1"/>
  <c r="E598" i="1" s="1"/>
  <c r="D597" i="1"/>
  <c r="D598" i="1"/>
  <c r="K597" i="1"/>
  <c r="K598" i="1"/>
  <c r="M597" i="1"/>
  <c r="M598" i="1"/>
  <c r="N597" i="1"/>
  <c r="N598" i="1"/>
  <c r="P597" i="1"/>
  <c r="P598" i="1"/>
  <c r="A596" i="1"/>
  <c r="C596" i="1"/>
  <c r="E596" i="1" s="1"/>
  <c r="D596" i="1"/>
  <c r="K596" i="1"/>
  <c r="M596" i="1"/>
  <c r="N596" i="1"/>
  <c r="P596" i="1"/>
  <c r="A594" i="1"/>
  <c r="A595" i="1"/>
  <c r="C594" i="1"/>
  <c r="E594" i="1" s="1"/>
  <c r="C595" i="1"/>
  <c r="E595" i="1" s="1"/>
  <c r="D594" i="1"/>
  <c r="D595" i="1"/>
  <c r="K594" i="1"/>
  <c r="K595" i="1"/>
  <c r="M594" i="1"/>
  <c r="M595" i="1"/>
  <c r="N594" i="1"/>
  <c r="N595" i="1"/>
  <c r="P594" i="1"/>
  <c r="P595" i="1"/>
  <c r="A616" i="1"/>
  <c r="A617" i="1"/>
  <c r="A618" i="1"/>
  <c r="C616" i="1"/>
  <c r="E616" i="1" s="1"/>
  <c r="C617" i="1"/>
  <c r="E617" i="1" s="1"/>
  <c r="C618" i="1"/>
  <c r="E618" i="1" s="1"/>
  <c r="D616" i="1"/>
  <c r="D617" i="1"/>
  <c r="D618" i="1"/>
  <c r="K616" i="1"/>
  <c r="K617" i="1"/>
  <c r="K618" i="1"/>
  <c r="M616" i="1"/>
  <c r="M617" i="1"/>
  <c r="M618" i="1"/>
  <c r="N616" i="1"/>
  <c r="N617" i="1"/>
  <c r="N618" i="1"/>
  <c r="P616" i="1"/>
  <c r="P617" i="1"/>
  <c r="P618" i="1"/>
  <c r="A593" i="1"/>
  <c r="C593" i="1"/>
  <c r="E593" i="1" s="1"/>
  <c r="D593" i="1"/>
  <c r="K593" i="1"/>
  <c r="M593" i="1"/>
  <c r="N593" i="1"/>
  <c r="P593" i="1"/>
  <c r="A605" i="1"/>
  <c r="A606" i="1"/>
  <c r="A607" i="1"/>
  <c r="A608" i="1"/>
  <c r="A609" i="1"/>
  <c r="A610" i="1"/>
  <c r="A611" i="1"/>
  <c r="A612" i="1"/>
  <c r="A613" i="1"/>
  <c r="A614" i="1"/>
  <c r="A615" i="1"/>
  <c r="C605" i="1"/>
  <c r="E605" i="1" s="1"/>
  <c r="C606" i="1"/>
  <c r="E606" i="1" s="1"/>
  <c r="C607" i="1"/>
  <c r="E607" i="1" s="1"/>
  <c r="C608" i="1"/>
  <c r="E608" i="1" s="1"/>
  <c r="C609" i="1"/>
  <c r="E609" i="1" s="1"/>
  <c r="C610" i="1"/>
  <c r="E610" i="1" s="1"/>
  <c r="C611" i="1"/>
  <c r="E611" i="1" s="1"/>
  <c r="C612" i="1"/>
  <c r="E612" i="1" s="1"/>
  <c r="C613" i="1"/>
  <c r="E613" i="1" s="1"/>
  <c r="C614" i="1"/>
  <c r="E614" i="1" s="1"/>
  <c r="C615" i="1"/>
  <c r="E615" i="1" s="1"/>
  <c r="D605" i="1"/>
  <c r="D606" i="1"/>
  <c r="D607" i="1"/>
  <c r="D608" i="1"/>
  <c r="D609" i="1"/>
  <c r="D610" i="1"/>
  <c r="D611" i="1"/>
  <c r="D612" i="1"/>
  <c r="D613" i="1"/>
  <c r="D614" i="1"/>
  <c r="D615" i="1"/>
  <c r="K605" i="1"/>
  <c r="K606" i="1"/>
  <c r="K607" i="1"/>
  <c r="K608" i="1"/>
  <c r="K609" i="1"/>
  <c r="K610" i="1"/>
  <c r="K611" i="1"/>
  <c r="K612" i="1"/>
  <c r="K613" i="1"/>
  <c r="K614" i="1"/>
  <c r="K615" i="1"/>
  <c r="M605" i="1"/>
  <c r="M606" i="1"/>
  <c r="M607" i="1"/>
  <c r="M608" i="1"/>
  <c r="M609" i="1"/>
  <c r="M610" i="1"/>
  <c r="M611" i="1"/>
  <c r="M612" i="1"/>
  <c r="M613" i="1"/>
  <c r="M614" i="1"/>
  <c r="M615" i="1"/>
  <c r="N605" i="1"/>
  <c r="N606" i="1"/>
  <c r="N607" i="1"/>
  <c r="N608" i="1"/>
  <c r="N609" i="1"/>
  <c r="N610" i="1"/>
  <c r="N611" i="1"/>
  <c r="N612" i="1"/>
  <c r="N613" i="1"/>
  <c r="N614" i="1"/>
  <c r="N615" i="1"/>
  <c r="P605" i="1"/>
  <c r="P606" i="1"/>
  <c r="P607" i="1"/>
  <c r="P608" i="1"/>
  <c r="P609" i="1"/>
  <c r="P610" i="1"/>
  <c r="P611" i="1"/>
  <c r="P612" i="1"/>
  <c r="P613" i="1"/>
  <c r="P614" i="1"/>
  <c r="P615" i="1"/>
  <c r="A589" i="1"/>
  <c r="A590" i="1"/>
  <c r="A591" i="1"/>
  <c r="A592" i="1"/>
  <c r="C589" i="1"/>
  <c r="E589" i="1" s="1"/>
  <c r="C590" i="1"/>
  <c r="E590" i="1" s="1"/>
  <c r="C591" i="1"/>
  <c r="E591" i="1" s="1"/>
  <c r="C592" i="1"/>
  <c r="E592" i="1" s="1"/>
  <c r="D589" i="1"/>
  <c r="D590" i="1"/>
  <c r="D591" i="1"/>
  <c r="D592" i="1"/>
  <c r="K589" i="1"/>
  <c r="K590" i="1"/>
  <c r="K591" i="1"/>
  <c r="K592" i="1"/>
  <c r="M589" i="1"/>
  <c r="M590" i="1"/>
  <c r="M591" i="1"/>
  <c r="M592" i="1"/>
  <c r="N589" i="1"/>
  <c r="N590" i="1"/>
  <c r="N591" i="1"/>
  <c r="N592" i="1"/>
  <c r="P589" i="1"/>
  <c r="P590" i="1"/>
  <c r="P591" i="1"/>
  <c r="P592" i="1"/>
  <c r="A586" i="1"/>
  <c r="A587" i="1"/>
  <c r="A588" i="1"/>
  <c r="C586" i="1"/>
  <c r="E586" i="1" s="1"/>
  <c r="C587" i="1"/>
  <c r="E587" i="1" s="1"/>
  <c r="C588" i="1"/>
  <c r="E588" i="1" s="1"/>
  <c r="D586" i="1"/>
  <c r="D587" i="1"/>
  <c r="D588" i="1"/>
  <c r="K586" i="1"/>
  <c r="K587" i="1"/>
  <c r="K588" i="1"/>
  <c r="M586" i="1"/>
  <c r="M587" i="1"/>
  <c r="M588" i="1"/>
  <c r="N586" i="1"/>
  <c r="N587" i="1"/>
  <c r="N588" i="1"/>
  <c r="P586" i="1"/>
  <c r="P587" i="1"/>
  <c r="P588" i="1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C103" i="6"/>
  <c r="E103" i="6" s="1"/>
  <c r="C104" i="6"/>
  <c r="E104" i="6" s="1"/>
  <c r="C105" i="6"/>
  <c r="E105" i="6" s="1"/>
  <c r="C106" i="6"/>
  <c r="E106" i="6" s="1"/>
  <c r="C107" i="6"/>
  <c r="E107" i="6" s="1"/>
  <c r="C108" i="6"/>
  <c r="E108" i="6" s="1"/>
  <c r="C109" i="6"/>
  <c r="E109" i="6" s="1"/>
  <c r="C110" i="6"/>
  <c r="E110" i="6" s="1"/>
  <c r="C111" i="6"/>
  <c r="E111" i="6" s="1"/>
  <c r="C112" i="6"/>
  <c r="E112" i="6" s="1"/>
  <c r="C113" i="6"/>
  <c r="E113" i="6" s="1"/>
  <c r="C114" i="6"/>
  <c r="E114" i="6" s="1"/>
  <c r="C115" i="6"/>
  <c r="E115" i="6" s="1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K103" i="6"/>
  <c r="N103" i="6" s="1"/>
  <c r="O103" i="6" s="1"/>
  <c r="K104" i="6"/>
  <c r="K105" i="6"/>
  <c r="N105" i="6" s="1"/>
  <c r="O105" i="6" s="1"/>
  <c r="K106" i="6"/>
  <c r="N106" i="6" s="1"/>
  <c r="O106" i="6" s="1"/>
  <c r="K107" i="6"/>
  <c r="N107" i="6" s="1"/>
  <c r="O107" i="6" s="1"/>
  <c r="K108" i="6"/>
  <c r="N108" i="6" s="1"/>
  <c r="O108" i="6" s="1"/>
  <c r="K109" i="6"/>
  <c r="N109" i="6" s="1"/>
  <c r="O109" i="6" s="1"/>
  <c r="K110" i="6"/>
  <c r="N110" i="6" s="1"/>
  <c r="O110" i="6" s="1"/>
  <c r="K111" i="6"/>
  <c r="N111" i="6" s="1"/>
  <c r="O111" i="6" s="1"/>
  <c r="K112" i="6"/>
  <c r="N112" i="6" s="1"/>
  <c r="O112" i="6" s="1"/>
  <c r="K113" i="6"/>
  <c r="N113" i="6" s="1"/>
  <c r="O113" i="6" s="1"/>
  <c r="K114" i="6"/>
  <c r="N114" i="6" s="1"/>
  <c r="O114" i="6" s="1"/>
  <c r="K115" i="6"/>
  <c r="N115" i="6" s="1"/>
  <c r="O115" i="6" s="1"/>
  <c r="N104" i="6"/>
  <c r="O104" i="6" s="1"/>
  <c r="A34" i="5"/>
  <c r="A35" i="5"/>
  <c r="A38" i="5"/>
  <c r="C34" i="5"/>
  <c r="E34" i="5" s="1"/>
  <c r="C35" i="5"/>
  <c r="E35" i="5" s="1"/>
  <c r="C38" i="5"/>
  <c r="E38" i="5" s="1"/>
  <c r="D34" i="5"/>
  <c r="D35" i="5"/>
  <c r="D38" i="5"/>
  <c r="A543" i="1"/>
  <c r="A544" i="1"/>
  <c r="A545" i="1"/>
  <c r="A546" i="1"/>
  <c r="A547" i="1"/>
  <c r="A548" i="1"/>
  <c r="A549" i="1"/>
  <c r="A550" i="1"/>
  <c r="A551" i="1"/>
  <c r="A552" i="1"/>
  <c r="A553" i="1"/>
  <c r="A554" i="1"/>
  <c r="C543" i="1"/>
  <c r="C544" i="1"/>
  <c r="C545" i="1"/>
  <c r="E545" i="1" s="1"/>
  <c r="C546" i="1"/>
  <c r="E546" i="1" s="1"/>
  <c r="C547" i="1"/>
  <c r="E547" i="1" s="1"/>
  <c r="C548" i="1"/>
  <c r="E548" i="1" s="1"/>
  <c r="C549" i="1"/>
  <c r="E549" i="1" s="1"/>
  <c r="C550" i="1"/>
  <c r="E550" i="1" s="1"/>
  <c r="C551" i="1"/>
  <c r="E551" i="1" s="1"/>
  <c r="C552" i="1"/>
  <c r="E552" i="1" s="1"/>
  <c r="C553" i="1"/>
  <c r="E553" i="1" s="1"/>
  <c r="C554" i="1"/>
  <c r="E554" i="1" s="1"/>
  <c r="D543" i="1"/>
  <c r="D544" i="1"/>
  <c r="D545" i="1"/>
  <c r="D546" i="1"/>
  <c r="D547" i="1"/>
  <c r="D548" i="1"/>
  <c r="D549" i="1"/>
  <c r="D550" i="1"/>
  <c r="D551" i="1"/>
  <c r="D552" i="1"/>
  <c r="D553" i="1"/>
  <c r="D554" i="1"/>
  <c r="E543" i="1"/>
  <c r="E544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A567" i="1"/>
  <c r="C567" i="1"/>
  <c r="E567" i="1" s="1"/>
  <c r="D567" i="1"/>
  <c r="K567" i="1"/>
  <c r="M567" i="1"/>
  <c r="N567" i="1"/>
  <c r="P567" i="1"/>
  <c r="A542" i="1"/>
  <c r="C542" i="1"/>
  <c r="E542" i="1" s="1"/>
  <c r="D542" i="1"/>
  <c r="K542" i="1"/>
  <c r="M542" i="1"/>
  <c r="N542" i="1"/>
  <c r="P542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C555" i="1"/>
  <c r="E555" i="1" s="1"/>
  <c r="C556" i="1"/>
  <c r="E556" i="1" s="1"/>
  <c r="C557" i="1"/>
  <c r="E557" i="1" s="1"/>
  <c r="C558" i="1"/>
  <c r="E558" i="1" s="1"/>
  <c r="C559" i="1"/>
  <c r="E559" i="1" s="1"/>
  <c r="C560" i="1"/>
  <c r="E560" i="1" s="1"/>
  <c r="C561" i="1"/>
  <c r="E561" i="1" s="1"/>
  <c r="C562" i="1"/>
  <c r="E562" i="1" s="1"/>
  <c r="C563" i="1"/>
  <c r="E563" i="1" s="1"/>
  <c r="C564" i="1"/>
  <c r="E564" i="1" s="1"/>
  <c r="C565" i="1"/>
  <c r="E565" i="1" s="1"/>
  <c r="C566" i="1"/>
  <c r="E566" i="1" s="1"/>
  <c r="D555" i="1"/>
  <c r="D556" i="1"/>
  <c r="D557" i="1"/>
  <c r="D558" i="1"/>
  <c r="D559" i="1"/>
  <c r="D560" i="1"/>
  <c r="D561" i="1"/>
  <c r="D562" i="1"/>
  <c r="D563" i="1"/>
  <c r="D564" i="1"/>
  <c r="D565" i="1"/>
  <c r="D566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A541" i="1"/>
  <c r="C541" i="1"/>
  <c r="E541" i="1" s="1"/>
  <c r="D541" i="1"/>
  <c r="K541" i="1"/>
  <c r="M541" i="1"/>
  <c r="N541" i="1"/>
  <c r="P541" i="1"/>
  <c r="A538" i="1"/>
  <c r="A539" i="1"/>
  <c r="A540" i="1"/>
  <c r="C538" i="1"/>
  <c r="E538" i="1" s="1"/>
  <c r="C539" i="1"/>
  <c r="E539" i="1" s="1"/>
  <c r="C540" i="1"/>
  <c r="E540" i="1" s="1"/>
  <c r="D538" i="1"/>
  <c r="D539" i="1"/>
  <c r="D540" i="1"/>
  <c r="K538" i="1"/>
  <c r="K539" i="1"/>
  <c r="K540" i="1"/>
  <c r="M538" i="1"/>
  <c r="M539" i="1"/>
  <c r="M540" i="1"/>
  <c r="N538" i="1"/>
  <c r="N539" i="1"/>
  <c r="N540" i="1"/>
  <c r="P538" i="1"/>
  <c r="P539" i="1"/>
  <c r="P540" i="1"/>
  <c r="A102" i="6"/>
  <c r="C102" i="6"/>
  <c r="E102" i="6" s="1"/>
  <c r="D102" i="6"/>
  <c r="K102" i="6"/>
  <c r="N102" i="6" s="1"/>
  <c r="O102" i="6" s="1"/>
  <c r="A101" i="6"/>
  <c r="C101" i="6"/>
  <c r="E101" i="6" s="1"/>
  <c r="D101" i="6"/>
  <c r="K101" i="6"/>
  <c r="N101" i="6" s="1"/>
  <c r="O101" i="6" s="1"/>
  <c r="A100" i="6"/>
  <c r="C100" i="6"/>
  <c r="E100" i="6" s="1"/>
  <c r="D100" i="6"/>
  <c r="K100" i="6"/>
  <c r="N100" i="6" s="1"/>
  <c r="O100" i="6" s="1"/>
  <c r="A99" i="6"/>
  <c r="C99" i="6"/>
  <c r="E99" i="6" s="1"/>
  <c r="D99" i="6"/>
  <c r="K99" i="6"/>
  <c r="N99" i="6" s="1"/>
  <c r="O99" i="6" s="1"/>
  <c r="A98" i="6"/>
  <c r="C98" i="6"/>
  <c r="E98" i="6" s="1"/>
  <c r="D98" i="6"/>
  <c r="K98" i="6"/>
  <c r="N98" i="6" s="1"/>
  <c r="O98" i="6" s="1"/>
  <c r="A97" i="6"/>
  <c r="C97" i="6"/>
  <c r="E97" i="6" s="1"/>
  <c r="D97" i="6"/>
  <c r="K97" i="6"/>
  <c r="N97" i="6" s="1"/>
  <c r="O97" i="6" s="1"/>
  <c r="A96" i="6"/>
  <c r="C96" i="6"/>
  <c r="E96" i="6" s="1"/>
  <c r="D96" i="6"/>
  <c r="K96" i="6"/>
  <c r="N96" i="6" s="1"/>
  <c r="O96" i="6" l="1"/>
  <c r="D2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6" i="5"/>
  <c r="D27" i="5"/>
  <c r="D28" i="5"/>
  <c r="D29" i="5"/>
  <c r="D30" i="5"/>
  <c r="D31" i="5"/>
  <c r="D32" i="5"/>
  <c r="D33" i="5"/>
  <c r="H513" i="1"/>
  <c r="H521" i="1"/>
  <c r="A517" i="1"/>
  <c r="C517" i="1"/>
  <c r="E517" i="1" s="1"/>
  <c r="D517" i="1"/>
  <c r="K517" i="1"/>
  <c r="M517" i="1"/>
  <c r="N517" i="1"/>
  <c r="P517" i="1"/>
  <c r="A516" i="1"/>
  <c r="C516" i="1"/>
  <c r="E516" i="1" s="1"/>
  <c r="D516" i="1"/>
  <c r="K516" i="1"/>
  <c r="M516" i="1"/>
  <c r="N516" i="1"/>
  <c r="P516" i="1"/>
  <c r="A515" i="1"/>
  <c r="C515" i="1"/>
  <c r="E515" i="1" s="1"/>
  <c r="D515" i="1"/>
  <c r="K515" i="1"/>
  <c r="M515" i="1"/>
  <c r="N515" i="1"/>
  <c r="P515" i="1"/>
  <c r="A32" i="5"/>
  <c r="A33" i="5"/>
  <c r="C32" i="5"/>
  <c r="E32" i="5" s="1"/>
  <c r="C33" i="5"/>
  <c r="E33" i="5" s="1"/>
  <c r="A514" i="1"/>
  <c r="C514" i="1"/>
  <c r="E514" i="1" s="1"/>
  <c r="D514" i="1"/>
  <c r="K514" i="1"/>
  <c r="M514" i="1"/>
  <c r="N514" i="1"/>
  <c r="P514" i="1"/>
  <c r="A518" i="1"/>
  <c r="A519" i="1"/>
  <c r="A520" i="1"/>
  <c r="A521" i="1"/>
  <c r="A522" i="1"/>
  <c r="A523" i="1"/>
  <c r="A524" i="1"/>
  <c r="A525" i="1"/>
  <c r="C518" i="1"/>
  <c r="E518" i="1" s="1"/>
  <c r="C519" i="1"/>
  <c r="E519" i="1" s="1"/>
  <c r="C520" i="1"/>
  <c r="E520" i="1" s="1"/>
  <c r="C521" i="1"/>
  <c r="E521" i="1" s="1"/>
  <c r="C522" i="1"/>
  <c r="E522" i="1" s="1"/>
  <c r="C523" i="1"/>
  <c r="E523" i="1" s="1"/>
  <c r="C524" i="1"/>
  <c r="E524" i="1" s="1"/>
  <c r="C525" i="1"/>
  <c r="E525" i="1" s="1"/>
  <c r="D518" i="1"/>
  <c r="D519" i="1"/>
  <c r="D520" i="1"/>
  <c r="D521" i="1"/>
  <c r="D522" i="1"/>
  <c r="D523" i="1"/>
  <c r="D524" i="1"/>
  <c r="D525" i="1"/>
  <c r="K518" i="1"/>
  <c r="K519" i="1"/>
  <c r="K520" i="1"/>
  <c r="K521" i="1"/>
  <c r="K522" i="1"/>
  <c r="K523" i="1"/>
  <c r="K524" i="1"/>
  <c r="K525" i="1"/>
  <c r="M518" i="1"/>
  <c r="M519" i="1"/>
  <c r="M520" i="1"/>
  <c r="M521" i="1"/>
  <c r="M522" i="1"/>
  <c r="M523" i="1"/>
  <c r="M524" i="1"/>
  <c r="M525" i="1"/>
  <c r="N518" i="1"/>
  <c r="N519" i="1"/>
  <c r="N520" i="1"/>
  <c r="N521" i="1"/>
  <c r="N522" i="1"/>
  <c r="N523" i="1"/>
  <c r="N524" i="1"/>
  <c r="N525" i="1"/>
  <c r="P518" i="1"/>
  <c r="P519" i="1"/>
  <c r="P520" i="1"/>
  <c r="P521" i="1"/>
  <c r="P522" i="1"/>
  <c r="P523" i="1"/>
  <c r="P524" i="1"/>
  <c r="P525" i="1"/>
  <c r="A513" i="1"/>
  <c r="C513" i="1"/>
  <c r="E513" i="1" s="1"/>
  <c r="D513" i="1"/>
  <c r="K513" i="1"/>
  <c r="M513" i="1"/>
  <c r="N513" i="1"/>
  <c r="P513" i="1"/>
  <c r="A508" i="1"/>
  <c r="A509" i="1"/>
  <c r="A510" i="1"/>
  <c r="A511" i="1"/>
  <c r="A512" i="1"/>
  <c r="C508" i="1"/>
  <c r="E508" i="1" s="1"/>
  <c r="C509" i="1"/>
  <c r="E509" i="1" s="1"/>
  <c r="C510" i="1"/>
  <c r="E510" i="1" s="1"/>
  <c r="C511" i="1"/>
  <c r="E511" i="1" s="1"/>
  <c r="C512" i="1"/>
  <c r="E512" i="1" s="1"/>
  <c r="D508" i="1"/>
  <c r="D509" i="1"/>
  <c r="D510" i="1"/>
  <c r="D511" i="1"/>
  <c r="D512" i="1"/>
  <c r="K508" i="1"/>
  <c r="K509" i="1"/>
  <c r="K510" i="1"/>
  <c r="K511" i="1"/>
  <c r="K512" i="1"/>
  <c r="M508" i="1"/>
  <c r="M509" i="1"/>
  <c r="M510" i="1"/>
  <c r="M511" i="1"/>
  <c r="M512" i="1"/>
  <c r="N508" i="1"/>
  <c r="N509" i="1"/>
  <c r="N510" i="1"/>
  <c r="N511" i="1"/>
  <c r="N512" i="1"/>
  <c r="P508" i="1"/>
  <c r="P509" i="1"/>
  <c r="P510" i="1"/>
  <c r="P511" i="1"/>
  <c r="P512" i="1"/>
  <c r="A28" i="5"/>
  <c r="A29" i="5"/>
  <c r="A30" i="5"/>
  <c r="A31" i="5"/>
  <c r="C28" i="5"/>
  <c r="E28" i="5" s="1"/>
  <c r="C29" i="5"/>
  <c r="E29" i="5" s="1"/>
  <c r="C30" i="5"/>
  <c r="E30" i="5" s="1"/>
  <c r="C31" i="5"/>
  <c r="E31" i="5" s="1"/>
  <c r="A93" i="6"/>
  <c r="A94" i="6"/>
  <c r="A95" i="6"/>
  <c r="C93" i="6"/>
  <c r="E93" i="6" s="1"/>
  <c r="C94" i="6"/>
  <c r="E94" i="6" s="1"/>
  <c r="C95" i="6"/>
  <c r="E95" i="6" s="1"/>
  <c r="K93" i="6"/>
  <c r="N93" i="6" s="1"/>
  <c r="O93" i="6" s="1"/>
  <c r="K94" i="6"/>
  <c r="N94" i="6" s="1"/>
  <c r="O94" i="6" s="1"/>
  <c r="K95" i="6"/>
  <c r="N95" i="6" s="1"/>
  <c r="O95" i="6" s="1"/>
  <c r="D94" i="1"/>
  <c r="D300" i="1" l="1"/>
  <c r="D301" i="1"/>
  <c r="D851" i="1"/>
  <c r="D900" i="1"/>
  <c r="D852" i="1"/>
  <c r="D853" i="1"/>
  <c r="D854" i="1"/>
  <c r="D855" i="1"/>
  <c r="D856" i="1"/>
  <c r="D752" i="1"/>
  <c r="D857" i="1"/>
  <c r="D858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859" i="1"/>
  <c r="D860" i="1"/>
  <c r="D861" i="1"/>
  <c r="D862" i="1"/>
  <c r="D863" i="1"/>
  <c r="D864" i="1"/>
  <c r="D865" i="1"/>
  <c r="D866" i="1"/>
  <c r="D901" i="1"/>
  <c r="D902" i="1"/>
  <c r="D867" i="1"/>
  <c r="D868" i="1"/>
  <c r="D903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1188" i="1"/>
  <c r="D1189" i="1"/>
  <c r="D1190" i="1"/>
  <c r="D1191" i="1"/>
  <c r="D1198" i="1"/>
  <c r="D1192" i="1"/>
  <c r="D1199" i="1"/>
  <c r="D1200" i="1"/>
  <c r="D1193" i="1"/>
  <c r="D1194" i="1"/>
  <c r="D1195" i="1"/>
  <c r="D1196" i="1"/>
  <c r="D1197" i="1"/>
  <c r="D399" i="1"/>
  <c r="D400" i="1"/>
  <c r="D407" i="1"/>
  <c r="D408" i="1"/>
  <c r="D401" i="1"/>
  <c r="D402" i="1"/>
  <c r="D403" i="1"/>
  <c r="D404" i="1"/>
  <c r="D405" i="1"/>
  <c r="D406" i="1"/>
  <c r="D9" i="1"/>
  <c r="D10" i="1"/>
  <c r="D11" i="1"/>
  <c r="D12" i="1"/>
  <c r="D13" i="1"/>
  <c r="D14" i="1"/>
  <c r="D15" i="1"/>
  <c r="D16" i="1"/>
  <c r="D309" i="1"/>
  <c r="D310" i="1"/>
  <c r="D318" i="1"/>
  <c r="D319" i="1"/>
  <c r="D320" i="1"/>
  <c r="D321" i="1"/>
  <c r="D322" i="1"/>
  <c r="D323" i="1"/>
  <c r="D324" i="1"/>
  <c r="D325" i="1"/>
  <c r="D326" i="1"/>
  <c r="D311" i="1"/>
  <c r="D312" i="1"/>
  <c r="D327" i="1"/>
  <c r="D313" i="1"/>
  <c r="D314" i="1"/>
  <c r="D315" i="1"/>
  <c r="D316" i="1"/>
  <c r="D317" i="1"/>
  <c r="D83" i="1"/>
  <c r="D78" i="1"/>
  <c r="D79" i="1"/>
  <c r="D328" i="1"/>
  <c r="D329" i="1"/>
  <c r="D330" i="1"/>
  <c r="D331" i="1"/>
  <c r="D332" i="1"/>
  <c r="D1274" i="1"/>
  <c r="D1275" i="1"/>
  <c r="D1276" i="1"/>
  <c r="D1277" i="1"/>
  <c r="D1278" i="1"/>
  <c r="D1272" i="1"/>
  <c r="D1273" i="1"/>
  <c r="D1270" i="1"/>
  <c r="D1271" i="1"/>
  <c r="D1267" i="1"/>
  <c r="D1268" i="1"/>
  <c r="D1269" i="1"/>
  <c r="D1258" i="1"/>
  <c r="D1249" i="1"/>
  <c r="D1254" i="1"/>
  <c r="D1256" i="1"/>
  <c r="D1250" i="1"/>
  <c r="D1259" i="1"/>
  <c r="D1260" i="1"/>
  <c r="D1238" i="1"/>
  <c r="D1239" i="1"/>
  <c r="D1240" i="1"/>
  <c r="D1253" i="1"/>
  <c r="D1251" i="1"/>
  <c r="D1257" i="1"/>
  <c r="D1241" i="1"/>
  <c r="D1242" i="1"/>
  <c r="D1261" i="1"/>
  <c r="D1262" i="1"/>
  <c r="D1255" i="1"/>
  <c r="D1263" i="1"/>
  <c r="D1243" i="1"/>
  <c r="D1246" i="1"/>
  <c r="D1247" i="1"/>
  <c r="D1248" i="1"/>
  <c r="D1205" i="1"/>
  <c r="D1204" i="1"/>
  <c r="D1206" i="1"/>
  <c r="D1187" i="1"/>
  <c r="D1114" i="1"/>
  <c r="D1115" i="1"/>
  <c r="D1110" i="1"/>
  <c r="D1123" i="1"/>
  <c r="D1116" i="1"/>
  <c r="D1117" i="1"/>
  <c r="D1111" i="1"/>
  <c r="D1118" i="1"/>
  <c r="D1112" i="1"/>
  <c r="D1124" i="1"/>
  <c r="D1125" i="1"/>
  <c r="D1113" i="1"/>
  <c r="D1122" i="1"/>
  <c r="D1119" i="1"/>
  <c r="D1120" i="1"/>
  <c r="D1121" i="1"/>
  <c r="D1104" i="1"/>
  <c r="D1105" i="1"/>
  <c r="D1106" i="1"/>
  <c r="D1107" i="1"/>
  <c r="D1108" i="1"/>
  <c r="D1100" i="1"/>
  <c r="D1101" i="1"/>
  <c r="D1102" i="1"/>
  <c r="D1103" i="1"/>
  <c r="D1201" i="1"/>
  <c r="D1202" i="1"/>
  <c r="D1203" i="1"/>
  <c r="D302" i="1"/>
  <c r="D303" i="1"/>
  <c r="D304" i="1"/>
  <c r="D1280" i="1"/>
  <c r="D1281" i="1"/>
  <c r="D1282" i="1"/>
  <c r="D1283" i="1"/>
  <c r="D1284" i="1"/>
  <c r="D1285" i="1"/>
  <c r="D431" i="1"/>
  <c r="D432" i="1"/>
  <c r="D446" i="1"/>
  <c r="D456" i="1"/>
  <c r="D433" i="1"/>
  <c r="D443" i="1"/>
  <c r="D451" i="1"/>
  <c r="D459" i="1"/>
  <c r="D452" i="1"/>
  <c r="D460" i="1"/>
  <c r="D434" i="1"/>
  <c r="D444" i="1"/>
  <c r="D453" i="1"/>
  <c r="D461" i="1"/>
  <c r="D445" i="1"/>
  <c r="D454" i="1"/>
  <c r="D435" i="1"/>
  <c r="D436" i="1"/>
  <c r="D437" i="1"/>
  <c r="D447" i="1"/>
  <c r="D457" i="1"/>
  <c r="D438" i="1"/>
  <c r="D448" i="1"/>
  <c r="D449" i="1"/>
  <c r="D439" i="1"/>
  <c r="D440" i="1"/>
  <c r="D450" i="1"/>
  <c r="D458" i="1"/>
  <c r="D441" i="1"/>
  <c r="D442" i="1"/>
  <c r="D348" i="1"/>
  <c r="D347" i="1"/>
  <c r="D346" i="1"/>
  <c r="D340" i="1"/>
  <c r="D345" i="1"/>
  <c r="D339" i="1"/>
  <c r="D333" i="1"/>
  <c r="D337" i="1"/>
  <c r="D338" i="1"/>
  <c r="D334" i="1"/>
  <c r="D335" i="1"/>
  <c r="D336" i="1"/>
  <c r="D341" i="1"/>
  <c r="D342" i="1"/>
  <c r="D343" i="1"/>
  <c r="D101" i="1"/>
  <c r="D102" i="1"/>
  <c r="D100" i="1"/>
  <c r="D103" i="1"/>
  <c r="D104" i="1"/>
  <c r="D93" i="1"/>
  <c r="D1057" i="1"/>
  <c r="D1058" i="1"/>
  <c r="D1059" i="1"/>
  <c r="D1060" i="1"/>
  <c r="D1061" i="1"/>
  <c r="D1062" i="1"/>
  <c r="D1063" i="1"/>
  <c r="D1064" i="1"/>
  <c r="D1065" i="1"/>
  <c r="D2" i="1"/>
  <c r="D3" i="1"/>
  <c r="D4" i="1"/>
  <c r="D5" i="1"/>
  <c r="D6" i="1"/>
  <c r="D7" i="1"/>
  <c r="D76" i="1"/>
  <c r="D17" i="1"/>
  <c r="D113" i="1"/>
  <c r="D114" i="1"/>
  <c r="D115" i="1"/>
  <c r="D116" i="1"/>
  <c r="D117" i="1"/>
  <c r="D118" i="1"/>
  <c r="D119" i="1"/>
  <c r="D133" i="1"/>
  <c r="D134" i="1"/>
  <c r="D135" i="1"/>
  <c r="D136" i="1"/>
  <c r="D305" i="1"/>
  <c r="D306" i="1"/>
  <c r="D307" i="1"/>
  <c r="D308" i="1"/>
  <c r="D90" i="1"/>
  <c r="D155" i="1"/>
  <c r="D156" i="1"/>
  <c r="D157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80" i="1"/>
  <c r="D154" i="1"/>
  <c r="D181" i="1"/>
  <c r="D170" i="1"/>
  <c r="D171" i="1"/>
  <c r="D172" i="1"/>
  <c r="D173" i="1"/>
  <c r="D174" i="1"/>
  <c r="D175" i="1"/>
  <c r="D176" i="1"/>
  <c r="D177" i="1"/>
  <c r="D178" i="1"/>
  <c r="D179" i="1"/>
  <c r="D197" i="1"/>
  <c r="D198" i="1"/>
  <c r="D199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200" i="1"/>
  <c r="D201" i="1"/>
  <c r="D202" i="1"/>
  <c r="D205" i="1"/>
  <c r="D203" i="1"/>
  <c r="D204" i="1"/>
  <c r="D112" i="1"/>
  <c r="D120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46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7" i="1"/>
  <c r="D248" i="1"/>
  <c r="D249" i="1"/>
  <c r="D250" i="1"/>
  <c r="D251" i="1"/>
  <c r="D252" i="1"/>
  <c r="D253" i="1"/>
  <c r="D254" i="1"/>
  <c r="D255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368" i="1"/>
  <c r="D369" i="1"/>
  <c r="D370" i="1"/>
  <c r="D371" i="1"/>
  <c r="D372" i="1"/>
  <c r="D373" i="1"/>
  <c r="D374" i="1"/>
  <c r="D375" i="1"/>
  <c r="D376" i="1"/>
  <c r="D362" i="1"/>
  <c r="D363" i="1"/>
  <c r="D364" i="1"/>
  <c r="D365" i="1"/>
  <c r="D366" i="1"/>
  <c r="D367" i="1"/>
  <c r="D377" i="1"/>
  <c r="D378" i="1"/>
  <c r="D379" i="1"/>
  <c r="D380" i="1"/>
  <c r="D386" i="1"/>
  <c r="D387" i="1"/>
  <c r="D381" i="1"/>
  <c r="D382" i="1"/>
  <c r="D383" i="1"/>
  <c r="D384" i="1"/>
  <c r="D385" i="1"/>
  <c r="D421" i="1"/>
  <c r="D422" i="1"/>
  <c r="D423" i="1"/>
  <c r="D424" i="1"/>
  <c r="D420" i="1"/>
  <c r="D425" i="1"/>
  <c r="D429" i="1"/>
  <c r="D430" i="1"/>
  <c r="D426" i="1"/>
  <c r="D427" i="1"/>
  <c r="D428" i="1"/>
  <c r="A428" i="1"/>
  <c r="C428" i="1"/>
  <c r="E428" i="1" s="1"/>
  <c r="K428" i="1"/>
  <c r="M428" i="1"/>
  <c r="N428" i="1"/>
  <c r="P428" i="1"/>
  <c r="A427" i="1"/>
  <c r="C427" i="1"/>
  <c r="E427" i="1" s="1"/>
  <c r="K427" i="1"/>
  <c r="M427" i="1"/>
  <c r="N427" i="1"/>
  <c r="P427" i="1"/>
  <c r="A426" i="1"/>
  <c r="C426" i="1"/>
  <c r="E426" i="1" s="1"/>
  <c r="K426" i="1"/>
  <c r="M426" i="1"/>
  <c r="N426" i="1"/>
  <c r="P426" i="1"/>
  <c r="H429" i="1"/>
  <c r="A429" i="1"/>
  <c r="A430" i="1"/>
  <c r="C429" i="1"/>
  <c r="E429" i="1" s="1"/>
  <c r="C430" i="1"/>
  <c r="E430" i="1" s="1"/>
  <c r="K429" i="1"/>
  <c r="K430" i="1"/>
  <c r="M429" i="1"/>
  <c r="M430" i="1"/>
  <c r="N429" i="1"/>
  <c r="N430" i="1"/>
  <c r="P429" i="1"/>
  <c r="P430" i="1"/>
  <c r="A420" i="1"/>
  <c r="A425" i="1"/>
  <c r="C420" i="1"/>
  <c r="E420" i="1" s="1"/>
  <c r="C425" i="1"/>
  <c r="E425" i="1" s="1"/>
  <c r="K420" i="1"/>
  <c r="K425" i="1"/>
  <c r="M420" i="1"/>
  <c r="M425" i="1"/>
  <c r="N420" i="1"/>
  <c r="N425" i="1"/>
  <c r="P420" i="1"/>
  <c r="P425" i="1"/>
  <c r="A424" i="1"/>
  <c r="C424" i="1"/>
  <c r="E424" i="1" s="1"/>
  <c r="K424" i="1"/>
  <c r="M424" i="1"/>
  <c r="N424" i="1"/>
  <c r="P424" i="1"/>
  <c r="A421" i="1"/>
  <c r="A422" i="1"/>
  <c r="A423" i="1"/>
  <c r="C421" i="1"/>
  <c r="E421" i="1" s="1"/>
  <c r="C422" i="1"/>
  <c r="E422" i="1" s="1"/>
  <c r="C423" i="1"/>
  <c r="E423" i="1" s="1"/>
  <c r="K421" i="1"/>
  <c r="K422" i="1"/>
  <c r="K423" i="1"/>
  <c r="M421" i="1"/>
  <c r="M422" i="1"/>
  <c r="M423" i="1"/>
  <c r="N421" i="1"/>
  <c r="N422" i="1"/>
  <c r="N423" i="1"/>
  <c r="P421" i="1"/>
  <c r="P422" i="1"/>
  <c r="P423" i="1"/>
  <c r="A27" i="5"/>
  <c r="C27" i="5"/>
  <c r="E27" i="5" s="1"/>
  <c r="A92" i="6"/>
  <c r="C92" i="6"/>
  <c r="E92" i="6" s="1"/>
  <c r="K92" i="6"/>
  <c r="N92" i="6" s="1"/>
  <c r="O92" i="6" s="1"/>
  <c r="A19" i="5"/>
  <c r="A20" i="5"/>
  <c r="A21" i="5"/>
  <c r="A22" i="5"/>
  <c r="A23" i="5"/>
  <c r="A24" i="5"/>
  <c r="A26" i="5"/>
  <c r="C19" i="5"/>
  <c r="E19" i="5" s="1"/>
  <c r="C20" i="5"/>
  <c r="E20" i="5" s="1"/>
  <c r="C21" i="5"/>
  <c r="E21" i="5" s="1"/>
  <c r="C22" i="5"/>
  <c r="E22" i="5" s="1"/>
  <c r="C23" i="5"/>
  <c r="E23" i="5" s="1"/>
  <c r="C24" i="5"/>
  <c r="E24" i="5" s="1"/>
  <c r="C26" i="5"/>
  <c r="E26" i="5" s="1"/>
  <c r="A385" i="1"/>
  <c r="C385" i="1"/>
  <c r="E385" i="1" s="1"/>
  <c r="K385" i="1"/>
  <c r="M385" i="1"/>
  <c r="N385" i="1"/>
  <c r="P385" i="1"/>
  <c r="A384" i="1"/>
  <c r="C384" i="1"/>
  <c r="E384" i="1" s="1"/>
  <c r="K384" i="1"/>
  <c r="M384" i="1"/>
  <c r="N384" i="1"/>
  <c r="P384" i="1"/>
  <c r="A383" i="1"/>
  <c r="C383" i="1"/>
  <c r="E383" i="1" s="1"/>
  <c r="K383" i="1"/>
  <c r="M383" i="1"/>
  <c r="N383" i="1"/>
  <c r="P383" i="1"/>
  <c r="A382" i="1"/>
  <c r="C382" i="1"/>
  <c r="E382" i="1" s="1"/>
  <c r="K382" i="1"/>
  <c r="M382" i="1"/>
  <c r="N382" i="1"/>
  <c r="P382" i="1"/>
  <c r="A381" i="1"/>
  <c r="C381" i="1"/>
  <c r="E381" i="1" s="1"/>
  <c r="K381" i="1"/>
  <c r="M381" i="1"/>
  <c r="N381" i="1"/>
  <c r="P381" i="1"/>
  <c r="A387" i="1"/>
  <c r="C387" i="1"/>
  <c r="E387" i="1" s="1"/>
  <c r="K387" i="1"/>
  <c r="M387" i="1"/>
  <c r="N387" i="1"/>
  <c r="P387" i="1"/>
  <c r="A386" i="1"/>
  <c r="C386" i="1"/>
  <c r="E386" i="1" s="1"/>
  <c r="K386" i="1"/>
  <c r="M386" i="1"/>
  <c r="N386" i="1"/>
  <c r="P386" i="1"/>
  <c r="A380" i="1"/>
  <c r="C380" i="1"/>
  <c r="E380" i="1" s="1"/>
  <c r="K380" i="1"/>
  <c r="M380" i="1"/>
  <c r="N380" i="1"/>
  <c r="P380" i="1"/>
  <c r="A362" i="1"/>
  <c r="A363" i="1"/>
  <c r="A364" i="1"/>
  <c r="A365" i="1"/>
  <c r="A366" i="1"/>
  <c r="A367" i="1"/>
  <c r="A377" i="1"/>
  <c r="A378" i="1"/>
  <c r="A379" i="1"/>
  <c r="C362" i="1"/>
  <c r="E362" i="1" s="1"/>
  <c r="C363" i="1"/>
  <c r="E363" i="1" s="1"/>
  <c r="C364" i="1"/>
  <c r="E364" i="1" s="1"/>
  <c r="C365" i="1"/>
  <c r="E365" i="1" s="1"/>
  <c r="C366" i="1"/>
  <c r="E366" i="1" s="1"/>
  <c r="C367" i="1"/>
  <c r="E367" i="1" s="1"/>
  <c r="C377" i="1"/>
  <c r="E377" i="1" s="1"/>
  <c r="C378" i="1"/>
  <c r="E378" i="1" s="1"/>
  <c r="C379" i="1"/>
  <c r="E379" i="1" s="1"/>
  <c r="K362" i="1"/>
  <c r="K363" i="1"/>
  <c r="K364" i="1"/>
  <c r="K365" i="1"/>
  <c r="K366" i="1"/>
  <c r="K367" i="1"/>
  <c r="K377" i="1"/>
  <c r="K378" i="1"/>
  <c r="K379" i="1"/>
  <c r="M362" i="1"/>
  <c r="M363" i="1"/>
  <c r="M364" i="1"/>
  <c r="M365" i="1"/>
  <c r="M366" i="1"/>
  <c r="M367" i="1"/>
  <c r="M377" i="1"/>
  <c r="M378" i="1"/>
  <c r="M379" i="1"/>
  <c r="N362" i="1"/>
  <c r="N363" i="1"/>
  <c r="N364" i="1"/>
  <c r="N365" i="1"/>
  <c r="N366" i="1"/>
  <c r="N367" i="1"/>
  <c r="N377" i="1"/>
  <c r="N378" i="1"/>
  <c r="N379" i="1"/>
  <c r="P362" i="1"/>
  <c r="P363" i="1"/>
  <c r="P364" i="1"/>
  <c r="P365" i="1"/>
  <c r="P366" i="1"/>
  <c r="P367" i="1"/>
  <c r="P377" i="1"/>
  <c r="P378" i="1"/>
  <c r="P379" i="1"/>
  <c r="A375" i="1"/>
  <c r="A376" i="1"/>
  <c r="C375" i="1"/>
  <c r="E375" i="1" s="1"/>
  <c r="C376" i="1"/>
  <c r="E376" i="1" s="1"/>
  <c r="K375" i="1"/>
  <c r="K376" i="1"/>
  <c r="M375" i="1"/>
  <c r="M376" i="1"/>
  <c r="N375" i="1"/>
  <c r="N376" i="1"/>
  <c r="P375" i="1"/>
  <c r="P376" i="1"/>
  <c r="A368" i="1"/>
  <c r="A369" i="1"/>
  <c r="A370" i="1"/>
  <c r="A371" i="1"/>
  <c r="A372" i="1"/>
  <c r="A373" i="1"/>
  <c r="A374" i="1"/>
  <c r="C368" i="1"/>
  <c r="E368" i="1" s="1"/>
  <c r="C369" i="1"/>
  <c r="E369" i="1" s="1"/>
  <c r="C370" i="1"/>
  <c r="E370" i="1" s="1"/>
  <c r="C371" i="1"/>
  <c r="E371" i="1" s="1"/>
  <c r="C372" i="1"/>
  <c r="E372" i="1" s="1"/>
  <c r="C373" i="1"/>
  <c r="E373" i="1" s="1"/>
  <c r="C374" i="1"/>
  <c r="E374" i="1" s="1"/>
  <c r="K368" i="1"/>
  <c r="K369" i="1"/>
  <c r="K370" i="1"/>
  <c r="K371" i="1"/>
  <c r="K372" i="1"/>
  <c r="K373" i="1"/>
  <c r="K374" i="1"/>
  <c r="M368" i="1"/>
  <c r="M369" i="1"/>
  <c r="M370" i="1"/>
  <c r="M371" i="1"/>
  <c r="M372" i="1"/>
  <c r="M373" i="1"/>
  <c r="M374" i="1"/>
  <c r="N368" i="1"/>
  <c r="N369" i="1"/>
  <c r="N370" i="1"/>
  <c r="N371" i="1"/>
  <c r="N372" i="1"/>
  <c r="N373" i="1"/>
  <c r="N374" i="1"/>
  <c r="P368" i="1"/>
  <c r="P369" i="1"/>
  <c r="P370" i="1"/>
  <c r="P371" i="1"/>
  <c r="P372" i="1"/>
  <c r="P373" i="1"/>
  <c r="P374" i="1"/>
  <c r="A91" i="6"/>
  <c r="C91" i="6"/>
  <c r="E91" i="6" s="1"/>
  <c r="K91" i="6"/>
  <c r="N91" i="6" s="1"/>
  <c r="O91" i="6" s="1"/>
  <c r="A88" i="6"/>
  <c r="A89" i="6"/>
  <c r="A90" i="6"/>
  <c r="C88" i="6"/>
  <c r="E88" i="6" s="1"/>
  <c r="C89" i="6"/>
  <c r="E89" i="6" s="1"/>
  <c r="C90" i="6"/>
  <c r="E90" i="6" s="1"/>
  <c r="K88" i="6"/>
  <c r="N88" i="6" s="1"/>
  <c r="O88" i="6" s="1"/>
  <c r="K89" i="6"/>
  <c r="N89" i="6" s="1"/>
  <c r="O89" i="6" s="1"/>
  <c r="K90" i="6"/>
  <c r="N90" i="6" s="1"/>
  <c r="O90" i="6" s="1"/>
  <c r="A64" i="6"/>
  <c r="C64" i="6"/>
  <c r="E64" i="6" s="1"/>
  <c r="K64" i="6"/>
  <c r="N64" i="6" s="1"/>
  <c r="O64" i="6" s="1"/>
  <c r="A86" i="6"/>
  <c r="A87" i="6"/>
  <c r="C86" i="6"/>
  <c r="E86" i="6" s="1"/>
  <c r="C87" i="6"/>
  <c r="E87" i="6" s="1"/>
  <c r="K86" i="6"/>
  <c r="N86" i="6" s="1"/>
  <c r="O86" i="6" s="1"/>
  <c r="K87" i="6"/>
  <c r="N87" i="6" s="1"/>
  <c r="O87" i="6" s="1"/>
  <c r="A285" i="1"/>
  <c r="A286" i="1"/>
  <c r="A287" i="1"/>
  <c r="A288" i="1"/>
  <c r="A289" i="1"/>
  <c r="A290" i="1"/>
  <c r="A291" i="1"/>
  <c r="A292" i="1"/>
  <c r="A293" i="1"/>
  <c r="A294" i="1"/>
  <c r="C285" i="1"/>
  <c r="E285" i="1" s="1"/>
  <c r="C286" i="1"/>
  <c r="E286" i="1" s="1"/>
  <c r="C287" i="1"/>
  <c r="E287" i="1" s="1"/>
  <c r="C288" i="1"/>
  <c r="E288" i="1" s="1"/>
  <c r="C289" i="1"/>
  <c r="E289" i="1" s="1"/>
  <c r="C290" i="1"/>
  <c r="E290" i="1" s="1"/>
  <c r="C291" i="1"/>
  <c r="E291" i="1" s="1"/>
  <c r="C292" i="1"/>
  <c r="E292" i="1" s="1"/>
  <c r="C293" i="1"/>
  <c r="E293" i="1" s="1"/>
  <c r="C294" i="1"/>
  <c r="E294" i="1" s="1"/>
  <c r="K285" i="1"/>
  <c r="K286" i="1"/>
  <c r="K287" i="1"/>
  <c r="K288" i="1"/>
  <c r="K289" i="1"/>
  <c r="K290" i="1"/>
  <c r="K291" i="1"/>
  <c r="K292" i="1"/>
  <c r="K293" i="1"/>
  <c r="K294" i="1"/>
  <c r="M285" i="1"/>
  <c r="M286" i="1"/>
  <c r="M287" i="1"/>
  <c r="M288" i="1"/>
  <c r="M289" i="1"/>
  <c r="M290" i="1"/>
  <c r="M291" i="1"/>
  <c r="M292" i="1"/>
  <c r="M293" i="1"/>
  <c r="M294" i="1"/>
  <c r="N285" i="1"/>
  <c r="N286" i="1"/>
  <c r="N287" i="1"/>
  <c r="N288" i="1"/>
  <c r="N289" i="1"/>
  <c r="N290" i="1"/>
  <c r="N291" i="1"/>
  <c r="N292" i="1"/>
  <c r="N293" i="1"/>
  <c r="N294" i="1"/>
  <c r="P285" i="1"/>
  <c r="P286" i="1"/>
  <c r="P287" i="1"/>
  <c r="P288" i="1"/>
  <c r="P289" i="1"/>
  <c r="P290" i="1"/>
  <c r="P291" i="1"/>
  <c r="P292" i="1"/>
  <c r="P293" i="1"/>
  <c r="P294" i="1"/>
  <c r="A83" i="6"/>
  <c r="A84" i="6"/>
  <c r="A85" i="6"/>
  <c r="C83" i="6"/>
  <c r="E83" i="6" s="1"/>
  <c r="C84" i="6"/>
  <c r="E84" i="6" s="1"/>
  <c r="C85" i="6"/>
  <c r="E85" i="6" s="1"/>
  <c r="K83" i="6"/>
  <c r="N83" i="6" s="1"/>
  <c r="O83" i="6" s="1"/>
  <c r="K84" i="6"/>
  <c r="N84" i="6" s="1"/>
  <c r="O84" i="6" s="1"/>
  <c r="K85" i="6"/>
  <c r="N85" i="6" s="1"/>
  <c r="O85" i="6" s="1"/>
  <c r="A17" i="5"/>
  <c r="A18" i="5"/>
  <c r="C17" i="5"/>
  <c r="E17" i="5" s="1"/>
  <c r="C18" i="5"/>
  <c r="E18" i="5" s="1"/>
  <c r="A278" i="1"/>
  <c r="A279" i="1"/>
  <c r="A280" i="1"/>
  <c r="A281" i="1"/>
  <c r="A282" i="1"/>
  <c r="A283" i="1"/>
  <c r="A284" i="1"/>
  <c r="C278" i="1"/>
  <c r="E278" i="1" s="1"/>
  <c r="C279" i="1"/>
  <c r="E279" i="1" s="1"/>
  <c r="C280" i="1"/>
  <c r="E280" i="1" s="1"/>
  <c r="C281" i="1"/>
  <c r="E281" i="1" s="1"/>
  <c r="C282" i="1"/>
  <c r="E282" i="1" s="1"/>
  <c r="C283" i="1"/>
  <c r="E283" i="1" s="1"/>
  <c r="C284" i="1"/>
  <c r="E284" i="1" s="1"/>
  <c r="K278" i="1"/>
  <c r="K279" i="1"/>
  <c r="K280" i="1"/>
  <c r="K281" i="1"/>
  <c r="K282" i="1"/>
  <c r="K283" i="1"/>
  <c r="K284" i="1"/>
  <c r="M278" i="1"/>
  <c r="M279" i="1"/>
  <c r="M280" i="1"/>
  <c r="M281" i="1"/>
  <c r="M282" i="1"/>
  <c r="M283" i="1"/>
  <c r="M284" i="1"/>
  <c r="N278" i="1"/>
  <c r="N279" i="1"/>
  <c r="N280" i="1"/>
  <c r="N281" i="1"/>
  <c r="N282" i="1"/>
  <c r="N283" i="1"/>
  <c r="N284" i="1"/>
  <c r="P278" i="1"/>
  <c r="P279" i="1"/>
  <c r="P280" i="1"/>
  <c r="P281" i="1"/>
  <c r="P282" i="1"/>
  <c r="P283" i="1"/>
  <c r="P284" i="1"/>
  <c r="A16" i="5"/>
  <c r="C16" i="5"/>
  <c r="E16" i="5" s="1"/>
  <c r="A255" i="1"/>
  <c r="C255" i="1"/>
  <c r="E255" i="1" s="1"/>
  <c r="K255" i="1"/>
  <c r="M255" i="1"/>
  <c r="N255" i="1"/>
  <c r="P255" i="1"/>
  <c r="A247" i="1"/>
  <c r="A248" i="1"/>
  <c r="A249" i="1"/>
  <c r="A250" i="1"/>
  <c r="A251" i="1"/>
  <c r="A252" i="1"/>
  <c r="A253" i="1"/>
  <c r="A254" i="1"/>
  <c r="C247" i="1"/>
  <c r="E247" i="1" s="1"/>
  <c r="C248" i="1"/>
  <c r="E248" i="1" s="1"/>
  <c r="C249" i="1"/>
  <c r="E249" i="1" s="1"/>
  <c r="C250" i="1"/>
  <c r="E250" i="1" s="1"/>
  <c r="C251" i="1"/>
  <c r="E251" i="1" s="1"/>
  <c r="C252" i="1"/>
  <c r="E252" i="1" s="1"/>
  <c r="C253" i="1"/>
  <c r="E253" i="1" s="1"/>
  <c r="C254" i="1"/>
  <c r="E254" i="1" s="1"/>
  <c r="K247" i="1"/>
  <c r="K248" i="1"/>
  <c r="K249" i="1"/>
  <c r="K250" i="1"/>
  <c r="K251" i="1"/>
  <c r="K252" i="1"/>
  <c r="K253" i="1"/>
  <c r="K254" i="1"/>
  <c r="M247" i="1"/>
  <c r="M248" i="1"/>
  <c r="M249" i="1"/>
  <c r="M250" i="1"/>
  <c r="M251" i="1"/>
  <c r="M252" i="1"/>
  <c r="M253" i="1"/>
  <c r="M254" i="1"/>
  <c r="N247" i="1"/>
  <c r="N248" i="1"/>
  <c r="N249" i="1"/>
  <c r="N250" i="1"/>
  <c r="N251" i="1"/>
  <c r="N252" i="1"/>
  <c r="N253" i="1"/>
  <c r="N254" i="1"/>
  <c r="P247" i="1"/>
  <c r="P248" i="1"/>
  <c r="P249" i="1"/>
  <c r="P250" i="1"/>
  <c r="P251" i="1"/>
  <c r="P252" i="1"/>
  <c r="P253" i="1"/>
  <c r="P254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C229" i="1"/>
  <c r="C230" i="1"/>
  <c r="E230" i="1" s="1"/>
  <c r="C231" i="1"/>
  <c r="E231" i="1" s="1"/>
  <c r="C232" i="1"/>
  <c r="E232" i="1" s="1"/>
  <c r="C233" i="1"/>
  <c r="E233" i="1" s="1"/>
  <c r="C234" i="1"/>
  <c r="E234" i="1" s="1"/>
  <c r="C235" i="1"/>
  <c r="E235" i="1" s="1"/>
  <c r="C236" i="1"/>
  <c r="E236" i="1" s="1"/>
  <c r="C237" i="1"/>
  <c r="E237" i="1" s="1"/>
  <c r="C238" i="1"/>
  <c r="E238" i="1" s="1"/>
  <c r="C239" i="1"/>
  <c r="E239" i="1" s="1"/>
  <c r="C240" i="1"/>
  <c r="E240" i="1" s="1"/>
  <c r="C241" i="1"/>
  <c r="E241" i="1" s="1"/>
  <c r="C242" i="1"/>
  <c r="E242" i="1" s="1"/>
  <c r="C243" i="1"/>
  <c r="E243" i="1" s="1"/>
  <c r="C244" i="1"/>
  <c r="E244" i="1" s="1"/>
  <c r="E229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A228" i="1"/>
  <c r="C228" i="1"/>
  <c r="E228" i="1" s="1"/>
  <c r="K228" i="1"/>
  <c r="M228" i="1"/>
  <c r="N228" i="1"/>
  <c r="P228" i="1"/>
  <c r="A246" i="1"/>
  <c r="C246" i="1"/>
  <c r="E246" i="1" s="1"/>
  <c r="K246" i="1"/>
  <c r="M246" i="1"/>
  <c r="N246" i="1"/>
  <c r="P246" i="1"/>
  <c r="A78" i="6"/>
  <c r="A79" i="6"/>
  <c r="A80" i="6"/>
  <c r="A81" i="6"/>
  <c r="A82" i="6"/>
  <c r="C78" i="6"/>
  <c r="E78" i="6" s="1"/>
  <c r="C79" i="6"/>
  <c r="E79" i="6" s="1"/>
  <c r="C80" i="6"/>
  <c r="E80" i="6" s="1"/>
  <c r="C81" i="6"/>
  <c r="E81" i="6" s="1"/>
  <c r="C82" i="6"/>
  <c r="E82" i="6" s="1"/>
  <c r="K78" i="6"/>
  <c r="N78" i="6" s="1"/>
  <c r="O78" i="6" s="1"/>
  <c r="K79" i="6"/>
  <c r="N79" i="6" s="1"/>
  <c r="O79" i="6" s="1"/>
  <c r="K80" i="6"/>
  <c r="N80" i="6" s="1"/>
  <c r="O80" i="6" s="1"/>
  <c r="K81" i="6"/>
  <c r="N81" i="6" s="1"/>
  <c r="O81" i="6" s="1"/>
  <c r="K82" i="6"/>
  <c r="N82" i="6" s="1"/>
  <c r="O82" i="6" s="1"/>
  <c r="A77" i="6"/>
  <c r="C77" i="6"/>
  <c r="E77" i="6" s="1"/>
  <c r="K77" i="6"/>
  <c r="N77" i="6" s="1"/>
  <c r="O77" i="6" s="1"/>
  <c r="A218" i="1"/>
  <c r="A219" i="1"/>
  <c r="A220" i="1"/>
  <c r="A221" i="1"/>
  <c r="A222" i="1"/>
  <c r="A223" i="1"/>
  <c r="A224" i="1"/>
  <c r="A225" i="1"/>
  <c r="A226" i="1"/>
  <c r="C218" i="1"/>
  <c r="E218" i="1" s="1"/>
  <c r="C219" i="1"/>
  <c r="E219" i="1" s="1"/>
  <c r="C220" i="1"/>
  <c r="E220" i="1" s="1"/>
  <c r="C221" i="1"/>
  <c r="E221" i="1" s="1"/>
  <c r="C222" i="1"/>
  <c r="E222" i="1" s="1"/>
  <c r="C223" i="1"/>
  <c r="E223" i="1" s="1"/>
  <c r="C224" i="1"/>
  <c r="E224" i="1" s="1"/>
  <c r="C225" i="1"/>
  <c r="E225" i="1" s="1"/>
  <c r="C226" i="1"/>
  <c r="E226" i="1" s="1"/>
  <c r="K218" i="1"/>
  <c r="K219" i="1"/>
  <c r="K220" i="1"/>
  <c r="K221" i="1"/>
  <c r="K222" i="1"/>
  <c r="K223" i="1"/>
  <c r="K224" i="1"/>
  <c r="K225" i="1"/>
  <c r="K226" i="1"/>
  <c r="M218" i="1"/>
  <c r="M219" i="1"/>
  <c r="M220" i="1"/>
  <c r="M221" i="1"/>
  <c r="M222" i="1"/>
  <c r="M223" i="1"/>
  <c r="M224" i="1"/>
  <c r="M225" i="1"/>
  <c r="M226" i="1"/>
  <c r="N218" i="1"/>
  <c r="N219" i="1"/>
  <c r="N220" i="1"/>
  <c r="N221" i="1"/>
  <c r="N222" i="1"/>
  <c r="N223" i="1"/>
  <c r="N224" i="1"/>
  <c r="N225" i="1"/>
  <c r="N226" i="1"/>
  <c r="P218" i="1"/>
  <c r="P219" i="1"/>
  <c r="P220" i="1"/>
  <c r="P221" i="1"/>
  <c r="P222" i="1"/>
  <c r="P223" i="1"/>
  <c r="P224" i="1"/>
  <c r="P225" i="1"/>
  <c r="P226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C206" i="1"/>
  <c r="E206" i="1" s="1"/>
  <c r="C207" i="1"/>
  <c r="E207" i="1" s="1"/>
  <c r="C208" i="1"/>
  <c r="E208" i="1" s="1"/>
  <c r="C209" i="1"/>
  <c r="E209" i="1" s="1"/>
  <c r="C210" i="1"/>
  <c r="E210" i="1" s="1"/>
  <c r="C211" i="1"/>
  <c r="E211" i="1" s="1"/>
  <c r="C212" i="1"/>
  <c r="E212" i="1" s="1"/>
  <c r="C213" i="1"/>
  <c r="E213" i="1" s="1"/>
  <c r="C214" i="1"/>
  <c r="E214" i="1" s="1"/>
  <c r="C215" i="1"/>
  <c r="E215" i="1" s="1"/>
  <c r="C216" i="1"/>
  <c r="E216" i="1" s="1"/>
  <c r="C217" i="1"/>
  <c r="E217" i="1" s="1"/>
  <c r="K206" i="1"/>
  <c r="K207" i="1"/>
  <c r="K208" i="1"/>
  <c r="K209" i="1"/>
  <c r="K210" i="1"/>
  <c r="K211" i="1"/>
  <c r="K212" i="1"/>
  <c r="K213" i="1"/>
  <c r="K214" i="1"/>
  <c r="K215" i="1"/>
  <c r="K216" i="1"/>
  <c r="K217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A74" i="6"/>
  <c r="A75" i="6"/>
  <c r="A76" i="6"/>
  <c r="C74" i="6"/>
  <c r="E74" i="6" s="1"/>
  <c r="C75" i="6"/>
  <c r="E75" i="6" s="1"/>
  <c r="C76" i="6"/>
  <c r="E76" i="6" s="1"/>
  <c r="K74" i="6"/>
  <c r="N74" i="6" s="1"/>
  <c r="O74" i="6" s="1"/>
  <c r="K75" i="6"/>
  <c r="N75" i="6" s="1"/>
  <c r="O75" i="6" s="1"/>
  <c r="K76" i="6"/>
  <c r="N76" i="6" s="1"/>
  <c r="O76" i="6" s="1"/>
  <c r="A119" i="1" l="1"/>
  <c r="C119" i="1"/>
  <c r="E119" i="1" s="1"/>
  <c r="K119" i="1"/>
  <c r="M119" i="1"/>
  <c r="N119" i="1"/>
  <c r="P119" i="1"/>
  <c r="A118" i="1"/>
  <c r="C118" i="1"/>
  <c r="E118" i="1" s="1"/>
  <c r="K118" i="1"/>
  <c r="M118" i="1"/>
  <c r="N118" i="1"/>
  <c r="P118" i="1"/>
  <c r="A120" i="1"/>
  <c r="C120" i="1"/>
  <c r="E120" i="1" s="1"/>
  <c r="K120" i="1"/>
  <c r="M120" i="1"/>
  <c r="N120" i="1"/>
  <c r="P120" i="1"/>
  <c r="A112" i="1"/>
  <c r="C112" i="1"/>
  <c r="E112" i="1" s="1"/>
  <c r="K112" i="1"/>
  <c r="M112" i="1"/>
  <c r="N112" i="1"/>
  <c r="P112" i="1"/>
  <c r="A15" i="5"/>
  <c r="C15" i="5"/>
  <c r="E15" i="5" s="1"/>
  <c r="A14" i="5"/>
  <c r="C14" i="5"/>
  <c r="E14" i="5" s="1"/>
  <c r="A2" i="5"/>
  <c r="A3" i="5"/>
  <c r="A4" i="5"/>
  <c r="A5" i="5"/>
  <c r="A6" i="5"/>
  <c r="A7" i="5"/>
  <c r="A8" i="5"/>
  <c r="A9" i="5"/>
  <c r="A10" i="5"/>
  <c r="A11" i="5"/>
  <c r="A12" i="5"/>
  <c r="A13" i="5"/>
  <c r="C2" i="5"/>
  <c r="E2" i="5" s="1"/>
  <c r="C3" i="5"/>
  <c r="E3" i="5" s="1"/>
  <c r="C4" i="5"/>
  <c r="E4" i="5" s="1"/>
  <c r="C5" i="5"/>
  <c r="E5" i="5" s="1"/>
  <c r="C6" i="5"/>
  <c r="E6" i="5" s="1"/>
  <c r="C7" i="5"/>
  <c r="E7" i="5" s="1"/>
  <c r="C8" i="5"/>
  <c r="E8" i="5" s="1"/>
  <c r="C9" i="5"/>
  <c r="E9" i="5" s="1"/>
  <c r="C10" i="5"/>
  <c r="E10" i="5" s="1"/>
  <c r="C11" i="5"/>
  <c r="E11" i="5" s="1"/>
  <c r="C12" i="5"/>
  <c r="E12" i="5" s="1"/>
  <c r="C13" i="5"/>
  <c r="E13" i="5" s="1"/>
  <c r="A203" i="1"/>
  <c r="A204" i="1"/>
  <c r="C203" i="1"/>
  <c r="E203" i="1" s="1"/>
  <c r="C204" i="1"/>
  <c r="E204" i="1" s="1"/>
  <c r="K203" i="1"/>
  <c r="K204" i="1"/>
  <c r="M203" i="1"/>
  <c r="M204" i="1"/>
  <c r="N203" i="1"/>
  <c r="N204" i="1"/>
  <c r="P203" i="1"/>
  <c r="P204" i="1"/>
  <c r="A205" i="1"/>
  <c r="C205" i="1"/>
  <c r="E205" i="1" s="1"/>
  <c r="K205" i="1"/>
  <c r="M205" i="1"/>
  <c r="N205" i="1"/>
  <c r="P205" i="1"/>
  <c r="A200" i="1"/>
  <c r="A201" i="1"/>
  <c r="A202" i="1"/>
  <c r="C200" i="1"/>
  <c r="E200" i="1" s="1"/>
  <c r="C201" i="1"/>
  <c r="E201" i="1" s="1"/>
  <c r="C202" i="1"/>
  <c r="E202" i="1" s="1"/>
  <c r="K200" i="1"/>
  <c r="K201" i="1"/>
  <c r="K202" i="1"/>
  <c r="M200" i="1"/>
  <c r="M201" i="1"/>
  <c r="M202" i="1"/>
  <c r="N200" i="1"/>
  <c r="N201" i="1"/>
  <c r="N202" i="1"/>
  <c r="P200" i="1"/>
  <c r="P201" i="1"/>
  <c r="P20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C183" i="1"/>
  <c r="E183" i="1" s="1"/>
  <c r="C184" i="1"/>
  <c r="E184" i="1" s="1"/>
  <c r="C185" i="1"/>
  <c r="C186" i="1"/>
  <c r="E186" i="1" s="1"/>
  <c r="C187" i="1"/>
  <c r="E187" i="1" s="1"/>
  <c r="C188" i="1"/>
  <c r="E188" i="1" s="1"/>
  <c r="C189" i="1"/>
  <c r="E189" i="1" s="1"/>
  <c r="C190" i="1"/>
  <c r="E190" i="1" s="1"/>
  <c r="C191" i="1"/>
  <c r="E191" i="1" s="1"/>
  <c r="C192" i="1"/>
  <c r="E192" i="1" s="1"/>
  <c r="C193" i="1"/>
  <c r="E193" i="1" s="1"/>
  <c r="C194" i="1"/>
  <c r="E194" i="1" s="1"/>
  <c r="C195" i="1"/>
  <c r="E195" i="1" s="1"/>
  <c r="C196" i="1"/>
  <c r="E196" i="1" s="1"/>
  <c r="E185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A199" i="1"/>
  <c r="C199" i="1"/>
  <c r="E199" i="1" s="1"/>
  <c r="K199" i="1"/>
  <c r="M199" i="1"/>
  <c r="N199" i="1"/>
  <c r="P199" i="1"/>
  <c r="A197" i="1"/>
  <c r="A198" i="1"/>
  <c r="C197" i="1"/>
  <c r="E197" i="1" s="1"/>
  <c r="C198" i="1"/>
  <c r="E198" i="1" s="1"/>
  <c r="K197" i="1"/>
  <c r="K198" i="1"/>
  <c r="M197" i="1"/>
  <c r="M198" i="1"/>
  <c r="N197" i="1"/>
  <c r="N198" i="1"/>
  <c r="P197" i="1"/>
  <c r="P198" i="1"/>
  <c r="A73" i="6"/>
  <c r="C73" i="6"/>
  <c r="E73" i="6" s="1"/>
  <c r="K73" i="6"/>
  <c r="N73" i="6" s="1"/>
  <c r="O73" i="6" s="1"/>
  <c r="A71" i="6"/>
  <c r="A72" i="6"/>
  <c r="C71" i="6"/>
  <c r="E71" i="6" s="1"/>
  <c r="C72" i="6"/>
  <c r="E72" i="6" s="1"/>
  <c r="K71" i="6"/>
  <c r="N71" i="6" s="1"/>
  <c r="O71" i="6" s="1"/>
  <c r="K72" i="6"/>
  <c r="N72" i="6" s="1"/>
  <c r="O72" i="6" s="1"/>
  <c r="A179" i="1"/>
  <c r="C179" i="1"/>
  <c r="E179" i="1" s="1"/>
  <c r="K179" i="1"/>
  <c r="M179" i="1"/>
  <c r="N179" i="1"/>
  <c r="P179" i="1"/>
  <c r="A178" i="1"/>
  <c r="C178" i="1"/>
  <c r="E178" i="1" s="1"/>
  <c r="K178" i="1"/>
  <c r="M178" i="1"/>
  <c r="N178" i="1"/>
  <c r="P178" i="1"/>
  <c r="A174" i="1"/>
  <c r="A175" i="1"/>
  <c r="A176" i="1"/>
  <c r="A177" i="1"/>
  <c r="C174" i="1"/>
  <c r="E174" i="1" s="1"/>
  <c r="C175" i="1"/>
  <c r="E175" i="1" s="1"/>
  <c r="C176" i="1"/>
  <c r="E176" i="1" s="1"/>
  <c r="C177" i="1"/>
  <c r="E177" i="1" s="1"/>
  <c r="K174" i="1"/>
  <c r="K175" i="1"/>
  <c r="K176" i="1"/>
  <c r="K177" i="1"/>
  <c r="M174" i="1"/>
  <c r="M175" i="1"/>
  <c r="M176" i="1"/>
  <c r="M177" i="1"/>
  <c r="N174" i="1"/>
  <c r="N175" i="1"/>
  <c r="N176" i="1"/>
  <c r="N177" i="1"/>
  <c r="P174" i="1"/>
  <c r="P175" i="1"/>
  <c r="P176" i="1"/>
  <c r="P177" i="1"/>
  <c r="A173" i="1"/>
  <c r="C173" i="1"/>
  <c r="E173" i="1" s="1"/>
  <c r="K173" i="1"/>
  <c r="M173" i="1"/>
  <c r="N173" i="1"/>
  <c r="P173" i="1"/>
  <c r="A181" i="1"/>
  <c r="C181" i="1"/>
  <c r="E181" i="1" s="1"/>
  <c r="K181" i="1"/>
  <c r="M181" i="1"/>
  <c r="N181" i="1"/>
  <c r="P181" i="1"/>
  <c r="A170" i="1"/>
  <c r="A171" i="1"/>
  <c r="A172" i="1"/>
  <c r="C170" i="1"/>
  <c r="E170" i="1" s="1"/>
  <c r="C171" i="1"/>
  <c r="E171" i="1" s="1"/>
  <c r="C172" i="1"/>
  <c r="E172" i="1" s="1"/>
  <c r="K170" i="1"/>
  <c r="K171" i="1"/>
  <c r="K172" i="1"/>
  <c r="M170" i="1"/>
  <c r="M171" i="1"/>
  <c r="M172" i="1"/>
  <c r="N170" i="1"/>
  <c r="N171" i="1"/>
  <c r="N172" i="1"/>
  <c r="P170" i="1"/>
  <c r="P171" i="1"/>
  <c r="P172" i="1"/>
  <c r="A180" i="1"/>
  <c r="A154" i="1"/>
  <c r="C180" i="1"/>
  <c r="E180" i="1" s="1"/>
  <c r="C154" i="1"/>
  <c r="E154" i="1" s="1"/>
  <c r="K180" i="1"/>
  <c r="K154" i="1"/>
  <c r="M180" i="1"/>
  <c r="M154" i="1"/>
  <c r="N180" i="1"/>
  <c r="N154" i="1"/>
  <c r="P180" i="1"/>
  <c r="P154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C158" i="1"/>
  <c r="E158" i="1" s="1"/>
  <c r="C159" i="1"/>
  <c r="E159" i="1" s="1"/>
  <c r="C160" i="1"/>
  <c r="E160" i="1" s="1"/>
  <c r="C161" i="1"/>
  <c r="E161" i="1" s="1"/>
  <c r="C162" i="1"/>
  <c r="E162" i="1" s="1"/>
  <c r="C163" i="1"/>
  <c r="E163" i="1" s="1"/>
  <c r="C164" i="1"/>
  <c r="E164" i="1" s="1"/>
  <c r="C165" i="1"/>
  <c r="E165" i="1" s="1"/>
  <c r="C166" i="1"/>
  <c r="E166" i="1" s="1"/>
  <c r="C167" i="1"/>
  <c r="E167" i="1" s="1"/>
  <c r="C168" i="1"/>
  <c r="E168" i="1" s="1"/>
  <c r="C169" i="1"/>
  <c r="E169" i="1" s="1"/>
  <c r="K158" i="1"/>
  <c r="K159" i="1"/>
  <c r="K160" i="1"/>
  <c r="K161" i="1"/>
  <c r="K162" i="1"/>
  <c r="K163" i="1"/>
  <c r="K164" i="1"/>
  <c r="K165" i="1"/>
  <c r="K166" i="1"/>
  <c r="K167" i="1"/>
  <c r="K168" i="1"/>
  <c r="K169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C137" i="1"/>
  <c r="E137" i="1" s="1"/>
  <c r="C138" i="1"/>
  <c r="E138" i="1" s="1"/>
  <c r="C139" i="1"/>
  <c r="E139" i="1" s="1"/>
  <c r="C140" i="1"/>
  <c r="E140" i="1" s="1"/>
  <c r="C141" i="1"/>
  <c r="E141" i="1" s="1"/>
  <c r="C142" i="1"/>
  <c r="E142" i="1" s="1"/>
  <c r="C143" i="1"/>
  <c r="E143" i="1" s="1"/>
  <c r="C144" i="1"/>
  <c r="E144" i="1" s="1"/>
  <c r="C145" i="1"/>
  <c r="E145" i="1" s="1"/>
  <c r="C146" i="1"/>
  <c r="E146" i="1" s="1"/>
  <c r="C147" i="1"/>
  <c r="E147" i="1" s="1"/>
  <c r="C148" i="1"/>
  <c r="E148" i="1" s="1"/>
  <c r="C149" i="1"/>
  <c r="E149" i="1" s="1"/>
  <c r="C150" i="1"/>
  <c r="E150" i="1" s="1"/>
  <c r="C151" i="1"/>
  <c r="E151" i="1" s="1"/>
  <c r="C152" i="1"/>
  <c r="E152" i="1" s="1"/>
  <c r="C153" i="1"/>
  <c r="E153" i="1" s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A157" i="1"/>
  <c r="C157" i="1"/>
  <c r="E157" i="1" s="1"/>
  <c r="K157" i="1"/>
  <c r="M157" i="1"/>
  <c r="N157" i="1"/>
  <c r="P157" i="1"/>
  <c r="A156" i="1"/>
  <c r="C156" i="1"/>
  <c r="E156" i="1" s="1"/>
  <c r="K156" i="1"/>
  <c r="M156" i="1"/>
  <c r="N156" i="1"/>
  <c r="P156" i="1"/>
  <c r="A155" i="1"/>
  <c r="C155" i="1"/>
  <c r="E155" i="1" s="1"/>
  <c r="K155" i="1"/>
  <c r="M155" i="1"/>
  <c r="N155" i="1"/>
  <c r="P155" i="1"/>
  <c r="A90" i="1"/>
  <c r="C90" i="1"/>
  <c r="E90" i="1" s="1"/>
  <c r="K90" i="1"/>
  <c r="M90" i="1"/>
  <c r="N90" i="1"/>
  <c r="P90" i="1"/>
  <c r="A308" i="1"/>
  <c r="C308" i="1"/>
  <c r="E308" i="1" s="1"/>
  <c r="K308" i="1"/>
  <c r="M308" i="1"/>
  <c r="N308" i="1"/>
  <c r="P308" i="1"/>
  <c r="A307" i="1"/>
  <c r="C307" i="1"/>
  <c r="E307" i="1" s="1"/>
  <c r="K307" i="1"/>
  <c r="M307" i="1"/>
  <c r="N307" i="1"/>
  <c r="P307" i="1"/>
  <c r="A306" i="1"/>
  <c r="C306" i="1"/>
  <c r="E306" i="1" s="1"/>
  <c r="K306" i="1"/>
  <c r="M306" i="1"/>
  <c r="N306" i="1"/>
  <c r="P306" i="1"/>
  <c r="A305" i="1"/>
  <c r="C305" i="1"/>
  <c r="E305" i="1" s="1"/>
  <c r="K305" i="1"/>
  <c r="M305" i="1"/>
  <c r="N305" i="1"/>
  <c r="P305" i="1"/>
  <c r="A136" i="1"/>
  <c r="C136" i="1"/>
  <c r="E136" i="1" s="1"/>
  <c r="K136" i="1"/>
  <c r="M136" i="1"/>
  <c r="N136" i="1"/>
  <c r="P136" i="1"/>
  <c r="A135" i="1"/>
  <c r="C135" i="1"/>
  <c r="E135" i="1" s="1"/>
  <c r="K135" i="1"/>
  <c r="M135" i="1"/>
  <c r="N135" i="1"/>
  <c r="P135" i="1"/>
  <c r="A134" i="1"/>
  <c r="C134" i="1"/>
  <c r="E134" i="1" s="1"/>
  <c r="K134" i="1"/>
  <c r="M134" i="1"/>
  <c r="N134" i="1"/>
  <c r="P134" i="1"/>
  <c r="A70" i="6"/>
  <c r="C70" i="6"/>
  <c r="E70" i="6" s="1"/>
  <c r="K70" i="6"/>
  <c r="N70" i="6" s="1"/>
  <c r="O70" i="6" s="1"/>
  <c r="A65" i="6"/>
  <c r="A66" i="6"/>
  <c r="A67" i="6"/>
  <c r="A68" i="6"/>
  <c r="A69" i="6"/>
  <c r="C65" i="6"/>
  <c r="E65" i="6" s="1"/>
  <c r="C66" i="6"/>
  <c r="E66" i="6" s="1"/>
  <c r="C67" i="6"/>
  <c r="E67" i="6" s="1"/>
  <c r="C68" i="6"/>
  <c r="E68" i="6" s="1"/>
  <c r="C69" i="6"/>
  <c r="E69" i="6" s="1"/>
  <c r="K65" i="6"/>
  <c r="N65" i="6" s="1"/>
  <c r="O65" i="6" s="1"/>
  <c r="K66" i="6"/>
  <c r="K67" i="6"/>
  <c r="N67" i="6" s="1"/>
  <c r="O67" i="6" s="1"/>
  <c r="K68" i="6"/>
  <c r="N68" i="6" s="1"/>
  <c r="O68" i="6" s="1"/>
  <c r="K69" i="6"/>
  <c r="N69" i="6" s="1"/>
  <c r="O69" i="6" s="1"/>
  <c r="N66" i="6"/>
  <c r="O66" i="6" s="1"/>
  <c r="A133" i="1"/>
  <c r="C133" i="1"/>
  <c r="E133" i="1" s="1"/>
  <c r="K133" i="1"/>
  <c r="M133" i="1"/>
  <c r="N133" i="1"/>
  <c r="P133" i="1"/>
  <c r="H117" i="1"/>
  <c r="A117" i="1"/>
  <c r="C117" i="1"/>
  <c r="E117" i="1" s="1"/>
  <c r="K117" i="1"/>
  <c r="M117" i="1"/>
  <c r="N117" i="1"/>
  <c r="P117" i="1"/>
  <c r="A116" i="1"/>
  <c r="C116" i="1"/>
  <c r="E116" i="1" s="1"/>
  <c r="K116" i="1"/>
  <c r="M116" i="1"/>
  <c r="N116" i="1"/>
  <c r="P116" i="1"/>
  <c r="A115" i="1"/>
  <c r="C115" i="1"/>
  <c r="E115" i="1" s="1"/>
  <c r="K115" i="1"/>
  <c r="M115" i="1"/>
  <c r="N115" i="1"/>
  <c r="P115" i="1"/>
  <c r="A114" i="1"/>
  <c r="C114" i="1"/>
  <c r="E114" i="1" s="1"/>
  <c r="K114" i="1"/>
  <c r="M114" i="1"/>
  <c r="N114" i="1"/>
  <c r="P114" i="1"/>
  <c r="A113" i="1"/>
  <c r="C113" i="1"/>
  <c r="E113" i="1" s="1"/>
  <c r="K113" i="1"/>
  <c r="M113" i="1"/>
  <c r="N113" i="1"/>
  <c r="P113" i="1"/>
  <c r="A63" i="6"/>
  <c r="C63" i="6"/>
  <c r="E63" i="6" s="1"/>
  <c r="K63" i="6"/>
  <c r="N63" i="6" s="1"/>
  <c r="O63" i="6" s="1"/>
  <c r="A62" i="6"/>
  <c r="C62" i="6"/>
  <c r="E62" i="6" s="1"/>
  <c r="K62" i="6"/>
  <c r="N62" i="6" s="1"/>
  <c r="O62" i="6" s="1"/>
  <c r="A61" i="6"/>
  <c r="C61" i="6"/>
  <c r="E61" i="6" s="1"/>
  <c r="K61" i="6"/>
  <c r="N61" i="6" s="1"/>
  <c r="O61" i="6" s="1"/>
  <c r="M17" i="1"/>
  <c r="A17" i="1"/>
  <c r="C17" i="1"/>
  <c r="E17" i="1" s="1"/>
  <c r="K17" i="1"/>
  <c r="N17" i="1"/>
  <c r="P17" i="1"/>
  <c r="A76" i="1"/>
  <c r="C76" i="1"/>
  <c r="E76" i="1" s="1"/>
  <c r="K76" i="1"/>
  <c r="M76" i="1"/>
  <c r="N76" i="1"/>
  <c r="P76" i="1"/>
  <c r="A59" i="6"/>
  <c r="C59" i="6"/>
  <c r="E59" i="6" s="1"/>
  <c r="K59" i="6"/>
  <c r="N59" i="6" s="1"/>
  <c r="O59" i="6" s="1"/>
  <c r="A7" i="1"/>
  <c r="C7" i="1"/>
  <c r="E7" i="1" s="1"/>
  <c r="K7" i="1"/>
  <c r="M7" i="1"/>
  <c r="N7" i="1"/>
  <c r="P7" i="1"/>
  <c r="A6" i="1"/>
  <c r="C6" i="1"/>
  <c r="E6" i="1" s="1"/>
  <c r="K6" i="1"/>
  <c r="M6" i="1"/>
  <c r="N6" i="1"/>
  <c r="P6" i="1"/>
  <c r="A2" i="1"/>
  <c r="A3" i="1"/>
  <c r="A4" i="1"/>
  <c r="A5" i="1"/>
  <c r="C2" i="1"/>
  <c r="E2" i="1" s="1"/>
  <c r="C3" i="1"/>
  <c r="E3" i="1" s="1"/>
  <c r="C4" i="1"/>
  <c r="E4" i="1" s="1"/>
  <c r="C5" i="1"/>
  <c r="E5" i="1" s="1"/>
  <c r="K2" i="1"/>
  <c r="K3" i="1"/>
  <c r="K4" i="1"/>
  <c r="K5" i="1"/>
  <c r="M2" i="1"/>
  <c r="M3" i="1"/>
  <c r="M4" i="1"/>
  <c r="M5" i="1"/>
  <c r="N2" i="1"/>
  <c r="N3" i="1"/>
  <c r="N4" i="1"/>
  <c r="N5" i="1"/>
  <c r="P2" i="1"/>
  <c r="P3" i="1"/>
  <c r="P4" i="1"/>
  <c r="P5" i="1"/>
  <c r="K56" i="6"/>
  <c r="N56" i="6" s="1"/>
  <c r="O56" i="6" s="1"/>
  <c r="K57" i="6"/>
  <c r="N57" i="6" s="1"/>
  <c r="O57" i="6" s="1"/>
  <c r="K58" i="6"/>
  <c r="N58" i="6" s="1"/>
  <c r="O58" i="6" s="1"/>
  <c r="A56" i="6"/>
  <c r="A57" i="6"/>
  <c r="A58" i="6"/>
  <c r="A60" i="6"/>
  <c r="C56" i="6"/>
  <c r="E56" i="6" s="1"/>
  <c r="C57" i="6"/>
  <c r="E57" i="6" s="1"/>
  <c r="C58" i="6"/>
  <c r="E58" i="6" s="1"/>
  <c r="C60" i="6"/>
  <c r="E60" i="6" s="1"/>
  <c r="K60" i="6"/>
  <c r="N60" i="6" s="1"/>
  <c r="O60" i="6" s="1"/>
  <c r="A1063" i="1"/>
  <c r="A1064" i="1"/>
  <c r="A1065" i="1"/>
  <c r="C1063" i="1"/>
  <c r="E1063" i="1" s="1"/>
  <c r="C1064" i="1"/>
  <c r="E1064" i="1" s="1"/>
  <c r="C1065" i="1"/>
  <c r="E1065" i="1" s="1"/>
  <c r="K1063" i="1"/>
  <c r="K1064" i="1"/>
  <c r="K1065" i="1"/>
  <c r="M1063" i="1"/>
  <c r="M1064" i="1"/>
  <c r="M1065" i="1"/>
  <c r="N1063" i="1"/>
  <c r="N1064" i="1"/>
  <c r="N1065" i="1"/>
  <c r="P1063" i="1"/>
  <c r="P1064" i="1"/>
  <c r="P1065" i="1"/>
  <c r="A50" i="6"/>
  <c r="A51" i="6"/>
  <c r="A52" i="6"/>
  <c r="A53" i="6"/>
  <c r="A54" i="6"/>
  <c r="A55" i="6"/>
  <c r="C50" i="6"/>
  <c r="E50" i="6" s="1"/>
  <c r="C51" i="6"/>
  <c r="E51" i="6" s="1"/>
  <c r="C52" i="6"/>
  <c r="E52" i="6" s="1"/>
  <c r="C53" i="6"/>
  <c r="E53" i="6" s="1"/>
  <c r="C54" i="6"/>
  <c r="E54" i="6" s="1"/>
  <c r="C55" i="6"/>
  <c r="E55" i="6" s="1"/>
  <c r="K50" i="6"/>
  <c r="N50" i="6" s="1"/>
  <c r="O50" i="6" s="1"/>
  <c r="K51" i="6"/>
  <c r="N51" i="6" s="1"/>
  <c r="O51" i="6" s="1"/>
  <c r="K52" i="6"/>
  <c r="N52" i="6" s="1"/>
  <c r="O52" i="6" s="1"/>
  <c r="K53" i="6"/>
  <c r="N53" i="6" s="1"/>
  <c r="O53" i="6" s="1"/>
  <c r="K54" i="6"/>
  <c r="N54" i="6" s="1"/>
  <c r="O54" i="6" s="1"/>
  <c r="K55" i="6"/>
  <c r="N55" i="6" s="1"/>
  <c r="O55" i="6" s="1"/>
  <c r="A1062" i="1"/>
  <c r="C1062" i="1"/>
  <c r="E1062" i="1" s="1"/>
  <c r="K1062" i="1"/>
  <c r="M1062" i="1"/>
  <c r="N1062" i="1"/>
  <c r="P1062" i="1"/>
  <c r="A1061" i="1"/>
  <c r="C1061" i="1"/>
  <c r="E1061" i="1" s="1"/>
  <c r="K1061" i="1"/>
  <c r="M1061" i="1"/>
  <c r="N1061" i="1"/>
  <c r="P1061" i="1"/>
  <c r="A1060" i="1"/>
  <c r="C1060" i="1"/>
  <c r="E1060" i="1" s="1"/>
  <c r="K1060" i="1"/>
  <c r="M1060" i="1"/>
  <c r="N1060" i="1"/>
  <c r="P1060" i="1"/>
  <c r="A1058" i="1"/>
  <c r="A1059" i="1"/>
  <c r="C1058" i="1"/>
  <c r="E1058" i="1" s="1"/>
  <c r="C1059" i="1"/>
  <c r="E1059" i="1" s="1"/>
  <c r="K1058" i="1"/>
  <c r="K1059" i="1"/>
  <c r="M1058" i="1"/>
  <c r="M1059" i="1"/>
  <c r="N1058" i="1"/>
  <c r="N1059" i="1"/>
  <c r="P1058" i="1"/>
  <c r="P1059" i="1"/>
  <c r="A1057" i="1"/>
  <c r="C1057" i="1"/>
  <c r="E1057" i="1" s="1"/>
  <c r="K1057" i="1"/>
  <c r="M1057" i="1"/>
  <c r="N1057" i="1"/>
  <c r="P1057" i="1"/>
  <c r="A49" i="6"/>
  <c r="C49" i="6"/>
  <c r="E49" i="6" s="1"/>
  <c r="K49" i="6"/>
  <c r="N49" i="6" s="1"/>
  <c r="O49" i="6" s="1"/>
  <c r="A94" i="1"/>
  <c r="C94" i="1"/>
  <c r="E94" i="1" s="1"/>
  <c r="K94" i="1"/>
  <c r="M94" i="1"/>
  <c r="N94" i="1"/>
  <c r="P94" i="1"/>
  <c r="A93" i="1"/>
  <c r="C93" i="1"/>
  <c r="E93" i="1" s="1"/>
  <c r="K93" i="1"/>
  <c r="M93" i="1"/>
  <c r="N93" i="1"/>
  <c r="P93" i="1"/>
  <c r="A104" i="1"/>
  <c r="C104" i="1"/>
  <c r="E104" i="1" s="1"/>
  <c r="K104" i="1"/>
  <c r="M104" i="1"/>
  <c r="N104" i="1"/>
  <c r="P104" i="1"/>
  <c r="A103" i="1"/>
  <c r="C103" i="1"/>
  <c r="E103" i="1" s="1"/>
  <c r="K103" i="1"/>
  <c r="M103" i="1"/>
  <c r="N103" i="1"/>
  <c r="P103" i="1"/>
  <c r="A100" i="1"/>
  <c r="C100" i="1"/>
  <c r="E100" i="1" s="1"/>
  <c r="K100" i="1"/>
  <c r="M100" i="1"/>
  <c r="N100" i="1"/>
  <c r="P100" i="1"/>
  <c r="A102" i="1"/>
  <c r="C102" i="1"/>
  <c r="E102" i="1" s="1"/>
  <c r="K102" i="1"/>
  <c r="M102" i="1"/>
  <c r="N102" i="1"/>
  <c r="P102" i="1"/>
  <c r="A101" i="1"/>
  <c r="C101" i="1"/>
  <c r="E101" i="1" s="1"/>
  <c r="K101" i="1"/>
  <c r="M101" i="1"/>
  <c r="N101" i="1"/>
  <c r="P101" i="1"/>
  <c r="A48" i="6"/>
  <c r="C48" i="6"/>
  <c r="E48" i="6" s="1"/>
  <c r="K48" i="6"/>
  <c r="N48" i="6" s="1"/>
  <c r="O48" i="6" s="1"/>
  <c r="K46" i="6"/>
  <c r="N46" i="6" s="1"/>
  <c r="O46" i="6" s="1"/>
  <c r="A343" i="1"/>
  <c r="C343" i="1"/>
  <c r="E343" i="1" s="1"/>
  <c r="K343" i="1"/>
  <c r="M343" i="1"/>
  <c r="N343" i="1"/>
  <c r="P343" i="1"/>
  <c r="A342" i="1"/>
  <c r="C342" i="1"/>
  <c r="E342" i="1" s="1"/>
  <c r="K342" i="1"/>
  <c r="M342" i="1"/>
  <c r="N342" i="1"/>
  <c r="P342" i="1"/>
  <c r="H341" i="1"/>
  <c r="A341" i="1"/>
  <c r="C341" i="1"/>
  <c r="E341" i="1" s="1"/>
  <c r="K341" i="1"/>
  <c r="M341" i="1"/>
  <c r="N341" i="1"/>
  <c r="P341" i="1"/>
  <c r="A47" i="6"/>
  <c r="C47" i="6"/>
  <c r="E47" i="6" s="1"/>
  <c r="K47" i="6"/>
  <c r="N47" i="6" s="1"/>
  <c r="O47" i="6" s="1"/>
  <c r="A340" i="1"/>
  <c r="C340" i="1"/>
  <c r="E340" i="1" s="1"/>
  <c r="K340" i="1"/>
  <c r="M340" i="1"/>
  <c r="N340" i="1"/>
  <c r="P340" i="1"/>
  <c r="A336" i="1"/>
  <c r="C336" i="1"/>
  <c r="E336" i="1" s="1"/>
  <c r="K336" i="1"/>
  <c r="M336" i="1"/>
  <c r="N336" i="1"/>
  <c r="P336" i="1"/>
  <c r="A334" i="1"/>
  <c r="A335" i="1"/>
  <c r="C334" i="1"/>
  <c r="E334" i="1" s="1"/>
  <c r="C335" i="1"/>
  <c r="E335" i="1" s="1"/>
  <c r="K334" i="1"/>
  <c r="K335" i="1"/>
  <c r="M334" i="1"/>
  <c r="M335" i="1"/>
  <c r="N334" i="1"/>
  <c r="N335" i="1"/>
  <c r="P334" i="1"/>
  <c r="P335" i="1"/>
  <c r="A338" i="1"/>
  <c r="C338" i="1"/>
  <c r="E338" i="1" s="1"/>
  <c r="K338" i="1"/>
  <c r="M338" i="1"/>
  <c r="N338" i="1"/>
  <c r="P338" i="1"/>
  <c r="A337" i="1"/>
  <c r="C337" i="1"/>
  <c r="E337" i="1" s="1"/>
  <c r="K337" i="1"/>
  <c r="M337" i="1"/>
  <c r="N337" i="1"/>
  <c r="P337" i="1"/>
  <c r="A333" i="1"/>
  <c r="C333" i="1"/>
  <c r="E333" i="1" s="1"/>
  <c r="K333" i="1"/>
  <c r="M333" i="1"/>
  <c r="N333" i="1"/>
  <c r="P333" i="1"/>
  <c r="A339" i="1"/>
  <c r="C339" i="1"/>
  <c r="E339" i="1" s="1"/>
  <c r="K339" i="1"/>
  <c r="M339" i="1"/>
  <c r="N339" i="1"/>
  <c r="P339" i="1"/>
  <c r="A345" i="1"/>
  <c r="C345" i="1"/>
  <c r="E345" i="1" s="1"/>
  <c r="K345" i="1"/>
  <c r="M345" i="1"/>
  <c r="N345" i="1"/>
  <c r="P345" i="1"/>
  <c r="A346" i="1"/>
  <c r="C346" i="1"/>
  <c r="E346" i="1" s="1"/>
  <c r="K346" i="1"/>
  <c r="M346" i="1"/>
  <c r="N346" i="1"/>
  <c r="P346" i="1"/>
  <c r="A46" i="6"/>
  <c r="C46" i="6"/>
  <c r="E46" i="6" s="1"/>
  <c r="A347" i="1"/>
  <c r="C347" i="1"/>
  <c r="E347" i="1" s="1"/>
  <c r="K347" i="1"/>
  <c r="M347" i="1"/>
  <c r="N347" i="1"/>
  <c r="P347" i="1"/>
  <c r="A348" i="1" l="1"/>
  <c r="C348" i="1"/>
  <c r="E348" i="1" s="1"/>
  <c r="K348" i="1"/>
  <c r="M348" i="1"/>
  <c r="N348" i="1"/>
  <c r="P348" i="1"/>
  <c r="A442" i="1"/>
  <c r="C442" i="1"/>
  <c r="E442" i="1" s="1"/>
  <c r="K442" i="1"/>
  <c r="M442" i="1"/>
  <c r="N442" i="1"/>
  <c r="P442" i="1"/>
  <c r="A441" i="1"/>
  <c r="C441" i="1"/>
  <c r="E441" i="1" s="1"/>
  <c r="K441" i="1"/>
  <c r="M441" i="1"/>
  <c r="N441" i="1"/>
  <c r="P441" i="1"/>
  <c r="A458" i="1"/>
  <c r="C458" i="1"/>
  <c r="E458" i="1" s="1"/>
  <c r="K458" i="1"/>
  <c r="M458" i="1"/>
  <c r="N458" i="1"/>
  <c r="P458" i="1"/>
  <c r="A450" i="1"/>
  <c r="C450" i="1"/>
  <c r="E450" i="1" s="1"/>
  <c r="K450" i="1"/>
  <c r="M450" i="1"/>
  <c r="N450" i="1"/>
  <c r="P450" i="1"/>
  <c r="A440" i="1"/>
  <c r="C440" i="1"/>
  <c r="E440" i="1" s="1"/>
  <c r="K440" i="1"/>
  <c r="M440" i="1"/>
  <c r="N440" i="1"/>
  <c r="P440" i="1"/>
  <c r="A439" i="1"/>
  <c r="C439" i="1"/>
  <c r="E439" i="1" s="1"/>
  <c r="K439" i="1"/>
  <c r="M439" i="1"/>
  <c r="N439" i="1"/>
  <c r="P439" i="1"/>
  <c r="A449" i="1"/>
  <c r="C449" i="1"/>
  <c r="E449" i="1" s="1"/>
  <c r="K449" i="1"/>
  <c r="M449" i="1"/>
  <c r="N449" i="1"/>
  <c r="P449" i="1"/>
  <c r="A448" i="1"/>
  <c r="C448" i="1"/>
  <c r="E448" i="1" s="1"/>
  <c r="K448" i="1"/>
  <c r="M448" i="1"/>
  <c r="N448" i="1"/>
  <c r="P448" i="1"/>
  <c r="A438" i="1"/>
  <c r="C438" i="1"/>
  <c r="E438" i="1" s="1"/>
  <c r="K438" i="1"/>
  <c r="M438" i="1"/>
  <c r="N438" i="1"/>
  <c r="P438" i="1"/>
  <c r="A457" i="1"/>
  <c r="C457" i="1"/>
  <c r="E457" i="1" s="1"/>
  <c r="K457" i="1"/>
  <c r="M457" i="1"/>
  <c r="N457" i="1"/>
  <c r="P457" i="1"/>
  <c r="A447" i="1"/>
  <c r="C447" i="1"/>
  <c r="E447" i="1" s="1"/>
  <c r="K447" i="1"/>
  <c r="M447" i="1"/>
  <c r="N447" i="1"/>
  <c r="P447" i="1"/>
  <c r="A437" i="1"/>
  <c r="C437" i="1"/>
  <c r="E437" i="1" s="1"/>
  <c r="K437" i="1"/>
  <c r="M437" i="1"/>
  <c r="N437" i="1"/>
  <c r="P437" i="1"/>
  <c r="A436" i="1"/>
  <c r="C436" i="1"/>
  <c r="E436" i="1" s="1"/>
  <c r="K436" i="1"/>
  <c r="M436" i="1"/>
  <c r="N436" i="1"/>
  <c r="P436" i="1"/>
  <c r="A435" i="1"/>
  <c r="C435" i="1"/>
  <c r="E435" i="1" s="1"/>
  <c r="K435" i="1"/>
  <c r="M435" i="1"/>
  <c r="N435" i="1"/>
  <c r="P435" i="1"/>
  <c r="A454" i="1"/>
  <c r="C454" i="1"/>
  <c r="E454" i="1" s="1"/>
  <c r="K454" i="1"/>
  <c r="M454" i="1"/>
  <c r="N454" i="1"/>
  <c r="P454" i="1"/>
  <c r="A445" i="1"/>
  <c r="C445" i="1"/>
  <c r="E445" i="1" s="1"/>
  <c r="K445" i="1"/>
  <c r="M445" i="1"/>
  <c r="N445" i="1"/>
  <c r="P445" i="1"/>
  <c r="A461" i="1"/>
  <c r="C461" i="1"/>
  <c r="E461" i="1" s="1"/>
  <c r="K461" i="1"/>
  <c r="M461" i="1"/>
  <c r="N461" i="1"/>
  <c r="P461" i="1"/>
  <c r="A453" i="1"/>
  <c r="C453" i="1"/>
  <c r="E453" i="1" s="1"/>
  <c r="K453" i="1"/>
  <c r="M453" i="1"/>
  <c r="N453" i="1"/>
  <c r="P453" i="1"/>
  <c r="A444" i="1"/>
  <c r="C444" i="1"/>
  <c r="E444" i="1" s="1"/>
  <c r="K444" i="1"/>
  <c r="M444" i="1"/>
  <c r="N444" i="1"/>
  <c r="P444" i="1"/>
  <c r="A434" i="1"/>
  <c r="C434" i="1"/>
  <c r="E434" i="1" s="1"/>
  <c r="K434" i="1"/>
  <c r="M434" i="1"/>
  <c r="N434" i="1"/>
  <c r="P434" i="1"/>
  <c r="A460" i="1"/>
  <c r="C460" i="1"/>
  <c r="E460" i="1" s="1"/>
  <c r="K460" i="1"/>
  <c r="M460" i="1"/>
  <c r="N460" i="1"/>
  <c r="P460" i="1"/>
  <c r="A452" i="1"/>
  <c r="C452" i="1"/>
  <c r="E452" i="1" s="1"/>
  <c r="K452" i="1"/>
  <c r="M452" i="1"/>
  <c r="N452" i="1"/>
  <c r="P452" i="1"/>
  <c r="A459" i="1"/>
  <c r="C459" i="1"/>
  <c r="E459" i="1" s="1"/>
  <c r="K459" i="1"/>
  <c r="M459" i="1"/>
  <c r="N459" i="1"/>
  <c r="P459" i="1"/>
  <c r="A451" i="1"/>
  <c r="C451" i="1"/>
  <c r="E451" i="1" s="1"/>
  <c r="K451" i="1"/>
  <c r="M451" i="1"/>
  <c r="N451" i="1"/>
  <c r="P451" i="1"/>
  <c r="A443" i="1"/>
  <c r="C443" i="1"/>
  <c r="E443" i="1" s="1"/>
  <c r="K443" i="1"/>
  <c r="M443" i="1"/>
  <c r="N443" i="1"/>
  <c r="P443" i="1"/>
  <c r="A433" i="1"/>
  <c r="C433" i="1"/>
  <c r="E433" i="1" s="1"/>
  <c r="K433" i="1"/>
  <c r="M433" i="1"/>
  <c r="N433" i="1"/>
  <c r="P433" i="1"/>
  <c r="A456" i="1"/>
  <c r="C456" i="1"/>
  <c r="E456" i="1" s="1"/>
  <c r="K456" i="1"/>
  <c r="M456" i="1"/>
  <c r="N456" i="1"/>
  <c r="P456" i="1"/>
  <c r="A446" i="1"/>
  <c r="C446" i="1"/>
  <c r="E446" i="1" s="1"/>
  <c r="K446" i="1"/>
  <c r="M446" i="1"/>
  <c r="N446" i="1"/>
  <c r="P446" i="1"/>
  <c r="A432" i="1"/>
  <c r="C432" i="1"/>
  <c r="E432" i="1" s="1"/>
  <c r="K432" i="1"/>
  <c r="M432" i="1"/>
  <c r="N432" i="1"/>
  <c r="P432" i="1"/>
  <c r="A431" i="1"/>
  <c r="C431" i="1"/>
  <c r="E431" i="1" s="1"/>
  <c r="K431" i="1"/>
  <c r="M431" i="1"/>
  <c r="N431" i="1"/>
  <c r="P431" i="1"/>
  <c r="A1285" i="1" l="1"/>
  <c r="C1285" i="1"/>
  <c r="E1285" i="1" s="1"/>
  <c r="K1285" i="1"/>
  <c r="M1285" i="1"/>
  <c r="N1285" i="1"/>
  <c r="P1285" i="1"/>
  <c r="A1284" i="1"/>
  <c r="C1284" i="1"/>
  <c r="E1284" i="1" s="1"/>
  <c r="K1284" i="1"/>
  <c r="M1284" i="1"/>
  <c r="N1284" i="1"/>
  <c r="P1284" i="1"/>
  <c r="A1283" i="1"/>
  <c r="C1283" i="1"/>
  <c r="E1283" i="1" s="1"/>
  <c r="K1283" i="1"/>
  <c r="M1283" i="1"/>
  <c r="N1283" i="1"/>
  <c r="P1283" i="1"/>
  <c r="A1282" i="1"/>
  <c r="C1282" i="1"/>
  <c r="E1282" i="1" s="1"/>
  <c r="K1282" i="1"/>
  <c r="M1282" i="1"/>
  <c r="N1282" i="1"/>
  <c r="P1282" i="1"/>
  <c r="A1281" i="1"/>
  <c r="C1281" i="1"/>
  <c r="E1281" i="1" s="1"/>
  <c r="K1281" i="1"/>
  <c r="M1281" i="1"/>
  <c r="N1281" i="1"/>
  <c r="P1281" i="1"/>
  <c r="A1280" i="1"/>
  <c r="C1280" i="1"/>
  <c r="E1280" i="1" s="1"/>
  <c r="K1280" i="1"/>
  <c r="M1280" i="1"/>
  <c r="N1280" i="1"/>
  <c r="P1280" i="1"/>
  <c r="A45" i="6"/>
  <c r="C45" i="6"/>
  <c r="E45" i="6" s="1"/>
  <c r="K45" i="6"/>
  <c r="N45" i="6" s="1"/>
  <c r="O45" i="6" s="1"/>
  <c r="A44" i="6"/>
  <c r="C44" i="6"/>
  <c r="E44" i="6" s="1"/>
  <c r="K44" i="6"/>
  <c r="N44" i="6" s="1"/>
  <c r="O44" i="6" s="1"/>
  <c r="A43" i="6"/>
  <c r="C43" i="6"/>
  <c r="E43" i="6" s="1"/>
  <c r="K43" i="6"/>
  <c r="N43" i="6" s="1"/>
  <c r="O43" i="6" s="1"/>
  <c r="A42" i="6"/>
  <c r="C42" i="6"/>
  <c r="E42" i="6" s="1"/>
  <c r="K42" i="6"/>
  <c r="N42" i="6" s="1"/>
  <c r="O42" i="6" s="1"/>
  <c r="A304" i="1"/>
  <c r="C304" i="1"/>
  <c r="E304" i="1" s="1"/>
  <c r="K304" i="1"/>
  <c r="M304" i="1"/>
  <c r="N304" i="1"/>
  <c r="P304" i="1"/>
  <c r="H303" i="1"/>
  <c r="A303" i="1"/>
  <c r="C303" i="1"/>
  <c r="E303" i="1" s="1"/>
  <c r="K303" i="1"/>
  <c r="M303" i="1"/>
  <c r="N303" i="1"/>
  <c r="P303" i="1"/>
  <c r="A302" i="1"/>
  <c r="C302" i="1"/>
  <c r="E302" i="1" s="1"/>
  <c r="K302" i="1"/>
  <c r="M302" i="1"/>
  <c r="N302" i="1"/>
  <c r="P302" i="1"/>
  <c r="A1115" i="1"/>
  <c r="A1122" i="1"/>
  <c r="C1122" i="1"/>
  <c r="A1203" i="1" l="1"/>
  <c r="C1203" i="1"/>
  <c r="E1203" i="1" s="1"/>
  <c r="K1203" i="1"/>
  <c r="M1203" i="1"/>
  <c r="N1203" i="1"/>
  <c r="P1203" i="1"/>
  <c r="A1202" i="1"/>
  <c r="C1202" i="1"/>
  <c r="E1202" i="1" s="1"/>
  <c r="K1202" i="1"/>
  <c r="M1202" i="1"/>
  <c r="N1202" i="1"/>
  <c r="P1202" i="1"/>
  <c r="A1201" i="1"/>
  <c r="C1201" i="1"/>
  <c r="E1201" i="1" s="1"/>
  <c r="K1201" i="1"/>
  <c r="M1201" i="1"/>
  <c r="N1201" i="1"/>
  <c r="P1201" i="1"/>
  <c r="A41" i="6"/>
  <c r="C41" i="6"/>
  <c r="E41" i="6" s="1"/>
  <c r="K41" i="6"/>
  <c r="N41" i="6" s="1"/>
  <c r="O41" i="6" s="1"/>
  <c r="A40" i="6"/>
  <c r="C40" i="6"/>
  <c r="E40" i="6" s="1"/>
  <c r="K40" i="6"/>
  <c r="N40" i="6" s="1"/>
  <c r="O40" i="6" s="1"/>
  <c r="A39" i="6" l="1"/>
  <c r="C39" i="6"/>
  <c r="E39" i="6" s="1"/>
  <c r="K39" i="6"/>
  <c r="N39" i="6" s="1"/>
  <c r="O39" i="6" s="1"/>
  <c r="A38" i="6"/>
  <c r="C38" i="6"/>
  <c r="E38" i="6" s="1"/>
  <c r="K38" i="6"/>
  <c r="N38" i="6" s="1"/>
  <c r="O38" i="6" s="1"/>
  <c r="A37" i="6"/>
  <c r="C37" i="6"/>
  <c r="E37" i="6" s="1"/>
  <c r="K37" i="6"/>
  <c r="N37" i="6" s="1"/>
  <c r="O37" i="6" s="1"/>
  <c r="A36" i="6"/>
  <c r="C36" i="6"/>
  <c r="E36" i="6" s="1"/>
  <c r="K36" i="6"/>
  <c r="N36" i="6" s="1"/>
  <c r="O36" i="6" s="1"/>
  <c r="A1100" i="1"/>
  <c r="A1101" i="1"/>
  <c r="A1102" i="1"/>
  <c r="A1103" i="1"/>
  <c r="C1100" i="1"/>
  <c r="E1100" i="1" s="1"/>
  <c r="C1101" i="1"/>
  <c r="E1101" i="1" s="1"/>
  <c r="C1102" i="1"/>
  <c r="E1102" i="1" s="1"/>
  <c r="C1103" i="1"/>
  <c r="E1103" i="1" s="1"/>
  <c r="K1100" i="1"/>
  <c r="K1101" i="1"/>
  <c r="K1102" i="1"/>
  <c r="K1103" i="1"/>
  <c r="M1100" i="1"/>
  <c r="M1101" i="1"/>
  <c r="M1102" i="1"/>
  <c r="M1103" i="1"/>
  <c r="N1100" i="1"/>
  <c r="N1101" i="1"/>
  <c r="N1102" i="1"/>
  <c r="N1103" i="1"/>
  <c r="P1100" i="1"/>
  <c r="P1101" i="1"/>
  <c r="P1102" i="1"/>
  <c r="P1103" i="1"/>
  <c r="A1121" i="1"/>
  <c r="A1104" i="1"/>
  <c r="A1105" i="1"/>
  <c r="A1106" i="1"/>
  <c r="A1107" i="1"/>
  <c r="A1108" i="1"/>
  <c r="C1121" i="1"/>
  <c r="E1121" i="1" s="1"/>
  <c r="C1104" i="1"/>
  <c r="E1104" i="1" s="1"/>
  <c r="C1105" i="1"/>
  <c r="E1105" i="1" s="1"/>
  <c r="C1106" i="1"/>
  <c r="E1106" i="1" s="1"/>
  <c r="C1107" i="1"/>
  <c r="E1107" i="1" s="1"/>
  <c r="C1108" i="1"/>
  <c r="E1108" i="1" s="1"/>
  <c r="K1121" i="1"/>
  <c r="K1104" i="1"/>
  <c r="K1105" i="1"/>
  <c r="K1106" i="1"/>
  <c r="K1107" i="1"/>
  <c r="K1108" i="1"/>
  <c r="M1121" i="1"/>
  <c r="M1104" i="1"/>
  <c r="M1105" i="1"/>
  <c r="M1106" i="1"/>
  <c r="M1107" i="1"/>
  <c r="M1108" i="1"/>
  <c r="N1121" i="1"/>
  <c r="N1104" i="1"/>
  <c r="N1105" i="1"/>
  <c r="N1106" i="1"/>
  <c r="N1107" i="1"/>
  <c r="N1108" i="1"/>
  <c r="P1121" i="1"/>
  <c r="P1104" i="1"/>
  <c r="P1105" i="1"/>
  <c r="P1106" i="1"/>
  <c r="P1107" i="1"/>
  <c r="P1108" i="1"/>
  <c r="A1125" i="1" l="1"/>
  <c r="C1125" i="1"/>
  <c r="E1125" i="1" s="1"/>
  <c r="K1125" i="1"/>
  <c r="M1125" i="1"/>
  <c r="N1125" i="1"/>
  <c r="P1125" i="1"/>
  <c r="A1114" i="1"/>
  <c r="A1110" i="1"/>
  <c r="A1123" i="1"/>
  <c r="A1116" i="1"/>
  <c r="A1117" i="1"/>
  <c r="A1111" i="1"/>
  <c r="A1118" i="1"/>
  <c r="A1112" i="1"/>
  <c r="A1124" i="1"/>
  <c r="A1113" i="1"/>
  <c r="A1119" i="1"/>
  <c r="A1120" i="1"/>
  <c r="C1114" i="1"/>
  <c r="E1114" i="1" s="1"/>
  <c r="C1115" i="1"/>
  <c r="E1115" i="1" s="1"/>
  <c r="C1110" i="1"/>
  <c r="E1110" i="1" s="1"/>
  <c r="C1123" i="1"/>
  <c r="E1123" i="1" s="1"/>
  <c r="C1116" i="1"/>
  <c r="E1116" i="1" s="1"/>
  <c r="C1117" i="1"/>
  <c r="E1117" i="1" s="1"/>
  <c r="C1111" i="1"/>
  <c r="E1111" i="1" s="1"/>
  <c r="C1118" i="1"/>
  <c r="E1118" i="1" s="1"/>
  <c r="C1112" i="1"/>
  <c r="E1112" i="1" s="1"/>
  <c r="C1124" i="1"/>
  <c r="E1124" i="1" s="1"/>
  <c r="C1113" i="1"/>
  <c r="E1113" i="1" s="1"/>
  <c r="E1122" i="1"/>
  <c r="C1119" i="1"/>
  <c r="E1119" i="1" s="1"/>
  <c r="C1120" i="1"/>
  <c r="E1120" i="1" s="1"/>
  <c r="K1114" i="1"/>
  <c r="K1115" i="1"/>
  <c r="K1110" i="1"/>
  <c r="K1123" i="1"/>
  <c r="K1116" i="1"/>
  <c r="K1117" i="1"/>
  <c r="K1111" i="1"/>
  <c r="K1118" i="1"/>
  <c r="K1112" i="1"/>
  <c r="K1124" i="1"/>
  <c r="K1113" i="1"/>
  <c r="K1122" i="1"/>
  <c r="K1119" i="1"/>
  <c r="K1120" i="1"/>
  <c r="M1114" i="1"/>
  <c r="M1115" i="1"/>
  <c r="M1110" i="1"/>
  <c r="M1123" i="1"/>
  <c r="M1116" i="1"/>
  <c r="M1117" i="1"/>
  <c r="M1111" i="1"/>
  <c r="M1118" i="1"/>
  <c r="M1112" i="1"/>
  <c r="M1124" i="1"/>
  <c r="M1113" i="1"/>
  <c r="M1122" i="1"/>
  <c r="M1119" i="1"/>
  <c r="M1120" i="1"/>
  <c r="N1114" i="1"/>
  <c r="N1115" i="1"/>
  <c r="N1110" i="1"/>
  <c r="N1123" i="1"/>
  <c r="N1116" i="1"/>
  <c r="N1117" i="1"/>
  <c r="N1111" i="1"/>
  <c r="N1118" i="1"/>
  <c r="N1112" i="1"/>
  <c r="N1124" i="1"/>
  <c r="N1113" i="1"/>
  <c r="N1122" i="1"/>
  <c r="N1119" i="1"/>
  <c r="N1120" i="1"/>
  <c r="P1114" i="1"/>
  <c r="P1115" i="1"/>
  <c r="P1110" i="1"/>
  <c r="P1123" i="1"/>
  <c r="P1116" i="1"/>
  <c r="P1117" i="1"/>
  <c r="P1111" i="1"/>
  <c r="P1118" i="1"/>
  <c r="P1112" i="1"/>
  <c r="P1124" i="1"/>
  <c r="P1113" i="1"/>
  <c r="P1122" i="1"/>
  <c r="P1119" i="1"/>
  <c r="P1120" i="1"/>
  <c r="A1187" i="1"/>
  <c r="C1187" i="1"/>
  <c r="E1187" i="1" s="1"/>
  <c r="K1187" i="1"/>
  <c r="M1187" i="1"/>
  <c r="N1187" i="1"/>
  <c r="P1187" i="1"/>
  <c r="A1205" i="1"/>
  <c r="A1204" i="1"/>
  <c r="A1206" i="1"/>
  <c r="C1205" i="1"/>
  <c r="E1205" i="1" s="1"/>
  <c r="C1204" i="1"/>
  <c r="E1204" i="1" s="1"/>
  <c r="C1206" i="1"/>
  <c r="E1206" i="1" s="1"/>
  <c r="K1205" i="1"/>
  <c r="K1204" i="1"/>
  <c r="K1206" i="1"/>
  <c r="M1205" i="1"/>
  <c r="M1204" i="1"/>
  <c r="M1206" i="1"/>
  <c r="N1205" i="1"/>
  <c r="N1204" i="1"/>
  <c r="N1206" i="1"/>
  <c r="P1205" i="1"/>
  <c r="P1204" i="1"/>
  <c r="P1206" i="1"/>
  <c r="A1248" i="1"/>
  <c r="C1248" i="1"/>
  <c r="E1248" i="1" s="1"/>
  <c r="K1248" i="1"/>
  <c r="M1248" i="1"/>
  <c r="N1248" i="1"/>
  <c r="P1248" i="1"/>
  <c r="A1247" i="1"/>
  <c r="C1247" i="1"/>
  <c r="E1247" i="1" s="1"/>
  <c r="K1247" i="1"/>
  <c r="M1247" i="1"/>
  <c r="N1247" i="1"/>
  <c r="P1247" i="1"/>
  <c r="A1246" i="1"/>
  <c r="C1246" i="1"/>
  <c r="E1246" i="1" s="1"/>
  <c r="K1246" i="1"/>
  <c r="M1246" i="1"/>
  <c r="N1246" i="1"/>
  <c r="P1246" i="1"/>
  <c r="M1277" i="1"/>
  <c r="M1276" i="1"/>
  <c r="A1243" i="1"/>
  <c r="C1243" i="1"/>
  <c r="E1243" i="1" s="1"/>
  <c r="K1243" i="1"/>
  <c r="M1243" i="1"/>
  <c r="N1243" i="1"/>
  <c r="P1243" i="1"/>
  <c r="A1263" i="1" l="1"/>
  <c r="C1263" i="1"/>
  <c r="E1263" i="1" s="1"/>
  <c r="K1263" i="1"/>
  <c r="M1263" i="1"/>
  <c r="N1263" i="1"/>
  <c r="P1263" i="1"/>
  <c r="A1258" i="1"/>
  <c r="A1249" i="1"/>
  <c r="A1254" i="1"/>
  <c r="A1256" i="1"/>
  <c r="A1250" i="1"/>
  <c r="A1259" i="1"/>
  <c r="A1260" i="1"/>
  <c r="A1238" i="1"/>
  <c r="A1239" i="1"/>
  <c r="A1240" i="1"/>
  <c r="A1253" i="1"/>
  <c r="A1251" i="1"/>
  <c r="A1257" i="1"/>
  <c r="A1241" i="1"/>
  <c r="A1242" i="1"/>
  <c r="A1261" i="1"/>
  <c r="A1262" i="1"/>
  <c r="A1255" i="1"/>
  <c r="C1258" i="1"/>
  <c r="E1258" i="1" s="1"/>
  <c r="C1249" i="1"/>
  <c r="E1249" i="1" s="1"/>
  <c r="C1254" i="1"/>
  <c r="E1254" i="1" s="1"/>
  <c r="C1256" i="1"/>
  <c r="E1256" i="1" s="1"/>
  <c r="C1250" i="1"/>
  <c r="E1250" i="1" s="1"/>
  <c r="C1259" i="1"/>
  <c r="E1259" i="1" s="1"/>
  <c r="C1260" i="1"/>
  <c r="E1260" i="1" s="1"/>
  <c r="C1238" i="1"/>
  <c r="E1238" i="1" s="1"/>
  <c r="C1239" i="1"/>
  <c r="E1239" i="1" s="1"/>
  <c r="C1240" i="1"/>
  <c r="E1240" i="1" s="1"/>
  <c r="C1253" i="1"/>
  <c r="E1253" i="1" s="1"/>
  <c r="C1251" i="1"/>
  <c r="E1251" i="1" s="1"/>
  <c r="C1257" i="1"/>
  <c r="E1257" i="1" s="1"/>
  <c r="C1241" i="1"/>
  <c r="E1241" i="1" s="1"/>
  <c r="C1242" i="1"/>
  <c r="E1242" i="1" s="1"/>
  <c r="C1261" i="1"/>
  <c r="E1261" i="1" s="1"/>
  <c r="C1262" i="1"/>
  <c r="E1262" i="1" s="1"/>
  <c r="C1255" i="1"/>
  <c r="E1255" i="1" s="1"/>
  <c r="K1258" i="1"/>
  <c r="K1249" i="1"/>
  <c r="K1254" i="1"/>
  <c r="K1256" i="1"/>
  <c r="K1250" i="1"/>
  <c r="K1259" i="1"/>
  <c r="K1260" i="1"/>
  <c r="K1238" i="1"/>
  <c r="K1239" i="1"/>
  <c r="K1240" i="1"/>
  <c r="K1253" i="1"/>
  <c r="K1251" i="1"/>
  <c r="K1257" i="1"/>
  <c r="K1241" i="1"/>
  <c r="K1242" i="1"/>
  <c r="K1261" i="1"/>
  <c r="K1262" i="1"/>
  <c r="K1255" i="1"/>
  <c r="M1258" i="1"/>
  <c r="M1249" i="1"/>
  <c r="M1254" i="1"/>
  <c r="M1256" i="1"/>
  <c r="M1250" i="1"/>
  <c r="M1259" i="1"/>
  <c r="M1260" i="1"/>
  <c r="M1238" i="1"/>
  <c r="M1239" i="1"/>
  <c r="M1240" i="1"/>
  <c r="M1253" i="1"/>
  <c r="M1251" i="1"/>
  <c r="M1257" i="1"/>
  <c r="M1241" i="1"/>
  <c r="M1242" i="1"/>
  <c r="M1261" i="1"/>
  <c r="M1262" i="1"/>
  <c r="M1255" i="1"/>
  <c r="N1258" i="1"/>
  <c r="N1249" i="1"/>
  <c r="N1254" i="1"/>
  <c r="N1256" i="1"/>
  <c r="N1250" i="1"/>
  <c r="N1259" i="1"/>
  <c r="N1260" i="1"/>
  <c r="N1238" i="1"/>
  <c r="N1239" i="1"/>
  <c r="N1240" i="1"/>
  <c r="N1253" i="1"/>
  <c r="N1251" i="1"/>
  <c r="N1257" i="1"/>
  <c r="N1241" i="1"/>
  <c r="N1242" i="1"/>
  <c r="N1261" i="1"/>
  <c r="N1262" i="1"/>
  <c r="N1255" i="1"/>
  <c r="P1258" i="1"/>
  <c r="P1249" i="1"/>
  <c r="P1254" i="1"/>
  <c r="P1256" i="1"/>
  <c r="P1250" i="1"/>
  <c r="P1259" i="1"/>
  <c r="P1260" i="1"/>
  <c r="P1238" i="1"/>
  <c r="P1239" i="1"/>
  <c r="P1240" i="1"/>
  <c r="P1253" i="1"/>
  <c r="P1251" i="1"/>
  <c r="P1257" i="1"/>
  <c r="P1241" i="1"/>
  <c r="P1242" i="1"/>
  <c r="P1261" i="1"/>
  <c r="P1262" i="1"/>
  <c r="P1255" i="1"/>
  <c r="A1267" i="1" l="1"/>
  <c r="A1268" i="1"/>
  <c r="A1269" i="1"/>
  <c r="C1267" i="1"/>
  <c r="E1267" i="1" s="1"/>
  <c r="C1268" i="1"/>
  <c r="E1268" i="1" s="1"/>
  <c r="C1269" i="1"/>
  <c r="E1269" i="1" s="1"/>
  <c r="K1267" i="1"/>
  <c r="K1268" i="1"/>
  <c r="K1269" i="1"/>
  <c r="M1267" i="1"/>
  <c r="M1268" i="1"/>
  <c r="M1269" i="1"/>
  <c r="N1267" i="1"/>
  <c r="N1268" i="1"/>
  <c r="N1269" i="1"/>
  <c r="P1267" i="1"/>
  <c r="P1268" i="1"/>
  <c r="P1269" i="1"/>
  <c r="A1270" i="1"/>
  <c r="A1271" i="1"/>
  <c r="C1270" i="1"/>
  <c r="E1270" i="1" s="1"/>
  <c r="C1271" i="1"/>
  <c r="E1271" i="1" s="1"/>
  <c r="K1270" i="1"/>
  <c r="K1271" i="1"/>
  <c r="M1270" i="1"/>
  <c r="M1271" i="1"/>
  <c r="N1270" i="1"/>
  <c r="N1271" i="1"/>
  <c r="P1270" i="1"/>
  <c r="P1271" i="1"/>
  <c r="A1273" i="1"/>
  <c r="C1273" i="1"/>
  <c r="E1273" i="1" s="1"/>
  <c r="K1273" i="1"/>
  <c r="M1273" i="1"/>
  <c r="N1273" i="1"/>
  <c r="P1273" i="1"/>
  <c r="A1272" i="1"/>
  <c r="C1272" i="1"/>
  <c r="E1272" i="1" s="1"/>
  <c r="K1272" i="1"/>
  <c r="M1272" i="1"/>
  <c r="N1272" i="1"/>
  <c r="P1272" i="1"/>
  <c r="A1274" i="1" l="1"/>
  <c r="A1275" i="1"/>
  <c r="A1276" i="1"/>
  <c r="A1277" i="1"/>
  <c r="A1278" i="1"/>
  <c r="C1274" i="1"/>
  <c r="E1274" i="1" s="1"/>
  <c r="C1275" i="1"/>
  <c r="E1275" i="1" s="1"/>
  <c r="C1276" i="1"/>
  <c r="E1276" i="1" s="1"/>
  <c r="C1277" i="1"/>
  <c r="E1277" i="1" s="1"/>
  <c r="C1278" i="1"/>
  <c r="E1278" i="1" s="1"/>
  <c r="K1274" i="1"/>
  <c r="K1275" i="1"/>
  <c r="K1276" i="1"/>
  <c r="K1277" i="1"/>
  <c r="K1278" i="1"/>
  <c r="M1274" i="1"/>
  <c r="M1275" i="1"/>
  <c r="M1278" i="1"/>
  <c r="N1274" i="1"/>
  <c r="N1275" i="1"/>
  <c r="N1276" i="1"/>
  <c r="N1277" i="1"/>
  <c r="N1278" i="1"/>
  <c r="P1274" i="1"/>
  <c r="P1275" i="1"/>
  <c r="P1276" i="1"/>
  <c r="P1277" i="1"/>
  <c r="P1278" i="1"/>
  <c r="A329" i="1"/>
  <c r="A330" i="1"/>
  <c r="A331" i="1"/>
  <c r="A332" i="1"/>
  <c r="C329" i="1"/>
  <c r="E329" i="1" s="1"/>
  <c r="C330" i="1"/>
  <c r="E330" i="1" s="1"/>
  <c r="C331" i="1"/>
  <c r="E331" i="1" s="1"/>
  <c r="C332" i="1"/>
  <c r="E332" i="1" s="1"/>
  <c r="K329" i="1"/>
  <c r="K330" i="1"/>
  <c r="K331" i="1"/>
  <c r="K332" i="1"/>
  <c r="M329" i="1"/>
  <c r="M330" i="1"/>
  <c r="M331" i="1"/>
  <c r="M332" i="1"/>
  <c r="N329" i="1"/>
  <c r="N330" i="1"/>
  <c r="N331" i="1"/>
  <c r="N332" i="1"/>
  <c r="P329" i="1"/>
  <c r="P330" i="1"/>
  <c r="P331" i="1"/>
  <c r="P332" i="1"/>
  <c r="A328" i="1"/>
  <c r="C328" i="1"/>
  <c r="E328" i="1" s="1"/>
  <c r="K328" i="1"/>
  <c r="M328" i="1"/>
  <c r="N328" i="1"/>
  <c r="P328" i="1"/>
  <c r="A35" i="6"/>
  <c r="C35" i="6"/>
  <c r="E35" i="6" s="1"/>
  <c r="K35" i="6"/>
  <c r="N35" i="6" s="1"/>
  <c r="O35" i="6" s="1"/>
  <c r="A79" i="1" l="1"/>
  <c r="C79" i="1"/>
  <c r="E79" i="1" s="1"/>
  <c r="K79" i="1"/>
  <c r="M79" i="1"/>
  <c r="N79" i="1"/>
  <c r="P79" i="1"/>
  <c r="A78" i="1" l="1"/>
  <c r="C78" i="1"/>
  <c r="E78" i="1" s="1"/>
  <c r="K78" i="1"/>
  <c r="M78" i="1"/>
  <c r="N78" i="1"/>
  <c r="P78" i="1"/>
  <c r="N300" i="1"/>
  <c r="N301" i="1"/>
  <c r="N851" i="1"/>
  <c r="N900" i="1"/>
  <c r="N852" i="1"/>
  <c r="N853" i="1"/>
  <c r="N854" i="1"/>
  <c r="N855" i="1"/>
  <c r="N856" i="1"/>
  <c r="N752" i="1"/>
  <c r="N857" i="1"/>
  <c r="N858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859" i="1"/>
  <c r="N860" i="1"/>
  <c r="N861" i="1"/>
  <c r="N862" i="1"/>
  <c r="N863" i="1"/>
  <c r="N864" i="1"/>
  <c r="N865" i="1"/>
  <c r="N866" i="1"/>
  <c r="N901" i="1"/>
  <c r="N902" i="1"/>
  <c r="N867" i="1"/>
  <c r="N868" i="1"/>
  <c r="N903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1188" i="1"/>
  <c r="N1189" i="1"/>
  <c r="N1190" i="1"/>
  <c r="N1191" i="1"/>
  <c r="N1198" i="1"/>
  <c r="N1192" i="1"/>
  <c r="N1199" i="1"/>
  <c r="N1200" i="1"/>
  <c r="N1193" i="1"/>
  <c r="N1194" i="1"/>
  <c r="N1195" i="1"/>
  <c r="N1196" i="1"/>
  <c r="N1197" i="1"/>
  <c r="N399" i="1"/>
  <c r="N400" i="1"/>
  <c r="N407" i="1"/>
  <c r="N408" i="1"/>
  <c r="N401" i="1"/>
  <c r="N402" i="1"/>
  <c r="N403" i="1"/>
  <c r="N404" i="1"/>
  <c r="N405" i="1"/>
  <c r="N406" i="1"/>
  <c r="N9" i="1"/>
  <c r="N10" i="1"/>
  <c r="N11" i="1"/>
  <c r="N12" i="1"/>
  <c r="N13" i="1"/>
  <c r="N14" i="1"/>
  <c r="N15" i="1"/>
  <c r="N16" i="1"/>
  <c r="N309" i="1"/>
  <c r="N310" i="1"/>
  <c r="N318" i="1"/>
  <c r="N319" i="1"/>
  <c r="N320" i="1"/>
  <c r="N321" i="1"/>
  <c r="N322" i="1"/>
  <c r="N323" i="1"/>
  <c r="N324" i="1"/>
  <c r="N325" i="1"/>
  <c r="N326" i="1"/>
  <c r="N311" i="1"/>
  <c r="N312" i="1"/>
  <c r="N327" i="1"/>
  <c r="N313" i="1"/>
  <c r="N314" i="1"/>
  <c r="N315" i="1"/>
  <c r="N316" i="1"/>
  <c r="N317" i="1"/>
  <c r="N83" i="1"/>
  <c r="A16" i="1" l="1"/>
  <c r="C16" i="1"/>
  <c r="E16" i="1" s="1"/>
  <c r="K16" i="1"/>
  <c r="M16" i="1"/>
  <c r="P16" i="1"/>
  <c r="K3" i="6" l="1"/>
  <c r="N3" i="6" s="1"/>
  <c r="K4" i="6"/>
  <c r="N4" i="6" s="1"/>
  <c r="O4" i="6" s="1"/>
  <c r="K5" i="6"/>
  <c r="N5" i="6" s="1"/>
  <c r="O5" i="6" s="1"/>
  <c r="K6" i="6"/>
  <c r="N6" i="6" s="1"/>
  <c r="O6" i="6" s="1"/>
  <c r="K7" i="6"/>
  <c r="N7" i="6" s="1"/>
  <c r="O7" i="6" s="1"/>
  <c r="K8" i="6"/>
  <c r="N8" i="6" s="1"/>
  <c r="O8" i="6" s="1"/>
  <c r="K9" i="6"/>
  <c r="N9" i="6" s="1"/>
  <c r="K10" i="6"/>
  <c r="K11" i="6"/>
  <c r="N11" i="6" s="1"/>
  <c r="O11" i="6" s="1"/>
  <c r="K12" i="6"/>
  <c r="N12" i="6" s="1"/>
  <c r="O12" i="6" s="1"/>
  <c r="K13" i="6"/>
  <c r="N13" i="6" s="1"/>
  <c r="O13" i="6" s="1"/>
  <c r="K14" i="6"/>
  <c r="N14" i="6" s="1"/>
  <c r="O14" i="6" s="1"/>
  <c r="K15" i="6"/>
  <c r="N15" i="6" s="1"/>
  <c r="O15" i="6" s="1"/>
  <c r="K16" i="6"/>
  <c r="N16" i="6" s="1"/>
  <c r="O16" i="6" s="1"/>
  <c r="K17" i="6"/>
  <c r="N17" i="6" s="1"/>
  <c r="O17" i="6" s="1"/>
  <c r="K18" i="6"/>
  <c r="N18" i="6" s="1"/>
  <c r="O18" i="6" s="1"/>
  <c r="K19" i="6"/>
  <c r="N19" i="6" s="1"/>
  <c r="O19" i="6" s="1"/>
  <c r="K20" i="6"/>
  <c r="N20" i="6" s="1"/>
  <c r="O20" i="6" s="1"/>
  <c r="K21" i="6"/>
  <c r="N21" i="6" s="1"/>
  <c r="O21" i="6" s="1"/>
  <c r="K22" i="6"/>
  <c r="N22" i="6" s="1"/>
  <c r="O22" i="6" s="1"/>
  <c r="K23" i="6"/>
  <c r="N23" i="6" s="1"/>
  <c r="O23" i="6" s="1"/>
  <c r="K24" i="6"/>
  <c r="N24" i="6" s="1"/>
  <c r="O24" i="6" s="1"/>
  <c r="K25" i="6"/>
  <c r="N25" i="6" s="1"/>
  <c r="O25" i="6" s="1"/>
  <c r="K26" i="6"/>
  <c r="N26" i="6" s="1"/>
  <c r="O26" i="6" s="1"/>
  <c r="K27" i="6"/>
  <c r="N27" i="6" s="1"/>
  <c r="O27" i="6" s="1"/>
  <c r="K28" i="6"/>
  <c r="N28" i="6" s="1"/>
  <c r="O28" i="6" s="1"/>
  <c r="K29" i="6"/>
  <c r="N29" i="6" s="1"/>
  <c r="O29" i="6" s="1"/>
  <c r="K30" i="6"/>
  <c r="N30" i="6" s="1"/>
  <c r="O30" i="6" s="1"/>
  <c r="K31" i="6"/>
  <c r="N31" i="6" s="1"/>
  <c r="O31" i="6" s="1"/>
  <c r="K32" i="6"/>
  <c r="N32" i="6" s="1"/>
  <c r="O32" i="6" s="1"/>
  <c r="K33" i="6"/>
  <c r="N33" i="6" s="1"/>
  <c r="O33" i="6" s="1"/>
  <c r="K34" i="6"/>
  <c r="N34" i="6" s="1"/>
  <c r="O34" i="6" s="1"/>
  <c r="A10" i="6"/>
  <c r="C10" i="6"/>
  <c r="E10" i="6" s="1"/>
  <c r="O9" i="6" l="1"/>
  <c r="O3" i="6"/>
  <c r="N10" i="6"/>
  <c r="O10" i="6" s="1"/>
  <c r="A83" i="1"/>
  <c r="C83" i="1"/>
  <c r="E83" i="1" s="1"/>
  <c r="K83" i="1"/>
  <c r="M83" i="1"/>
  <c r="P83" i="1"/>
  <c r="F95" i="8"/>
  <c r="D82" i="8"/>
  <c r="F82" i="8" s="1"/>
  <c r="D74" i="8"/>
  <c r="F74" i="8" s="1"/>
  <c r="D63" i="8"/>
  <c r="F63" i="8" s="1"/>
  <c r="D59" i="8"/>
  <c r="F59" i="8" s="1"/>
  <c r="D56" i="8"/>
  <c r="F56" i="8" s="1"/>
  <c r="D52" i="8"/>
  <c r="F52" i="8" s="1"/>
  <c r="D48" i="8"/>
  <c r="F48" i="8" s="1"/>
  <c r="D39" i="8"/>
  <c r="D99" i="8" s="1"/>
  <c r="D35" i="8"/>
  <c r="D26" i="8"/>
  <c r="D22" i="8"/>
  <c r="G22" i="8" s="1"/>
  <c r="D17" i="8"/>
  <c r="D7" i="8"/>
  <c r="F35" i="8" l="1"/>
  <c r="G35" i="8"/>
  <c r="F26" i="8"/>
  <c r="G26" i="8"/>
  <c r="F39" i="8"/>
  <c r="E97" i="8"/>
  <c r="G39" i="8"/>
  <c r="F17" i="8"/>
  <c r="G17" i="8"/>
  <c r="F7" i="8"/>
  <c r="G7" i="8"/>
  <c r="D27" i="8"/>
  <c r="F22" i="8"/>
  <c r="D18" i="8"/>
  <c r="G18" i="8" s="1"/>
  <c r="D96" i="8"/>
  <c r="F96" i="8" l="1"/>
  <c r="G96" i="8"/>
  <c r="F27" i="8"/>
  <c r="G27" i="8"/>
  <c r="E99" i="8"/>
  <c r="F99" i="8" s="1"/>
  <c r="F97" i="8"/>
  <c r="D28" i="8"/>
  <c r="G28" i="8" s="1"/>
  <c r="F18" i="8"/>
  <c r="A33" i="6"/>
  <c r="A34" i="6"/>
  <c r="C33" i="6"/>
  <c r="E33" i="6" s="1"/>
  <c r="C34" i="6"/>
  <c r="E34" i="6" s="1"/>
  <c r="A29" i="6"/>
  <c r="A30" i="6"/>
  <c r="A31" i="6"/>
  <c r="A32" i="6"/>
  <c r="C29" i="6"/>
  <c r="E29" i="6" s="1"/>
  <c r="C30" i="6"/>
  <c r="E30" i="6" s="1"/>
  <c r="C31" i="6"/>
  <c r="E31" i="6" s="1"/>
  <c r="C32" i="6"/>
  <c r="E32" i="6" s="1"/>
  <c r="A314" i="1"/>
  <c r="A315" i="1"/>
  <c r="A316" i="1"/>
  <c r="A317" i="1"/>
  <c r="C314" i="1"/>
  <c r="E314" i="1" s="1"/>
  <c r="C315" i="1"/>
  <c r="E315" i="1" s="1"/>
  <c r="C316" i="1"/>
  <c r="E316" i="1" s="1"/>
  <c r="C317" i="1"/>
  <c r="E317" i="1" s="1"/>
  <c r="K314" i="1"/>
  <c r="K315" i="1"/>
  <c r="K316" i="1"/>
  <c r="K317" i="1"/>
  <c r="M314" i="1"/>
  <c r="M315" i="1"/>
  <c r="M316" i="1"/>
  <c r="M317" i="1"/>
  <c r="P314" i="1"/>
  <c r="P315" i="1"/>
  <c r="P316" i="1"/>
  <c r="P317" i="1"/>
  <c r="A313" i="1"/>
  <c r="C313" i="1"/>
  <c r="E313" i="1" s="1"/>
  <c r="K313" i="1"/>
  <c r="M313" i="1"/>
  <c r="P313" i="1"/>
  <c r="A312" i="1"/>
  <c r="A327" i="1"/>
  <c r="C312" i="1"/>
  <c r="E312" i="1" s="1"/>
  <c r="C327" i="1"/>
  <c r="E327" i="1" s="1"/>
  <c r="K312" i="1"/>
  <c r="K327" i="1"/>
  <c r="M312" i="1"/>
  <c r="M327" i="1"/>
  <c r="P312" i="1"/>
  <c r="P327" i="1"/>
  <c r="A311" i="1"/>
  <c r="C311" i="1"/>
  <c r="E311" i="1" s="1"/>
  <c r="K311" i="1"/>
  <c r="M311" i="1"/>
  <c r="P311" i="1"/>
  <c r="A318" i="1"/>
  <c r="A319" i="1"/>
  <c r="A320" i="1"/>
  <c r="A321" i="1"/>
  <c r="A322" i="1"/>
  <c r="A323" i="1"/>
  <c r="A324" i="1"/>
  <c r="A325" i="1"/>
  <c r="A326" i="1"/>
  <c r="C318" i="1"/>
  <c r="E318" i="1" s="1"/>
  <c r="C319" i="1"/>
  <c r="E319" i="1" s="1"/>
  <c r="C320" i="1"/>
  <c r="E320" i="1" s="1"/>
  <c r="C321" i="1"/>
  <c r="E321" i="1" s="1"/>
  <c r="C322" i="1"/>
  <c r="E322" i="1" s="1"/>
  <c r="C323" i="1"/>
  <c r="E323" i="1" s="1"/>
  <c r="C324" i="1"/>
  <c r="E324" i="1" s="1"/>
  <c r="C325" i="1"/>
  <c r="E325" i="1" s="1"/>
  <c r="C326" i="1"/>
  <c r="E326" i="1" s="1"/>
  <c r="K318" i="1"/>
  <c r="K319" i="1"/>
  <c r="K320" i="1"/>
  <c r="K321" i="1"/>
  <c r="K322" i="1"/>
  <c r="K323" i="1"/>
  <c r="K324" i="1"/>
  <c r="K325" i="1"/>
  <c r="K326" i="1"/>
  <c r="M318" i="1"/>
  <c r="M319" i="1"/>
  <c r="M320" i="1"/>
  <c r="M321" i="1"/>
  <c r="M322" i="1"/>
  <c r="M323" i="1"/>
  <c r="M324" i="1"/>
  <c r="M325" i="1"/>
  <c r="M326" i="1"/>
  <c r="P318" i="1"/>
  <c r="P319" i="1"/>
  <c r="P320" i="1"/>
  <c r="P321" i="1"/>
  <c r="P322" i="1"/>
  <c r="P323" i="1"/>
  <c r="P324" i="1"/>
  <c r="P325" i="1"/>
  <c r="P326" i="1"/>
  <c r="A309" i="1"/>
  <c r="A310" i="1"/>
  <c r="C309" i="1"/>
  <c r="E309" i="1" s="1"/>
  <c r="C310" i="1"/>
  <c r="E310" i="1" s="1"/>
  <c r="K309" i="1"/>
  <c r="K310" i="1"/>
  <c r="M309" i="1"/>
  <c r="M310" i="1"/>
  <c r="P309" i="1"/>
  <c r="P310" i="1"/>
  <c r="D36" i="8" l="1"/>
  <c r="G36" i="8" s="1"/>
  <c r="F28" i="8"/>
  <c r="A13" i="1"/>
  <c r="C13" i="1"/>
  <c r="E13" i="1" s="1"/>
  <c r="K13" i="1"/>
  <c r="M13" i="1"/>
  <c r="P13" i="1"/>
  <c r="A15" i="1"/>
  <c r="C15" i="1"/>
  <c r="E15" i="1" s="1"/>
  <c r="K15" i="1"/>
  <c r="M15" i="1"/>
  <c r="P15" i="1"/>
  <c r="A14" i="1"/>
  <c r="C14" i="1"/>
  <c r="E14" i="1" s="1"/>
  <c r="K14" i="1"/>
  <c r="M14" i="1"/>
  <c r="P14" i="1"/>
  <c r="A12" i="1"/>
  <c r="C12" i="1"/>
  <c r="E12" i="1" s="1"/>
  <c r="K12" i="1"/>
  <c r="M12" i="1"/>
  <c r="P12" i="1"/>
  <c r="A11" i="1"/>
  <c r="C11" i="1"/>
  <c r="E11" i="1" s="1"/>
  <c r="K11" i="1"/>
  <c r="M11" i="1"/>
  <c r="P11" i="1"/>
  <c r="A10" i="1"/>
  <c r="C10" i="1"/>
  <c r="E10" i="1" s="1"/>
  <c r="K10" i="1"/>
  <c r="M10" i="1"/>
  <c r="P10" i="1"/>
  <c r="A28" i="6"/>
  <c r="C28" i="6"/>
  <c r="E28" i="6" s="1"/>
  <c r="A27" i="6"/>
  <c r="C27" i="6"/>
  <c r="E27" i="6" s="1"/>
  <c r="A26" i="6"/>
  <c r="C26" i="6"/>
  <c r="E26" i="6" s="1"/>
  <c r="A9" i="1"/>
  <c r="C9" i="1"/>
  <c r="E9" i="1" s="1"/>
  <c r="K9" i="1"/>
  <c r="M9" i="1"/>
  <c r="P9" i="1"/>
  <c r="D40" i="8" l="1"/>
  <c r="F36" i="8"/>
  <c r="A25" i="6"/>
  <c r="C25" i="6"/>
  <c r="E25" i="6" s="1"/>
  <c r="A3" i="6"/>
  <c r="A4" i="6"/>
  <c r="A5" i="6"/>
  <c r="A6" i="6"/>
  <c r="A7" i="6"/>
  <c r="A8" i="6"/>
  <c r="A9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C3" i="6"/>
  <c r="E3" i="6" s="1"/>
  <c r="C4" i="6"/>
  <c r="E4" i="6" s="1"/>
  <c r="C5" i="6"/>
  <c r="E5" i="6" s="1"/>
  <c r="C6" i="6"/>
  <c r="E6" i="6" s="1"/>
  <c r="C7" i="6"/>
  <c r="E7" i="6" s="1"/>
  <c r="C8" i="6"/>
  <c r="E8" i="6" s="1"/>
  <c r="C9" i="6"/>
  <c r="E9" i="6" s="1"/>
  <c r="C11" i="6"/>
  <c r="E11" i="6" s="1"/>
  <c r="C12" i="6"/>
  <c r="E12" i="6" s="1"/>
  <c r="C13" i="6"/>
  <c r="E13" i="6" s="1"/>
  <c r="C14" i="6"/>
  <c r="E14" i="6" s="1"/>
  <c r="C15" i="6"/>
  <c r="E15" i="6" s="1"/>
  <c r="C16" i="6"/>
  <c r="E16" i="6" s="1"/>
  <c r="C17" i="6"/>
  <c r="E17" i="6" s="1"/>
  <c r="C18" i="6"/>
  <c r="E18" i="6" s="1"/>
  <c r="C19" i="6"/>
  <c r="E19" i="6" s="1"/>
  <c r="C20" i="6"/>
  <c r="E20" i="6" s="1"/>
  <c r="C21" i="6"/>
  <c r="E21" i="6" s="1"/>
  <c r="C22" i="6"/>
  <c r="E22" i="6" s="1"/>
  <c r="C23" i="6"/>
  <c r="E23" i="6" s="1"/>
  <c r="C24" i="6"/>
  <c r="E24" i="6" s="1"/>
  <c r="K2" i="6"/>
  <c r="C2" i="6"/>
  <c r="E2" i="6" s="1"/>
  <c r="A2" i="6"/>
  <c r="D100" i="8" l="1"/>
  <c r="E98" i="8" s="1"/>
  <c r="F40" i="8"/>
  <c r="G40" i="8"/>
  <c r="N2" i="6"/>
  <c r="A405" i="1"/>
  <c r="A406" i="1"/>
  <c r="C405" i="1"/>
  <c r="E405" i="1" s="1"/>
  <c r="C406" i="1"/>
  <c r="E406" i="1" s="1"/>
  <c r="K405" i="1"/>
  <c r="K406" i="1"/>
  <c r="M405" i="1"/>
  <c r="M406" i="1"/>
  <c r="P405" i="1"/>
  <c r="P406" i="1"/>
  <c r="A403" i="1"/>
  <c r="A404" i="1"/>
  <c r="C403" i="1"/>
  <c r="E403" i="1" s="1"/>
  <c r="C404" i="1"/>
  <c r="E404" i="1" s="1"/>
  <c r="K403" i="1"/>
  <c r="K404" i="1"/>
  <c r="M403" i="1"/>
  <c r="M404" i="1"/>
  <c r="P403" i="1"/>
  <c r="P404" i="1"/>
  <c r="A408" i="1"/>
  <c r="A401" i="1"/>
  <c r="A402" i="1"/>
  <c r="C408" i="1"/>
  <c r="E408" i="1" s="1"/>
  <c r="C401" i="1"/>
  <c r="E401" i="1" s="1"/>
  <c r="C402" i="1"/>
  <c r="E402" i="1" s="1"/>
  <c r="K408" i="1"/>
  <c r="K401" i="1"/>
  <c r="K402" i="1"/>
  <c r="M408" i="1"/>
  <c r="M401" i="1"/>
  <c r="M402" i="1"/>
  <c r="P408" i="1"/>
  <c r="P401" i="1"/>
  <c r="P402" i="1"/>
  <c r="A407" i="1"/>
  <c r="C407" i="1"/>
  <c r="E407" i="1" s="1"/>
  <c r="K407" i="1"/>
  <c r="M407" i="1"/>
  <c r="P407" i="1"/>
  <c r="A400" i="1"/>
  <c r="C400" i="1"/>
  <c r="E400" i="1" s="1"/>
  <c r="K400" i="1"/>
  <c r="M400" i="1"/>
  <c r="P400" i="1"/>
  <c r="A399" i="1"/>
  <c r="C399" i="1"/>
  <c r="E399" i="1" s="1"/>
  <c r="K399" i="1"/>
  <c r="M399" i="1"/>
  <c r="P399" i="1"/>
  <c r="E100" i="8" l="1"/>
  <c r="F98" i="8"/>
  <c r="O2" i="6"/>
  <c r="A1193" i="1"/>
  <c r="A1194" i="1"/>
  <c r="A1195" i="1"/>
  <c r="A1196" i="1"/>
  <c r="A1197" i="1"/>
  <c r="C1193" i="1"/>
  <c r="E1193" i="1" s="1"/>
  <c r="C1194" i="1"/>
  <c r="E1194" i="1" s="1"/>
  <c r="C1195" i="1"/>
  <c r="E1195" i="1" s="1"/>
  <c r="C1196" i="1"/>
  <c r="E1196" i="1" s="1"/>
  <c r="C1197" i="1"/>
  <c r="E1197" i="1" s="1"/>
  <c r="K1193" i="1"/>
  <c r="K1194" i="1"/>
  <c r="K1195" i="1"/>
  <c r="K1196" i="1"/>
  <c r="K1197" i="1"/>
  <c r="M1193" i="1"/>
  <c r="M1194" i="1"/>
  <c r="M1195" i="1"/>
  <c r="M1196" i="1"/>
  <c r="M1197" i="1"/>
  <c r="P1193" i="1"/>
  <c r="P1194" i="1"/>
  <c r="P1195" i="1"/>
  <c r="P1196" i="1"/>
  <c r="P1197" i="1"/>
  <c r="A1199" i="1"/>
  <c r="A1200" i="1"/>
  <c r="C1199" i="1"/>
  <c r="E1199" i="1" s="1"/>
  <c r="C1200" i="1"/>
  <c r="E1200" i="1" s="1"/>
  <c r="K1199" i="1"/>
  <c r="K1200" i="1"/>
  <c r="M1199" i="1"/>
  <c r="M1200" i="1"/>
  <c r="P1199" i="1"/>
  <c r="P1200" i="1"/>
  <c r="A1192" i="1"/>
  <c r="C1192" i="1"/>
  <c r="E1192" i="1" s="1"/>
  <c r="K1192" i="1"/>
  <c r="M1192" i="1"/>
  <c r="P1192" i="1"/>
  <c r="A1198" i="1"/>
  <c r="C1198" i="1"/>
  <c r="E1198" i="1" s="1"/>
  <c r="K1198" i="1"/>
  <c r="M1198" i="1"/>
  <c r="P1198" i="1"/>
  <c r="A1191" i="1"/>
  <c r="C1191" i="1"/>
  <c r="E1191" i="1" s="1"/>
  <c r="K1191" i="1"/>
  <c r="M1191" i="1"/>
  <c r="P1191" i="1"/>
  <c r="A1188" i="1"/>
  <c r="A1189" i="1"/>
  <c r="A1190" i="1"/>
  <c r="C1188" i="1"/>
  <c r="E1188" i="1" s="1"/>
  <c r="C1189" i="1"/>
  <c r="E1189" i="1" s="1"/>
  <c r="C1190" i="1"/>
  <c r="E1190" i="1" s="1"/>
  <c r="K1188" i="1"/>
  <c r="K1189" i="1"/>
  <c r="K1190" i="1"/>
  <c r="M1188" i="1"/>
  <c r="M1189" i="1"/>
  <c r="M1190" i="1"/>
  <c r="P1188" i="1"/>
  <c r="P1189" i="1"/>
  <c r="P1190" i="1"/>
  <c r="F100" i="8" l="1"/>
  <c r="E103" i="8"/>
  <c r="C300" i="1"/>
  <c r="C301" i="1"/>
  <c r="C851" i="1"/>
  <c r="E851" i="1" s="1"/>
  <c r="C900" i="1"/>
  <c r="E900" i="1" s="1"/>
  <c r="C852" i="1"/>
  <c r="E852" i="1" s="1"/>
  <c r="C853" i="1"/>
  <c r="E853" i="1" s="1"/>
  <c r="C854" i="1"/>
  <c r="E854" i="1" s="1"/>
  <c r="C855" i="1"/>
  <c r="E855" i="1" s="1"/>
  <c r="C856" i="1"/>
  <c r="E856" i="1" s="1"/>
  <c r="C752" i="1"/>
  <c r="E752" i="1" s="1"/>
  <c r="C857" i="1"/>
  <c r="E857" i="1" s="1"/>
  <c r="C858" i="1"/>
  <c r="E858" i="1" s="1"/>
  <c r="C888" i="1"/>
  <c r="E888" i="1" s="1"/>
  <c r="C889" i="1"/>
  <c r="E889" i="1" s="1"/>
  <c r="C890" i="1"/>
  <c r="E890" i="1" s="1"/>
  <c r="C891" i="1"/>
  <c r="E891" i="1" s="1"/>
  <c r="C892" i="1"/>
  <c r="E892" i="1" s="1"/>
  <c r="C893" i="1"/>
  <c r="E893" i="1" s="1"/>
  <c r="C894" i="1"/>
  <c r="E894" i="1" s="1"/>
  <c r="C895" i="1"/>
  <c r="E895" i="1" s="1"/>
  <c r="C896" i="1"/>
  <c r="E896" i="1" s="1"/>
  <c r="C897" i="1"/>
  <c r="E897" i="1" s="1"/>
  <c r="C898" i="1"/>
  <c r="E898" i="1" s="1"/>
  <c r="C899" i="1"/>
  <c r="E899" i="1" s="1"/>
  <c r="C859" i="1"/>
  <c r="E859" i="1" s="1"/>
  <c r="C860" i="1"/>
  <c r="E860" i="1" s="1"/>
  <c r="C861" i="1"/>
  <c r="E861" i="1" s="1"/>
  <c r="C862" i="1"/>
  <c r="E862" i="1" s="1"/>
  <c r="C863" i="1"/>
  <c r="E863" i="1" s="1"/>
  <c r="C864" i="1"/>
  <c r="E864" i="1" s="1"/>
  <c r="C865" i="1"/>
  <c r="E865" i="1" s="1"/>
  <c r="C866" i="1"/>
  <c r="E866" i="1" s="1"/>
  <c r="C901" i="1"/>
  <c r="E901" i="1" s="1"/>
  <c r="C902" i="1"/>
  <c r="E902" i="1" s="1"/>
  <c r="C867" i="1"/>
  <c r="E867" i="1" s="1"/>
  <c r="C868" i="1"/>
  <c r="E868" i="1" s="1"/>
  <c r="C903" i="1"/>
  <c r="E903" i="1" s="1"/>
  <c r="C869" i="1"/>
  <c r="E869" i="1" s="1"/>
  <c r="C870" i="1"/>
  <c r="E870" i="1" s="1"/>
  <c r="C871" i="1"/>
  <c r="E871" i="1" s="1"/>
  <c r="C872" i="1"/>
  <c r="E872" i="1" s="1"/>
  <c r="C873" i="1"/>
  <c r="E873" i="1" s="1"/>
  <c r="C874" i="1"/>
  <c r="E874" i="1" s="1"/>
  <c r="C875" i="1"/>
  <c r="E875" i="1" s="1"/>
  <c r="C876" i="1"/>
  <c r="E876" i="1" s="1"/>
  <c r="C877" i="1"/>
  <c r="E877" i="1" s="1"/>
  <c r="C878" i="1"/>
  <c r="E878" i="1" s="1"/>
  <c r="C879" i="1"/>
  <c r="E879" i="1" s="1"/>
  <c r="C880" i="1"/>
  <c r="E880" i="1" s="1"/>
  <c r="C881" i="1"/>
  <c r="E881" i="1" s="1"/>
  <c r="C882" i="1"/>
  <c r="E882" i="1" s="1"/>
  <c r="C883" i="1"/>
  <c r="E883" i="1" s="1"/>
  <c r="C884" i="1"/>
  <c r="E884" i="1" s="1"/>
  <c r="C885" i="1"/>
  <c r="E885" i="1" s="1"/>
  <c r="C886" i="1"/>
  <c r="E886" i="1" s="1"/>
  <c r="C887" i="1"/>
  <c r="E887" i="1" s="1"/>
  <c r="A882" i="1"/>
  <c r="A883" i="1"/>
  <c r="A884" i="1"/>
  <c r="A885" i="1"/>
  <c r="A886" i="1"/>
  <c r="A887" i="1"/>
  <c r="K882" i="1"/>
  <c r="K883" i="1"/>
  <c r="K884" i="1"/>
  <c r="K885" i="1"/>
  <c r="K886" i="1"/>
  <c r="K887" i="1"/>
  <c r="M882" i="1"/>
  <c r="M883" i="1"/>
  <c r="M884" i="1"/>
  <c r="M885" i="1"/>
  <c r="M886" i="1"/>
  <c r="M887" i="1"/>
  <c r="P882" i="1"/>
  <c r="P883" i="1"/>
  <c r="P884" i="1"/>
  <c r="P885" i="1"/>
  <c r="P886" i="1"/>
  <c r="P887" i="1"/>
  <c r="A876" i="1"/>
  <c r="A877" i="1"/>
  <c r="A878" i="1"/>
  <c r="A879" i="1"/>
  <c r="A880" i="1"/>
  <c r="A881" i="1"/>
  <c r="K876" i="1"/>
  <c r="K877" i="1"/>
  <c r="K878" i="1"/>
  <c r="K879" i="1"/>
  <c r="K880" i="1"/>
  <c r="K881" i="1"/>
  <c r="M876" i="1"/>
  <c r="M877" i="1"/>
  <c r="M878" i="1"/>
  <c r="M879" i="1"/>
  <c r="M880" i="1"/>
  <c r="M881" i="1"/>
  <c r="P876" i="1"/>
  <c r="P877" i="1"/>
  <c r="P878" i="1"/>
  <c r="P879" i="1"/>
  <c r="P880" i="1"/>
  <c r="P881" i="1"/>
  <c r="A873" i="1"/>
  <c r="A874" i="1"/>
  <c r="A875" i="1"/>
  <c r="K873" i="1"/>
  <c r="K874" i="1"/>
  <c r="K875" i="1"/>
  <c r="M873" i="1"/>
  <c r="M874" i="1"/>
  <c r="M875" i="1"/>
  <c r="P873" i="1"/>
  <c r="P874" i="1"/>
  <c r="P875" i="1"/>
  <c r="A871" i="1"/>
  <c r="A872" i="1"/>
  <c r="K871" i="1"/>
  <c r="K872" i="1"/>
  <c r="M871" i="1"/>
  <c r="M872" i="1"/>
  <c r="P871" i="1"/>
  <c r="P872" i="1"/>
  <c r="A870" i="1"/>
  <c r="K870" i="1"/>
  <c r="M870" i="1"/>
  <c r="P870" i="1"/>
  <c r="A867" i="1"/>
  <c r="A868" i="1"/>
  <c r="A903" i="1"/>
  <c r="A869" i="1"/>
  <c r="K867" i="1"/>
  <c r="K868" i="1"/>
  <c r="K903" i="1"/>
  <c r="K869" i="1"/>
  <c r="M867" i="1"/>
  <c r="M868" i="1"/>
  <c r="M903" i="1"/>
  <c r="M869" i="1"/>
  <c r="P867" i="1"/>
  <c r="P868" i="1"/>
  <c r="P903" i="1"/>
  <c r="P869" i="1"/>
  <c r="A901" i="1"/>
  <c r="A902" i="1"/>
  <c r="K901" i="1"/>
  <c r="K902" i="1"/>
  <c r="M901" i="1"/>
  <c r="M902" i="1"/>
  <c r="P901" i="1"/>
  <c r="P902" i="1"/>
  <c r="A859" i="1"/>
  <c r="A860" i="1"/>
  <c r="A861" i="1"/>
  <c r="A862" i="1"/>
  <c r="A863" i="1"/>
  <c r="A864" i="1"/>
  <c r="A865" i="1"/>
  <c r="A866" i="1"/>
  <c r="K859" i="1"/>
  <c r="K860" i="1"/>
  <c r="K861" i="1"/>
  <c r="K862" i="1"/>
  <c r="K863" i="1"/>
  <c r="K864" i="1"/>
  <c r="K865" i="1"/>
  <c r="K866" i="1"/>
  <c r="M859" i="1"/>
  <c r="M860" i="1"/>
  <c r="M861" i="1"/>
  <c r="M862" i="1"/>
  <c r="M863" i="1"/>
  <c r="M864" i="1"/>
  <c r="M865" i="1"/>
  <c r="M866" i="1"/>
  <c r="P859" i="1"/>
  <c r="P860" i="1"/>
  <c r="P861" i="1"/>
  <c r="P862" i="1"/>
  <c r="P863" i="1"/>
  <c r="P864" i="1"/>
  <c r="P865" i="1"/>
  <c r="P866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A858" i="1"/>
  <c r="K858" i="1"/>
  <c r="M858" i="1"/>
  <c r="P858" i="1"/>
  <c r="A851" i="1"/>
  <c r="A900" i="1"/>
  <c r="A852" i="1"/>
  <c r="A853" i="1"/>
  <c r="A854" i="1"/>
  <c r="A855" i="1"/>
  <c r="A856" i="1"/>
  <c r="A752" i="1"/>
  <c r="A857" i="1"/>
  <c r="K851" i="1"/>
  <c r="K900" i="1"/>
  <c r="K852" i="1"/>
  <c r="K853" i="1"/>
  <c r="K854" i="1"/>
  <c r="K855" i="1"/>
  <c r="K856" i="1"/>
  <c r="K752" i="1"/>
  <c r="K857" i="1"/>
  <c r="M851" i="1"/>
  <c r="M900" i="1"/>
  <c r="M852" i="1"/>
  <c r="M853" i="1"/>
  <c r="M854" i="1"/>
  <c r="M855" i="1"/>
  <c r="M856" i="1"/>
  <c r="M752" i="1"/>
  <c r="M857" i="1"/>
  <c r="P851" i="1"/>
  <c r="P900" i="1"/>
  <c r="P852" i="1"/>
  <c r="P853" i="1"/>
  <c r="P854" i="1"/>
  <c r="P855" i="1"/>
  <c r="P856" i="1"/>
  <c r="P752" i="1"/>
  <c r="P857" i="1"/>
  <c r="M301" i="1" l="1"/>
  <c r="P301" i="1"/>
  <c r="P300" i="1" l="1"/>
  <c r="P1291" i="1" s="1"/>
  <c r="K300" i="1"/>
  <c r="K301" i="1"/>
  <c r="E300" i="1" l="1"/>
  <c r="E301" i="1"/>
  <c r="M300" i="1" l="1"/>
  <c r="A301" i="1"/>
  <c r="A300" i="1"/>
</calcChain>
</file>

<file path=xl/comments1.xml><?xml version="1.0" encoding="utf-8"?>
<comments xmlns="http://schemas.openxmlformats.org/spreadsheetml/2006/main">
  <authors>
    <author>INNA</author>
  </authors>
  <commentList>
    <comment ref="E43" authorId="0" shapeId="0">
      <text>
        <r>
          <rPr>
            <sz val="9"/>
            <color indexed="81"/>
            <rFont val="Tahoma"/>
            <family val="2"/>
            <charset val="186"/>
          </rPr>
          <t>Sisaldab investeeringuid, mis eelnevalt on kajastatud teiste tegevuste all.</t>
        </r>
      </text>
    </comment>
    <comment ref="E44" authorId="0" shapeId="0">
      <text>
        <r>
          <rPr>
            <sz val="9"/>
            <color indexed="81"/>
            <rFont val="Tahoma"/>
            <family val="2"/>
            <charset val="186"/>
          </rPr>
          <t>Reservfond määratud 0,5% põhitegevus tulude kogumahust</t>
        </r>
      </text>
    </comment>
    <comment ref="E54" authorId="0" shapeId="0">
      <text>
        <r>
          <rPr>
            <sz val="9"/>
            <color indexed="81"/>
            <rFont val="Tahoma"/>
            <family val="2"/>
            <charset val="186"/>
          </rPr>
          <t xml:space="preserve">Siiani vallavalitsuse all kajastuvad IT kulud suunatud Side kulude alla.
</t>
        </r>
      </text>
    </comment>
    <comment ref="E55" authorId="0" shapeId="0">
      <text>
        <r>
          <rPr>
            <sz val="9"/>
            <color indexed="81"/>
            <rFont val="Tahoma"/>
            <family val="2"/>
            <charset val="186"/>
          </rPr>
          <t>Sisaldab hajaasustuse programmi kulusid valla poolne fin. 35 000€</t>
        </r>
      </text>
    </comment>
    <comment ref="E60" authorId="0" shapeId="0">
      <text>
        <r>
          <rPr>
            <sz val="9"/>
            <color indexed="81"/>
            <rFont val="Tahoma"/>
            <family val="2"/>
            <charset val="186"/>
          </rPr>
          <t>2019. aasta investeering
ning ÜVK kava 200 000€</t>
        </r>
      </text>
    </comment>
    <comment ref="E62" authorId="0" shapeId="0">
      <text>
        <r>
          <rPr>
            <sz val="9"/>
            <color indexed="81"/>
            <rFont val="Tahoma"/>
            <family val="2"/>
            <charset val="186"/>
          </rPr>
          <t xml:space="preserve">Siiani kajastus hajaasustus piirkondade eelarves. Pigem segadust tekitav. 2020.a EA tõstetud muu majanduse eelarvesse.
</t>
        </r>
      </text>
    </comment>
    <comment ref="E64" authorId="0" shapeId="0">
      <text>
        <r>
          <rPr>
            <sz val="9"/>
            <color indexed="81"/>
            <rFont val="Tahoma"/>
            <family val="2"/>
            <charset val="186"/>
          </rPr>
          <t>Arsti transpordi kulu 12*200=2400€;
Rakvere Haigla liikmemaks 32 477€;
Rakvere Haigla MTÜ liikmemaks 2500€;
Vinni Tervisekeskusele helikindlad uksed 5000€</t>
        </r>
      </text>
    </comment>
    <comment ref="E67" authorId="0" shapeId="0">
      <text>
        <r>
          <rPr>
            <sz val="9"/>
            <color indexed="81"/>
            <rFont val="Tahoma"/>
            <family val="2"/>
            <charset val="186"/>
          </rPr>
          <t>Lastelaagrite kulud kajastusid 2019. aastal vaja aja ürituste eelarves</t>
        </r>
      </text>
    </comment>
    <comment ref="E73" authorId="0" shapeId="0">
      <text>
        <r>
          <rPr>
            <sz val="9"/>
            <color indexed="81"/>
            <rFont val="Tahoma"/>
            <family val="2"/>
            <charset val="186"/>
          </rPr>
          <t>Sisaldab raudteepärandi projektis osalemisega seotud kulu 20 000€</t>
        </r>
      </text>
    </comment>
    <comment ref="E83" authorId="0" shapeId="0">
      <text>
        <r>
          <rPr>
            <sz val="9"/>
            <color indexed="81"/>
            <rFont val="Tahoma"/>
            <family val="2"/>
            <charset val="186"/>
          </rPr>
          <t xml:space="preserve">Siiani kajastatud Muu puuetega inimeste sotsiaalse kaitse eelarves
</t>
        </r>
      </text>
    </comment>
    <comment ref="E85" authorId="0" shapeId="0">
      <text>
        <r>
          <rPr>
            <sz val="9"/>
            <color indexed="81"/>
            <rFont val="Tahoma"/>
            <family val="2"/>
            <charset val="186"/>
          </rPr>
          <t>Tõstetud on sotsiaaltranspordi mahtu võrreldes 2019. aastaga ning puuetega inimeste ja nende hooldajate toetust vastavalt 2019.aasta keskmisele kulule</t>
        </r>
      </text>
    </comment>
    <comment ref="E86" authorId="0" shapeId="0">
      <text>
        <r>
          <rPr>
            <sz val="9"/>
            <color indexed="81"/>
            <rFont val="Tahoma"/>
            <family val="2"/>
            <charset val="186"/>
          </rPr>
          <t>Sisaldab Ulvi Hooldekodu 2020.a investeeringut</t>
        </r>
      </text>
    </comment>
    <comment ref="E88" authorId="0" shapeId="0">
      <text>
        <r>
          <rPr>
            <sz val="9"/>
            <color indexed="81"/>
            <rFont val="Tahoma"/>
            <family val="2"/>
            <charset val="186"/>
          </rPr>
          <t>Hinnatõusuga planeeritud palkade tõus + 13's palk igale töötajale.</t>
        </r>
      </text>
    </comment>
    <comment ref="E89" authorId="0" shapeId="0">
      <text>
        <r>
          <rPr>
            <sz val="9"/>
            <color indexed="81"/>
            <rFont val="Tahoma"/>
            <family val="2"/>
            <charset val="186"/>
          </rPr>
          <t>2019. aastal laste kommipakid kajastusid hariduse eelarves 6 000€;
2019.a eelarves puudus matusetoetuse valla poolne omafin. 2020.a tõus seetõttu 26 000€;
Täiendav perede toetus 3 ja enama lapse puhul al. 2020.a 15 000€</t>
        </r>
      </text>
    </comment>
    <comment ref="E91" authorId="0" shapeId="0">
      <text>
        <r>
          <rPr>
            <sz val="9"/>
            <color indexed="81"/>
            <rFont val="Tahoma"/>
            <family val="2"/>
            <charset val="186"/>
          </rPr>
          <t>Suurendatud küttetoetuse eelarvet 3000€ võrra ning
Sotsiaalkorterite remondi eelarvet 20 000€</t>
        </r>
      </text>
    </comment>
    <comment ref="E93" authorId="0" shapeId="0">
      <text>
        <r>
          <rPr>
            <sz val="9"/>
            <color indexed="81"/>
            <rFont val="Tahoma"/>
            <family val="2"/>
            <charset val="186"/>
          </rPr>
          <t>Siiani kajastus kauplusauto muu eakate sotsiaalse kaitse eelarves maht 7440€;
Lisandunud Naiste Varjupaik summas 2200€;
Vältimatu abi mahu kasv 2000€</t>
        </r>
      </text>
    </comment>
  </commentList>
</comments>
</file>

<file path=xl/sharedStrings.xml><?xml version="1.0" encoding="utf-8"?>
<sst xmlns="http://schemas.openxmlformats.org/spreadsheetml/2006/main" count="36131" uniqueCount="2249">
  <si>
    <t>Rakvere Haigla MTÜ liikmemaks</t>
  </si>
  <si>
    <t>Tegevusala</t>
  </si>
  <si>
    <t>Konto</t>
  </si>
  <si>
    <t>Rakvere Haigla AS investeeringute osamakse</t>
  </si>
  <si>
    <t>Põhivara soetus (-)</t>
  </si>
  <si>
    <t>Eelarve eest vastutav</t>
  </si>
  <si>
    <t>Tegevuse kirjeldus</t>
  </si>
  <si>
    <t>Valdkond</t>
  </si>
  <si>
    <t>Tulu/kulu liik</t>
  </si>
  <si>
    <t>Konto grupp</t>
  </si>
  <si>
    <t>Tulu või kulu liigi nimetus</t>
  </si>
  <si>
    <t>Tegevusala nimetus</t>
  </si>
  <si>
    <t>Tegevusala kood</t>
  </si>
  <si>
    <t xml:space="preserve">01111           </t>
  </si>
  <si>
    <t xml:space="preserve"> Valla- ja linnavolikogu</t>
  </si>
  <si>
    <t xml:space="preserve">01112           </t>
  </si>
  <si>
    <t xml:space="preserve"> Valla- ja linnavalitsus</t>
  </si>
  <si>
    <t xml:space="preserve">01114           </t>
  </si>
  <si>
    <t xml:space="preserve"> Kohaliku omavalitsuse üksuse reservfond</t>
  </si>
  <si>
    <t xml:space="preserve">01600           </t>
  </si>
  <si>
    <t xml:space="preserve"> Muud üldised valitsussektori teenused</t>
  </si>
  <si>
    <t xml:space="preserve">01700           </t>
  </si>
  <si>
    <t xml:space="preserve"> Valitsussektori võla teenindamine</t>
  </si>
  <si>
    <t xml:space="preserve">01800           </t>
  </si>
  <si>
    <t xml:space="preserve"> Üldiseloomuga ülekanded valitsussektoris</t>
  </si>
  <si>
    <t xml:space="preserve">02500           </t>
  </si>
  <si>
    <t xml:space="preserve"> Muu riigikaitse</t>
  </si>
  <si>
    <t xml:space="preserve">03200           </t>
  </si>
  <si>
    <t xml:space="preserve"> Päästeteenused</t>
  </si>
  <si>
    <t xml:space="preserve">03600           </t>
  </si>
  <si>
    <t xml:space="preserve"> Muu avalik kord ja julgeolek, sh haldus</t>
  </si>
  <si>
    <t xml:space="preserve">04510           </t>
  </si>
  <si>
    <t xml:space="preserve">04600           </t>
  </si>
  <si>
    <t xml:space="preserve"> Side</t>
  </si>
  <si>
    <t xml:space="preserve">04900           </t>
  </si>
  <si>
    <t xml:space="preserve"> Muu majandus (sh majanduse haldus)</t>
  </si>
  <si>
    <t xml:space="preserve">05100           </t>
  </si>
  <si>
    <t xml:space="preserve"> Jäätmekäitlus</t>
  </si>
  <si>
    <t xml:space="preserve">05600           </t>
  </si>
  <si>
    <t xml:space="preserve">06300           </t>
  </si>
  <si>
    <t xml:space="preserve">06400           </t>
  </si>
  <si>
    <t xml:space="preserve">07600           </t>
  </si>
  <si>
    <t xml:space="preserve"> Muu tervishoid, sh tervishoiu haldamine</t>
  </si>
  <si>
    <t xml:space="preserve">08109           </t>
  </si>
  <si>
    <t xml:space="preserve"> Vaba aja üritused</t>
  </si>
  <si>
    <t xml:space="preserve">08300           </t>
  </si>
  <si>
    <t xml:space="preserve"> Ringhäälingu- ja kirjastamisteenused</t>
  </si>
  <si>
    <t xml:space="preserve">08600           </t>
  </si>
  <si>
    <t xml:space="preserve"> Muu vaba aeg, kultuur, religioon, sh haldus</t>
  </si>
  <si>
    <t xml:space="preserve">09220           </t>
  </si>
  <si>
    <t xml:space="preserve"> Põhi- ja üldkeskhariduse kaudsed kulud</t>
  </si>
  <si>
    <t xml:space="preserve">09510           </t>
  </si>
  <si>
    <t xml:space="preserve"> Noorte huviharidus ja huvitegevus</t>
  </si>
  <si>
    <t xml:space="preserve">09600           </t>
  </si>
  <si>
    <t xml:space="preserve"> Koolitransport</t>
  </si>
  <si>
    <t xml:space="preserve">10120           </t>
  </si>
  <si>
    <t xml:space="preserve"> Puuetega inimeste sotsiaalhoolekandeasutused</t>
  </si>
  <si>
    <t xml:space="preserve">10500           </t>
  </si>
  <si>
    <t xml:space="preserve"> Töötute sotsiaalne kaitse</t>
  </si>
  <si>
    <t xml:space="preserve">10600           </t>
  </si>
  <si>
    <t xml:space="preserve"> Eluasemeteenused sotsiaalsetele riskirühmadele</t>
  </si>
  <si>
    <t xml:space="preserve">10701           </t>
  </si>
  <si>
    <t xml:space="preserve"> Riiklik toimetulekutoetus</t>
  </si>
  <si>
    <t xml:space="preserve">10702           </t>
  </si>
  <si>
    <t xml:space="preserve"> Muu sotsiaalsete riskirühmade kaitse</t>
  </si>
  <si>
    <t xml:space="preserve">10900           </t>
  </si>
  <si>
    <t xml:space="preserve"> Muu sotsiaalne kaitse, sh sotsiaalse kaitse haldus</t>
  </si>
  <si>
    <t>Tegevusala koondnimetus</t>
  </si>
  <si>
    <t>Üldised valitsussektori teenused</t>
  </si>
  <si>
    <t>Avalik kord ja julgeolek</t>
  </si>
  <si>
    <t>Riigikaitse</t>
  </si>
  <si>
    <t>Majandus</t>
  </si>
  <si>
    <t>Keskkonnakaitse</t>
  </si>
  <si>
    <t>Elamu- ja kommunaalmajandus</t>
  </si>
  <si>
    <t>Haridus</t>
  </si>
  <si>
    <t>Sotsiaalne kaitse</t>
  </si>
  <si>
    <t>Vabaaeg, kultuur ja religioon</t>
  </si>
  <si>
    <t>Tulu/kulu liik2</t>
  </si>
  <si>
    <t>Füüsilise isiku tulumaks</t>
  </si>
  <si>
    <t>Maamaks</t>
  </si>
  <si>
    <t>Tulud kaupade ja teenuste müügist</t>
  </si>
  <si>
    <t>Tasandusfond</t>
  </si>
  <si>
    <t>Toetusfond</t>
  </si>
  <si>
    <t>Kohaliku tähtsusega maardlate kaevandamisõiguse tasu</t>
  </si>
  <si>
    <t>Põhitegevuse tulu</t>
  </si>
  <si>
    <t>Põhitegevuse kulu</t>
  </si>
  <si>
    <t>Põhivara müük (+)</t>
  </si>
  <si>
    <t>Investeerimistegevus</t>
  </si>
  <si>
    <t>Finantstulud (+)</t>
  </si>
  <si>
    <t>Finantskulud (-)</t>
  </si>
  <si>
    <t>Tervishoid</t>
  </si>
  <si>
    <t>Konto nimetus</t>
  </si>
  <si>
    <t>Rajatiste ja hoonete soetamine ja renoveerimine</t>
  </si>
  <si>
    <t>Maa soetamine</t>
  </si>
  <si>
    <t>Masinate ja seadmete, sh transpordivahendite soetamine</t>
  </si>
  <si>
    <t>Info- ja kommunikatsioonitehnoliigia seadmete seotamine</t>
  </si>
  <si>
    <t>Riigilõivud</t>
  </si>
  <si>
    <t>Kaupade ja teenuste müük</t>
  </si>
  <si>
    <t>Laekumised haridusasutuste majandustegevusest</t>
  </si>
  <si>
    <t>Lasteiatasu - õppekulu</t>
  </si>
  <si>
    <t>Administreerimiskulud</t>
  </si>
  <si>
    <t>Lähetuskulud</t>
  </si>
  <si>
    <t>Koolituskulud</t>
  </si>
  <si>
    <t>Kohustuste võtmine (+)</t>
  </si>
  <si>
    <t>Finantseerimistegevus</t>
  </si>
  <si>
    <t>Kohustuste tasumine (-)</t>
  </si>
  <si>
    <t>Kinnistute, hoonete ja ruumide majandamiskulud</t>
  </si>
  <si>
    <t>Intressi-, viivise- ja kohustistasukulud võetud laenudelt</t>
  </si>
  <si>
    <t>Intressitulud</t>
  </si>
  <si>
    <t>Rajatiste majandamiskulud</t>
  </si>
  <si>
    <t>Info- ja kommunikatsioonitehnoliigised kulud</t>
  </si>
  <si>
    <t>Sõidukite ülalpidamise kulud</t>
  </si>
  <si>
    <t>Inventari kulud, v.a infotehnoloogia ja kaitseotstarbelised kulud</t>
  </si>
  <si>
    <t>Masinate ja seadmete ülalpidamise kulud, v.a. infotehnoloogilised kulud</t>
  </si>
  <si>
    <t>Toiduained ja toitlustusteenused</t>
  </si>
  <si>
    <t>Meditsiinikulud ja hügieenitarbed</t>
  </si>
  <si>
    <t>Teavikud ja kunstiesemed</t>
  </si>
  <si>
    <t>Õppevahendid</t>
  </si>
  <si>
    <t>Kommunikatsiooni-, kultuuri- ja vaba aja sisustamise kulud</t>
  </si>
  <si>
    <t>Sotsiaalteenused</t>
  </si>
  <si>
    <t>Eri- ja vormiriietus</t>
  </si>
  <si>
    <t>Mitmesugused majanduskulud</t>
  </si>
  <si>
    <t>Töötasud</t>
  </si>
  <si>
    <t xml:space="preserve"> Avaliku teenistuse ametnike töötasu</t>
  </si>
  <si>
    <t>Töötajate töötasud</t>
  </si>
  <si>
    <t>Töötasud võlaõiguslike lepingute alusel</t>
  </si>
  <si>
    <t>Muude isikute töötasud</t>
  </si>
  <si>
    <t>Tööjõukuludega kaasnevad maksud ja sotsiaalkindlustusmaksed</t>
  </si>
  <si>
    <t>Sihtotstarbelised eraldised jooksvateks kuludeks</t>
  </si>
  <si>
    <t>Sihtotstarbelised eraldised muudele residentidele</t>
  </si>
  <si>
    <t>Maksu-, riigilõivu- ja trahvikulud</t>
  </si>
  <si>
    <t>Muud tegevuskulud</t>
  </si>
  <si>
    <t>Sihtotstarbelised eraldised põhivara soetamiseks muudele residentidele</t>
  </si>
  <si>
    <t>Sihtotstarbelised eraldised põhivara soetamiseks mitteresidentidele</t>
  </si>
  <si>
    <t>Laenude tasumine</t>
  </si>
  <si>
    <t>Tulu/kulu liigi grupp</t>
  </si>
  <si>
    <t>Maa müük</t>
  </si>
  <si>
    <t>Rajatiste ja hoonete müük</t>
  </si>
  <si>
    <t>Muude materiaalsete põhivarade müük</t>
  </si>
  <si>
    <t>Laenude võtmine muudelt residentidelt</t>
  </si>
  <si>
    <t>Toimetulekutoetus ja täiendavad sotsiaaltoetused</t>
  </si>
  <si>
    <t>Õppetoetused</t>
  </si>
  <si>
    <t>Puudega lapse toetus</t>
  </si>
  <si>
    <t>Puudega inimese hooldaja toetus</t>
  </si>
  <si>
    <t>Muud toetused puuetega inimestele ja nende hooldajatele</t>
  </si>
  <si>
    <t>Erijuhtudel riigi poolt makstavad maksud</t>
  </si>
  <si>
    <t>Ravitoetused</t>
  </si>
  <si>
    <t>Toetused eakatele</t>
  </si>
  <si>
    <t>Muud sotsiaalabitoetused ja hüvitised</t>
  </si>
  <si>
    <t>Sünnitoetus</t>
  </si>
  <si>
    <t>Muud peretoetused</t>
  </si>
  <si>
    <t>Peretoetused</t>
  </si>
  <si>
    <t>Saastetasud</t>
  </si>
  <si>
    <t>Tasu vee erikasutusest</t>
  </si>
  <si>
    <t>Valitsussektorisisesed toetused</t>
  </si>
  <si>
    <t>Mittesihtotstarbelised toetused</t>
  </si>
  <si>
    <t>Sihtotstarbelised toetused jooksvateks kuludeks</t>
  </si>
  <si>
    <t>Õpilaskoht</t>
  </si>
  <si>
    <t>Lasteaia toiduraha</t>
  </si>
  <si>
    <t>Liikmemaksud</t>
  </si>
  <si>
    <t>Kontode koondnimetus</t>
  </si>
  <si>
    <t>Maksutulud</t>
  </si>
  <si>
    <t>Saadavad toetused tegevuskuludeks</t>
  </si>
  <si>
    <t>Muud tegevustulud</t>
  </si>
  <si>
    <t>Antavad toetused tegevuskuludeks</t>
  </si>
  <si>
    <t>Märkused</t>
  </si>
  <si>
    <t>Ferdinand von Wrangelli nim Roela Lasteaed-Põhikool</t>
  </si>
  <si>
    <t>telefonid ja internet</t>
  </si>
  <si>
    <t>95 x 12</t>
  </si>
  <si>
    <t>postikulu, kuulutused</t>
  </si>
  <si>
    <t>tahmakassetid (värviline, õp.tuba, kantselei, direktor, LA)</t>
  </si>
  <si>
    <t>veebimajutus</t>
  </si>
  <si>
    <t>kantseleitarbed (kalendrid, pastapl., liim jne)</t>
  </si>
  <si>
    <t>printeripaber</t>
  </si>
  <si>
    <t>20 karpi</t>
  </si>
  <si>
    <t>külalised</t>
  </si>
  <si>
    <t>koolituste plaan</t>
  </si>
  <si>
    <t>küte</t>
  </si>
  <si>
    <t>elekter</t>
  </si>
  <si>
    <t>vesi + kanalisatsioon + san tehnilised tööd</t>
  </si>
  <si>
    <t>prügi</t>
  </si>
  <si>
    <t>14 x 20,50 + 12 x16,80 (konteineri laenutus)</t>
  </si>
  <si>
    <t>valvesignalisatsioon</t>
  </si>
  <si>
    <t>4 x 153.40 + materjalid + G4S (200.-)</t>
  </si>
  <si>
    <t>el.käiduleping</t>
  </si>
  <si>
    <t>48 x 12 + materjalid</t>
  </si>
  <si>
    <t>söökla ventilatsiooni puhastus</t>
  </si>
  <si>
    <t>1 kord aastas kohustuslik</t>
  </si>
  <si>
    <t>söökla uhteproovid, vee analüüsid</t>
  </si>
  <si>
    <t>2 x 53</t>
  </si>
  <si>
    <t>söökla kahjuritõrje</t>
  </si>
  <si>
    <t>4 x 23.01</t>
  </si>
  <si>
    <t>tulekustutite kontroll</t>
  </si>
  <si>
    <t>23 x 4,90</t>
  </si>
  <si>
    <t>korrashoiuvahendid</t>
  </si>
  <si>
    <t>WC paber, puhastusvahendid jne</t>
  </si>
  <si>
    <t>pisiremont (pahtel, värv jne)</t>
  </si>
  <si>
    <t>bussi liikluskindlustus</t>
  </si>
  <si>
    <t>kütus</t>
  </si>
  <si>
    <t>remont ja hooldus</t>
  </si>
  <si>
    <t>isikliku sõduauto kasutus</t>
  </si>
  <si>
    <t>V. Klemmer (10 x 64)</t>
  </si>
  <si>
    <t>M. Mirt (10 x 64)</t>
  </si>
  <si>
    <t>H. Supper (10 x 64)</t>
  </si>
  <si>
    <t>U. Kruusimägi (10 x 64)</t>
  </si>
  <si>
    <t>S. Kalme (11 x 64)</t>
  </si>
  <si>
    <t>klaverihäälestamine</t>
  </si>
  <si>
    <t xml:space="preserve"> klaverit</t>
  </si>
  <si>
    <t>seadmete remondid</t>
  </si>
  <si>
    <t>sülearvuti (2 tk)</t>
  </si>
  <si>
    <t>õpetajatele vanade asendamiseks</t>
  </si>
  <si>
    <t>ekraan + projektor(1 tk)</t>
  </si>
  <si>
    <t>aula</t>
  </si>
  <si>
    <t xml:space="preserve">toiduained  </t>
  </si>
  <si>
    <t>töötervishoiuarst</t>
  </si>
  <si>
    <t>3 töötajat</t>
  </si>
  <si>
    <t>plaastrid, sidemed jne</t>
  </si>
  <si>
    <t>õpikud</t>
  </si>
  <si>
    <t>töövihikud</t>
  </si>
  <si>
    <t>tellimislehti pole veel</t>
  </si>
  <si>
    <t>õpetajate tööraamatud, CD</t>
  </si>
  <si>
    <t>värvil.paber,joonistuspaber,värvid,mänguasjad</t>
  </si>
  <si>
    <t>sporditarbed</t>
  </si>
  <si>
    <t>pallid, kõrgushüppe postid, tõkked</t>
  </si>
  <si>
    <t>poiste tööõpetus</t>
  </si>
  <si>
    <t>kruvid, naelad, vineerisaelehed,liivapaber</t>
  </si>
  <si>
    <t>kodundus</t>
  </si>
  <si>
    <t>käsitöövahendid, toiduained</t>
  </si>
  <si>
    <t>õppeköök</t>
  </si>
  <si>
    <t>köögi tarvikud (pannid, kausid, noad)</t>
  </si>
  <si>
    <t>ATV bensiin suusaradade hoolduseks ja korrashoid</t>
  </si>
  <si>
    <t>lõpetamine (kingitused lõpetajatele)</t>
  </si>
  <si>
    <t>kool + LA</t>
  </si>
  <si>
    <t>kooli logoga meened kingitusteks</t>
  </si>
  <si>
    <t>õpilaste premeerimine saavutuste puhul</t>
  </si>
  <si>
    <t>lilled ürituste dekoreerimiseks</t>
  </si>
  <si>
    <t>spordipäevade auhinnad</t>
  </si>
  <si>
    <t>õppeekskursioon õpetajatele</t>
  </si>
  <si>
    <t>e-kool</t>
  </si>
  <si>
    <t>12 x 33,33</t>
  </si>
  <si>
    <t>eliis tarkvara</t>
  </si>
  <si>
    <t>aasta</t>
  </si>
  <si>
    <t>arvutiprogrammid, hooldused</t>
  </si>
  <si>
    <t>viiruse tõrje</t>
  </si>
  <si>
    <t>haridusserver</t>
  </si>
  <si>
    <t xml:space="preserve">0911007         </t>
  </si>
  <si>
    <t>Tegevusala nimetus2</t>
  </si>
  <si>
    <t xml:space="preserve">0921203         </t>
  </si>
  <si>
    <t xml:space="preserve">0451001         </t>
  </si>
  <si>
    <t xml:space="preserve"> Lumetõrje</t>
  </si>
  <si>
    <t xml:space="preserve">0451002         </t>
  </si>
  <si>
    <t xml:space="preserve"> Teede remont</t>
  </si>
  <si>
    <t xml:space="preserve">0451003         </t>
  </si>
  <si>
    <t xml:space="preserve"> Muud (märgid jne)</t>
  </si>
  <si>
    <t xml:space="preserve">0660501         </t>
  </si>
  <si>
    <t xml:space="preserve">0660502         </t>
  </si>
  <si>
    <t xml:space="preserve"> Rägavere halduspiirkond</t>
  </si>
  <si>
    <t xml:space="preserve">0660503         </t>
  </si>
  <si>
    <t xml:space="preserve"> Roela halduspiirkond</t>
  </si>
  <si>
    <t xml:space="preserve">0660504         </t>
  </si>
  <si>
    <t xml:space="preserve"> Tudu halduspiirkond</t>
  </si>
  <si>
    <t xml:space="preserve">0660505         </t>
  </si>
  <si>
    <t xml:space="preserve"> Viru Jaagupi halduspiirkond</t>
  </si>
  <si>
    <t xml:space="preserve">0660506         </t>
  </si>
  <si>
    <t xml:space="preserve"> Vinni-Pajusti halduspiirkond</t>
  </si>
  <si>
    <t xml:space="preserve">0660507         </t>
  </si>
  <si>
    <t xml:space="preserve"> Saunad</t>
  </si>
  <si>
    <t xml:space="preserve">0660508         </t>
  </si>
  <si>
    <t xml:space="preserve"> Kalmistud</t>
  </si>
  <si>
    <t xml:space="preserve">0660509         </t>
  </si>
  <si>
    <t xml:space="preserve"> Hulkuvad loomad</t>
  </si>
  <si>
    <t xml:space="preserve">0810201         </t>
  </si>
  <si>
    <t xml:space="preserve"> Vinni Spordikompleks</t>
  </si>
  <si>
    <t xml:space="preserve">0810202         </t>
  </si>
  <si>
    <t xml:space="preserve"> Muuga Spordihoone</t>
  </si>
  <si>
    <t xml:space="preserve">0810203         </t>
  </si>
  <si>
    <t xml:space="preserve"> Staadion</t>
  </si>
  <si>
    <t xml:space="preserve">0810204         </t>
  </si>
  <si>
    <t xml:space="preserve">0810205         </t>
  </si>
  <si>
    <t xml:space="preserve">0810207         </t>
  </si>
  <si>
    <t xml:space="preserve"> Tervise edendamine</t>
  </si>
  <si>
    <t xml:space="preserve">0810701         </t>
  </si>
  <si>
    <t xml:space="preserve">0810702         </t>
  </si>
  <si>
    <t xml:space="preserve"> Toetused-MTÜ</t>
  </si>
  <si>
    <t xml:space="preserve">0810703         </t>
  </si>
  <si>
    <t xml:space="preserve"> Projektide kaasfinantseerimine</t>
  </si>
  <si>
    <t xml:space="preserve">0810903         </t>
  </si>
  <si>
    <t xml:space="preserve"> Valla üritused</t>
  </si>
  <si>
    <t xml:space="preserve">0810904         </t>
  </si>
  <si>
    <t xml:space="preserve"> Toetused MTÜ-le</t>
  </si>
  <si>
    <t xml:space="preserve">0810905         </t>
  </si>
  <si>
    <t xml:space="preserve"> Kergliiklusteed</t>
  </si>
  <si>
    <t xml:space="preserve">0810906         </t>
  </si>
  <si>
    <t xml:space="preserve"> laste laager</t>
  </si>
  <si>
    <t xml:space="preserve">0810907         </t>
  </si>
  <si>
    <t xml:space="preserve"> Vilde kirjanduspreemia</t>
  </si>
  <si>
    <t xml:space="preserve">0820101         </t>
  </si>
  <si>
    <t xml:space="preserve"> Vinni Raamatukogu</t>
  </si>
  <si>
    <t xml:space="preserve">0820102         </t>
  </si>
  <si>
    <t xml:space="preserve"> Viru-Jaagupi Raamatukogu</t>
  </si>
  <si>
    <t xml:space="preserve">0820103         </t>
  </si>
  <si>
    <t xml:space="preserve"> Roela Raamatukogu</t>
  </si>
  <si>
    <t xml:space="preserve">0820104         </t>
  </si>
  <si>
    <t xml:space="preserve"> Tudu Raamatukogu</t>
  </si>
  <si>
    <t xml:space="preserve">0820105         </t>
  </si>
  <si>
    <t xml:space="preserve"> Ulvi Raamatukogu</t>
  </si>
  <si>
    <t xml:space="preserve">0820106         </t>
  </si>
  <si>
    <t xml:space="preserve"> Laekvere Raamatukogu</t>
  </si>
  <si>
    <t xml:space="preserve">0820107         </t>
  </si>
  <si>
    <t xml:space="preserve"> Muuga Raamatukogu</t>
  </si>
  <si>
    <t xml:space="preserve">0820108         </t>
  </si>
  <si>
    <t xml:space="preserve"> Venevere Raamatukogu</t>
  </si>
  <si>
    <t xml:space="preserve">0820201         </t>
  </si>
  <si>
    <t xml:space="preserve"> Kadila Seltsimaja</t>
  </si>
  <si>
    <t xml:space="preserve">0820202         </t>
  </si>
  <si>
    <t xml:space="preserve"> Pajusti klubi</t>
  </si>
  <si>
    <t xml:space="preserve">0820203         </t>
  </si>
  <si>
    <t xml:space="preserve"> Roela Rahvamaja</t>
  </si>
  <si>
    <t xml:space="preserve">0820204         </t>
  </si>
  <si>
    <t xml:space="preserve"> Tudu Rahvamaja</t>
  </si>
  <si>
    <t xml:space="preserve">0820205         </t>
  </si>
  <si>
    <t xml:space="preserve">0820206         </t>
  </si>
  <si>
    <t xml:space="preserve"> Venevere Seltsimaja</t>
  </si>
  <si>
    <t xml:space="preserve">0820207         </t>
  </si>
  <si>
    <t xml:space="preserve"> Ulvi Klubi</t>
  </si>
  <si>
    <t xml:space="preserve">0911001         </t>
  </si>
  <si>
    <t xml:space="preserve"> Vinni Lasteaed</t>
  </si>
  <si>
    <t xml:space="preserve">0911002         </t>
  </si>
  <si>
    <t xml:space="preserve"> Pajusti Lasteaed</t>
  </si>
  <si>
    <t xml:space="preserve">0911003         </t>
  </si>
  <si>
    <t xml:space="preserve"> Kulina Lasteaed</t>
  </si>
  <si>
    <t xml:space="preserve">0911004         </t>
  </si>
  <si>
    <t xml:space="preserve"> Tudu Lasteaed</t>
  </si>
  <si>
    <t xml:space="preserve">0911005         </t>
  </si>
  <si>
    <t xml:space="preserve"> Ulvi Lasteaed</t>
  </si>
  <si>
    <t xml:space="preserve">0911006         </t>
  </si>
  <si>
    <t xml:space="preserve"> Laekvere Lasteaed</t>
  </si>
  <si>
    <t xml:space="preserve"> Roela Lasteaed</t>
  </si>
  <si>
    <t xml:space="preserve">0911008         </t>
  </si>
  <si>
    <t xml:space="preserve"> Kohatasud</t>
  </si>
  <si>
    <t xml:space="preserve">0921201         </t>
  </si>
  <si>
    <t xml:space="preserve">0921202         </t>
  </si>
  <si>
    <t xml:space="preserve"> Roela kool</t>
  </si>
  <si>
    <t xml:space="preserve">0921204         </t>
  </si>
  <si>
    <t xml:space="preserve"> Tudu kool</t>
  </si>
  <si>
    <t xml:space="preserve">0921205         </t>
  </si>
  <si>
    <t xml:space="preserve"> Vinni pajusti Gümnaasium</t>
  </si>
  <si>
    <t xml:space="preserve">0921206         </t>
  </si>
  <si>
    <t xml:space="preserve">0921207         </t>
  </si>
  <si>
    <t xml:space="preserve"> Põlula kool</t>
  </si>
  <si>
    <t xml:space="preserve">0921301         </t>
  </si>
  <si>
    <t xml:space="preserve">0921302         </t>
  </si>
  <si>
    <t xml:space="preserve">0922001         </t>
  </si>
  <si>
    <t xml:space="preserve">0960201         </t>
  </si>
  <si>
    <t xml:space="preserve"> Roela Õpilaskodu</t>
  </si>
  <si>
    <t xml:space="preserve">0980001         </t>
  </si>
  <si>
    <t xml:space="preserve"> Huvitegevus</t>
  </si>
  <si>
    <t xml:space="preserve">0980002         </t>
  </si>
  <si>
    <t xml:space="preserve"> Üritused</t>
  </si>
  <si>
    <t xml:space="preserve">0980003         </t>
  </si>
  <si>
    <t xml:space="preserve"> Haldus</t>
  </si>
  <si>
    <t xml:space="preserve">1012101         </t>
  </si>
  <si>
    <t xml:space="preserve">1012102         </t>
  </si>
  <si>
    <t xml:space="preserve"> transport</t>
  </si>
  <si>
    <t xml:space="preserve">1012103         </t>
  </si>
  <si>
    <t xml:space="preserve"> Hooldajad</t>
  </si>
  <si>
    <t xml:space="preserve">1012104         </t>
  </si>
  <si>
    <t xml:space="preserve">1012105         </t>
  </si>
  <si>
    <t xml:space="preserve"> Erivajadustega inimeste tugiteenus</t>
  </si>
  <si>
    <t xml:space="preserve">1012106         </t>
  </si>
  <si>
    <t xml:space="preserve">101212          </t>
  </si>
  <si>
    <t xml:space="preserve"> Hooldajatoetused</t>
  </si>
  <si>
    <t xml:space="preserve">1020001         </t>
  </si>
  <si>
    <t xml:space="preserve"> Tammiku Kodu</t>
  </si>
  <si>
    <t xml:space="preserve">1020002         </t>
  </si>
  <si>
    <t xml:space="preserve"> Ulvi Hooldekodu</t>
  </si>
  <si>
    <t xml:space="preserve">1020003         </t>
  </si>
  <si>
    <t xml:space="preserve"> Muud asutused</t>
  </si>
  <si>
    <t xml:space="preserve">1020004         </t>
  </si>
  <si>
    <t xml:space="preserve"> Vinni Päevakeskus</t>
  </si>
  <si>
    <t xml:space="preserve">1020101         </t>
  </si>
  <si>
    <t xml:space="preserve">1020102         </t>
  </si>
  <si>
    <t xml:space="preserve">1020103         </t>
  </si>
  <si>
    <t xml:space="preserve"> Juubeli toetused</t>
  </si>
  <si>
    <t xml:space="preserve">1040001         </t>
  </si>
  <si>
    <t xml:space="preserve"> Vinni Perekodu</t>
  </si>
  <si>
    <t xml:space="preserve">1040002         </t>
  </si>
  <si>
    <t xml:space="preserve">1040202         </t>
  </si>
  <si>
    <t xml:space="preserve"> Matusetoetus</t>
  </si>
  <si>
    <t xml:space="preserve">1040203         </t>
  </si>
  <si>
    <t xml:space="preserve"> Ühekordsed toetused</t>
  </si>
  <si>
    <t xml:space="preserve">1040204         </t>
  </si>
  <si>
    <t xml:space="preserve">1040205         </t>
  </si>
  <si>
    <t xml:space="preserve">1040207         </t>
  </si>
  <si>
    <t xml:space="preserve">1040208         </t>
  </si>
  <si>
    <t xml:space="preserve"> Muud toetused</t>
  </si>
  <si>
    <t>Row Labels</t>
  </si>
  <si>
    <t>Grand Total</t>
  </si>
  <si>
    <t xml:space="preserve">2020. EA </t>
  </si>
  <si>
    <t xml:space="preserve">Sum of 2020. EA </t>
  </si>
  <si>
    <t>bürootarbed</t>
  </si>
  <si>
    <t>tahm</t>
  </si>
  <si>
    <t>trükised</t>
  </si>
  <si>
    <t>post</t>
  </si>
  <si>
    <t>telefon</t>
  </si>
  <si>
    <t>mobiiltel</t>
  </si>
  <si>
    <t>kingitused</t>
  </si>
  <si>
    <t>esindamine</t>
  </si>
  <si>
    <t>kuulutused</t>
  </si>
  <si>
    <t>Koolitused</t>
  </si>
  <si>
    <t>el.käitlus</t>
  </si>
  <si>
    <t>korrashoid</t>
  </si>
  <si>
    <t>korstnapühkija</t>
  </si>
  <si>
    <t>vesi kanalisatsioon</t>
  </si>
  <si>
    <t>rem tööd</t>
  </si>
  <si>
    <t>kindlustus</t>
  </si>
  <si>
    <t>voodipesu</t>
  </si>
  <si>
    <t>isikliku sõiduki kasutamine</t>
  </si>
  <si>
    <t>Kooli bussi haldamine</t>
  </si>
  <si>
    <t>programmid</t>
  </si>
  <si>
    <t>soetamine</t>
  </si>
  <si>
    <t>andmeside</t>
  </si>
  <si>
    <t>rent</t>
  </si>
  <si>
    <t>hooldus ja remont</t>
  </si>
  <si>
    <t>esmaabi</t>
  </si>
  <si>
    <t>hügieenivahendid</t>
  </si>
  <si>
    <t>tervisekontroll</t>
  </si>
  <si>
    <t>prillid</t>
  </si>
  <si>
    <t>õpikud, töövihikud</t>
  </si>
  <si>
    <t>õppematerjalid</t>
  </si>
  <si>
    <t>mänguasjad</t>
  </si>
  <si>
    <t>ühisüritused</t>
  </si>
  <si>
    <t>transport</t>
  </si>
  <si>
    <t>etendused, kontserdid</t>
  </si>
  <si>
    <t>osalustasud</t>
  </si>
  <si>
    <t>aastapäevad</t>
  </si>
  <si>
    <t>ohutusvahendite kontroll</t>
  </si>
  <si>
    <t>Vinni Päevakeskus</t>
  </si>
  <si>
    <t>tahm, paber</t>
  </si>
  <si>
    <t>ajakirjad (Tervendaja ja 60+)</t>
  </si>
  <si>
    <t>lilled</t>
  </si>
  <si>
    <t>ettearvamatud</t>
  </si>
  <si>
    <t>Isikliku sõiduauto komp.</t>
  </si>
  <si>
    <t>vesi ja kanalisatsioon</t>
  </si>
  <si>
    <t>puhastus vahendid</t>
  </si>
  <si>
    <t>eakate päev, jõulud ja kevadpidu</t>
  </si>
  <si>
    <t>käeline tegevus (materjalid)</t>
  </si>
  <si>
    <t>mälutreening 2xkuus, 16x40,00</t>
  </si>
  <si>
    <t>võimlemine 4x kuus, 30x 45,00</t>
  </si>
  <si>
    <t>laulmine</t>
  </si>
  <si>
    <t>Roela Raamatukogu</t>
  </si>
  <si>
    <t>paber,tahm</t>
  </si>
  <si>
    <t>arvutiprogrammide hooldused</t>
  </si>
  <si>
    <t>printer</t>
  </si>
  <si>
    <t>diivan</t>
  </si>
  <si>
    <t>liigieraldajad</t>
  </si>
  <si>
    <t>raamatud</t>
  </si>
  <si>
    <t>perioodika</t>
  </si>
  <si>
    <t>Üritused lastele</t>
  </si>
  <si>
    <t>üritused täiskasvanutele</t>
  </si>
  <si>
    <t>Raamatukogud</t>
  </si>
  <si>
    <t>(All)</t>
  </si>
  <si>
    <t>Sotsiaalosakond</t>
  </si>
  <si>
    <t>täiendav vajadus</t>
  </si>
  <si>
    <t>Ametikoha, koosseisukoha nimetus</t>
  </si>
  <si>
    <t>Lisatasu/ aastas/kuus</t>
  </si>
  <si>
    <t>Palgamäär</t>
  </si>
  <si>
    <t>Töötasu/kuus</t>
  </si>
  <si>
    <t>psüholoog</t>
  </si>
  <si>
    <t>eripedagoog/logopeed</t>
  </si>
  <si>
    <t>huvijuht</t>
  </si>
  <si>
    <t>juhiabi</t>
  </si>
  <si>
    <t xml:space="preserve">ringijuhid </t>
  </si>
  <si>
    <t>lasteaia abiõpetajad</t>
  </si>
  <si>
    <t>lasteaia õpetajad</t>
  </si>
  <si>
    <t>LA logopeed</t>
  </si>
  <si>
    <t>LA muusikaõpetaja</t>
  </si>
  <si>
    <t>LA liikumisõpetaja</t>
  </si>
  <si>
    <t>lasteaia abitööline</t>
  </si>
  <si>
    <t>majahoidja</t>
  </si>
  <si>
    <t>abitööline</t>
  </si>
  <si>
    <t>remonditööline</t>
  </si>
  <si>
    <t>koristajad</t>
  </si>
  <si>
    <t>bussijuht</t>
  </si>
  <si>
    <t>kokk</t>
  </si>
  <si>
    <t>ÕK toitlustamine (9 kuud)</t>
  </si>
  <si>
    <t>köögi abitööline</t>
  </si>
  <si>
    <t>perenaine</t>
  </si>
  <si>
    <t>Maksud</t>
  </si>
  <si>
    <t>juhataja</t>
  </si>
  <si>
    <t>Tegevusala alanimetus</t>
  </si>
  <si>
    <t>Finantsosakond</t>
  </si>
  <si>
    <t>finantsjuht</t>
  </si>
  <si>
    <t>pearaamatupidaja</t>
  </si>
  <si>
    <t>raamatupidaja</t>
  </si>
  <si>
    <t>Audiitorteenus</t>
  </si>
  <si>
    <t>Trükised</t>
  </si>
  <si>
    <t>raamatupidamisuudised jms</t>
  </si>
  <si>
    <t>Omniva arvekeskus</t>
  </si>
  <si>
    <t>Pmen hooldus</t>
  </si>
  <si>
    <t>Koolituslähetuse sõidukulud</t>
  </si>
  <si>
    <t>600x12 kuud</t>
  </si>
  <si>
    <t>240x12 kuud</t>
  </si>
  <si>
    <t>1 inx375€</t>
  </si>
  <si>
    <t>tahmakasssetid, toonerid, tindikasseid</t>
  </si>
  <si>
    <t>Muuga Spordihoone</t>
  </si>
  <si>
    <t>Elektri kulu</t>
  </si>
  <si>
    <t>elektrikäitlemislepingu kulu</t>
  </si>
  <si>
    <t>korrashoiu- ja pisiremondi materjalid</t>
  </si>
  <si>
    <t>korrashoiu- ja prügioveoteenused</t>
  </si>
  <si>
    <t>Vesi- ja kanalisatsioon</t>
  </si>
  <si>
    <t>remonttööd</t>
  </si>
  <si>
    <t>ATS signalisatsioon</t>
  </si>
  <si>
    <t>istikud</t>
  </si>
  <si>
    <t>Lipud,vimplid, sümboolika</t>
  </si>
  <si>
    <t>Rent (Isikliku sõiduauto kulude hüvit.)</t>
  </si>
  <si>
    <t>Telia internet, TV, lauatelefon</t>
  </si>
  <si>
    <t>infotehnoloogiline riist-ja tarkvara</t>
  </si>
  <si>
    <t>Töötajate tervisekontroll, läbivaatus</t>
  </si>
  <si>
    <t>Ürituste korraldamise kulud</t>
  </si>
  <si>
    <t>osavõtutasud</t>
  </si>
  <si>
    <t>Spordiüritused</t>
  </si>
  <si>
    <t>Transpordi kasutus</t>
  </si>
  <si>
    <t>Juhataja</t>
  </si>
  <si>
    <t>Majahoidja</t>
  </si>
  <si>
    <t>Puhkuse asendamine juhatajal</t>
  </si>
  <si>
    <t>Puhkuse asendamine majahoidjal</t>
  </si>
  <si>
    <t>direktor</t>
  </si>
  <si>
    <t>raamatukoguhoidja</t>
  </si>
  <si>
    <t>Laekvere raamatukogu</t>
  </si>
  <si>
    <t>Eelarvearuanne</t>
  </si>
  <si>
    <t/>
  </si>
  <si>
    <t>Kirje nimetus</t>
  </si>
  <si>
    <t>Eelarve</t>
  </si>
  <si>
    <t>Põhitegevuse tulud</t>
  </si>
  <si>
    <t>Maksutulud kokku</t>
  </si>
  <si>
    <t>Saadud toetused tegevuskuludeks</t>
  </si>
  <si>
    <t>Muud saadud toetused tegevuskuludeks</t>
  </si>
  <si>
    <t>Saadud toetused tegevuskuludeks kokku</t>
  </si>
  <si>
    <t>Laekumine vee erikasutusest</t>
  </si>
  <si>
    <t>Saastetasud ja keskkonnale tekitatud kahju hüvitis</t>
  </si>
  <si>
    <t>Muud tegevustulud kokku</t>
  </si>
  <si>
    <t>Põhitegevuse tulud kokku</t>
  </si>
  <si>
    <t>Põhitegevuse kulud</t>
  </si>
  <si>
    <t>Antud toetused tegevuskuludeks</t>
  </si>
  <si>
    <t>Sotsiaalabitoetused ja muud toetused füüsilistele isikutele</t>
  </si>
  <si>
    <t>Sihtotstarbelised toetused tegevuskuludeks</t>
  </si>
  <si>
    <t>Antud toetused tegevuskuludeks kokku</t>
  </si>
  <si>
    <t>Tööjõukulud</t>
  </si>
  <si>
    <t>Majandamiskulud</t>
  </si>
  <si>
    <t>Muud kulud</t>
  </si>
  <si>
    <t>Muud tegevuskulud kokku</t>
  </si>
  <si>
    <t>Põhitegevuse kulud kokku</t>
  </si>
  <si>
    <t>Põhitegevuse tulem</t>
  </si>
  <si>
    <t>Investeerimistegevus kokku</t>
  </si>
  <si>
    <t>Eelarve tulem (ülejääk (+) / puudujääk (-))</t>
  </si>
  <si>
    <t>Finantseerimistegevus kokku</t>
  </si>
  <si>
    <t>Likviidsete varade muutus (+ suurenemine, - vähenemine)</t>
  </si>
  <si>
    <t>Nõuete ja kohustuste saldode muutus  (+ suurenemine, - vähenemine)</t>
  </si>
  <si>
    <t>Valla- ja linnavolikogu</t>
  </si>
  <si>
    <t>Valla- ja linnavalitsus</t>
  </si>
  <si>
    <t>Reservfond</t>
  </si>
  <si>
    <t>Muud üldised valitsussektori teenused</t>
  </si>
  <si>
    <t>Valitsussektori võla teenindamine</t>
  </si>
  <si>
    <t>Üldised valitsussektori teenused kokku</t>
  </si>
  <si>
    <t>Päästeteenused</t>
  </si>
  <si>
    <t>Avalik kord ja julgeolek kokku</t>
  </si>
  <si>
    <t>Side</t>
  </si>
  <si>
    <t>Majandus kokku</t>
  </si>
  <si>
    <t>Jäätmekäitlus</t>
  </si>
  <si>
    <t>Keskkonnakaitse kokku</t>
  </si>
  <si>
    <t>Veevarustus</t>
  </si>
  <si>
    <t>Tänavavalgustus</t>
  </si>
  <si>
    <t>Muu elamu- ja kommunaalmajanduse tegevus</t>
  </si>
  <si>
    <t>Elamu- ja kommunaalmajandus kokku</t>
  </si>
  <si>
    <t>Tervishoid kokku</t>
  </si>
  <si>
    <t>Vaba aeg, kultuur ja religioon</t>
  </si>
  <si>
    <t>Noorsootöö ja noortekeskused</t>
  </si>
  <si>
    <t>Rahvakultuur</t>
  </si>
  <si>
    <t>Ringhäälingu- ja kirjastamisteenused</t>
  </si>
  <si>
    <t>Vaba aeg, kultuur ja religioon kokku</t>
  </si>
  <si>
    <t>Alusharidus</t>
  </si>
  <si>
    <t>Põhihariduse otsekulud</t>
  </si>
  <si>
    <t>Üldkeskhariduse otsekulud</t>
  </si>
  <si>
    <t>Noorte huviharidus ja huvitegevus</t>
  </si>
  <si>
    <t>Koolitransport</t>
  </si>
  <si>
    <t>Öömaja</t>
  </si>
  <si>
    <t>Haridus kokku</t>
  </si>
  <si>
    <t>Muu puuetega inimeste sotsiaalne kaitse</t>
  </si>
  <si>
    <t>Eakate sotsiaalhoolekande asutused</t>
  </si>
  <si>
    <t>Muu eakate sotsiaalne kaitse</t>
  </si>
  <si>
    <t>Laste ja noorte sotsiaalhoolekande asutused</t>
  </si>
  <si>
    <t>Muu perekondade ja laste sotsiaalne kaitse</t>
  </si>
  <si>
    <t>Töötute sotsiaalne kaitse</t>
  </si>
  <si>
    <t>Eluasemeteenused sotsiaalsetele riskirühmadele</t>
  </si>
  <si>
    <t>Riiklik toimetulekutoetus</t>
  </si>
  <si>
    <t>Muu sotsiaalsete riskirühmade kaitse</t>
  </si>
  <si>
    <t>Sotsiaalne kaitse kokku</t>
  </si>
  <si>
    <t>Põhitegevuse kulude ja investeerimistegevuse väljaminekute jaotus tegevusalade järgi kokku</t>
  </si>
  <si>
    <t>Muud näitajad</t>
  </si>
  <si>
    <t>Aasta alguse seisuga</t>
  </si>
  <si>
    <t>Võlakohustused</t>
  </si>
  <si>
    <t>Likviidsed varad</t>
  </si>
  <si>
    <t>Perioodi lõpu seisuga</t>
  </si>
  <si>
    <t>Eesti Linnade ja Valdade Liidu 2020.a. liikmemaks</t>
  </si>
  <si>
    <t>Aula remont</t>
  </si>
  <si>
    <t>Võimla seinte ja sokli soojustus</t>
  </si>
  <si>
    <t>Koolimaja fassaadi ja trepi renoveerimine</t>
  </si>
  <si>
    <t>Söökla trepi varikatus</t>
  </si>
  <si>
    <t>Signalisatsioon ühendada (LA, r/k, kool)</t>
  </si>
  <si>
    <t>Keskkütte sooja vee ühendamine boileritega</t>
  </si>
  <si>
    <t>Kooli ja LA juubel (40/45)</t>
  </si>
  <si>
    <t>Korvirõngad + mänguväljak</t>
  </si>
  <si>
    <t>1. klassi ujumise transport (19 x 40.-)</t>
  </si>
  <si>
    <t>Roela kool</t>
  </si>
  <si>
    <t>Seinad ja lagi vajavad uuendust</t>
  </si>
  <si>
    <t>Võimla on külm</t>
  </si>
  <si>
    <t>Seintel värv maas, trepp katki ja libe</t>
  </si>
  <si>
    <t>sademetega saab kaup märjaks ja trepp on libe</t>
  </si>
  <si>
    <t>LA ja r/k signal. puudub</t>
  </si>
  <si>
    <t>Hoiab el.energiat kokku</t>
  </si>
  <si>
    <t>Esinejad, toitlustamine, meened</t>
  </si>
  <si>
    <t>korvpalli korvid 2 tk - 2780eurot ja palliväljaku mahamärkimine 1800 eu</t>
  </si>
  <si>
    <t>õppekavas ette nähtud</t>
  </si>
  <si>
    <t>Vallavalitsus</t>
  </si>
  <si>
    <t>Raamatupidajate kogu liikmemaks</t>
  </si>
  <si>
    <t>Ulvi Lasteaed</t>
  </si>
  <si>
    <t>ühik</t>
  </si>
  <si>
    <t>ühik2</t>
  </si>
  <si>
    <t>ühik3</t>
  </si>
  <si>
    <t>ühik4</t>
  </si>
  <si>
    <t>hind</t>
  </si>
  <si>
    <t>Sõimelapsed</t>
  </si>
  <si>
    <t>Eelkoolilapsed</t>
  </si>
  <si>
    <t>kohatasu</t>
  </si>
  <si>
    <t>Toidupäev</t>
  </si>
  <si>
    <t>Vinni Lasteaed</t>
  </si>
  <si>
    <t>Pajusti Lasteaed</t>
  </si>
  <si>
    <t>Kulina Lasteaed</t>
  </si>
  <si>
    <t>Tudu Lasteaed</t>
  </si>
  <si>
    <t>Laekvere Lasteaed</t>
  </si>
  <si>
    <t>Roela Lasteaed</t>
  </si>
  <si>
    <t>0810704</t>
  </si>
  <si>
    <t>Muu vaba aeg, kultuur, religioon, sh haldus</t>
  </si>
  <si>
    <t>??</t>
  </si>
  <si>
    <t>Laenude põhiosade tasumised</t>
  </si>
  <si>
    <t>Laenude intresside tasumised</t>
  </si>
  <si>
    <t>Vinni staadioni hooldus 5 kuud a`6 €/h x 168 tundi</t>
  </si>
  <si>
    <t>Arendusnõunik</t>
  </si>
  <si>
    <t>sisseostetud teenus (kevad- ja järelhooldus)</t>
  </si>
  <si>
    <t>väetis</t>
  </si>
  <si>
    <t>töövahendid, remont</t>
  </si>
  <si>
    <t>side (Telia)</t>
  </si>
  <si>
    <t>Vältimatu sotsiaalabi</t>
  </si>
  <si>
    <t>Erakorraline toetus</t>
  </si>
  <si>
    <t>Rakvere Kodutute Varjupaik - teenuse ost</t>
  </si>
  <si>
    <t>Varjupaik + Naiste Varjupaik</t>
  </si>
  <si>
    <t>Toimetulekutoetus</t>
  </si>
  <si>
    <t>toimetulekutoetus</t>
  </si>
  <si>
    <t>Küttetoetus</t>
  </si>
  <si>
    <t>Sotsiaalkorterite remont</t>
  </si>
  <si>
    <t>Muud toetused töötutele (ühekordsed toetused)</t>
  </si>
  <si>
    <t>Töötute sotsiaalne kaitse (töötamine)</t>
  </si>
  <si>
    <t>Ravikindlustuseta kindlustamata isikud</t>
  </si>
  <si>
    <t>Muud toetused töötutele</t>
  </si>
  <si>
    <t>Laagritoetus</t>
  </si>
  <si>
    <t>Ranitsatoetus</t>
  </si>
  <si>
    <t xml:space="preserve">Sünnitoetus  </t>
  </si>
  <si>
    <t>Hoolduspere toetus (tugiisik)</t>
  </si>
  <si>
    <t>Ühekorded toetused + perede koolituse toetus</t>
  </si>
  <si>
    <t>Toetus toidule (koolid, lasteaiad), ühiselamu üür</t>
  </si>
  <si>
    <t>Muud toetused (kriisit.teenuse ost)</t>
  </si>
  <si>
    <t>Keila SOS lastekodu täiendav toetus</t>
  </si>
  <si>
    <t>Sõidukompensatsioon + Porkuni leping</t>
  </si>
  <si>
    <t>L-Viru Suurte perede Ühendus</t>
  </si>
  <si>
    <t>tervisega seotud kulutused</t>
  </si>
  <si>
    <t>Prillid</t>
  </si>
  <si>
    <t>Tugiisiku teenus</t>
  </si>
  <si>
    <t xml:space="preserve">Vinni Perekodu </t>
  </si>
  <si>
    <t>Tõlgiteenus</t>
  </si>
  <si>
    <t>Projektis osalemine a la "Imelised aastad....."</t>
  </si>
  <si>
    <t>Projektis osalemine "Kunstilaager..."</t>
  </si>
  <si>
    <t>Lusikapidu ja karud</t>
  </si>
  <si>
    <t>16 x 110 madala sissetulekuga pere last</t>
  </si>
  <si>
    <t>3 last</t>
  </si>
  <si>
    <t>200x12 Mari-Liisa</t>
  </si>
  <si>
    <t>Muu sotsiaalne kaitse, sh sotsiaalse kaitse haldus</t>
  </si>
  <si>
    <t xml:space="preserve"> Eakate toetused</t>
  </si>
  <si>
    <t xml:space="preserve"> Tugiisikud (perekondade ja laste)</t>
  </si>
  <si>
    <t xml:space="preserve"> Sünnitoetused</t>
  </si>
  <si>
    <t>Noortemajadele, õpilaskodule</t>
  </si>
  <si>
    <t>Asenduskodu+turvakoduteenus</t>
  </si>
  <si>
    <t>Matusetoetus</t>
  </si>
  <si>
    <t>valla poolne finantseering</t>
  </si>
  <si>
    <t>matusetoetus</t>
  </si>
  <si>
    <t>Juubelitoetused (+ lilled)</t>
  </si>
  <si>
    <t>Ühekordsed toetused</t>
  </si>
  <si>
    <t>Täiendav ravimite toetus</t>
  </si>
  <si>
    <t>1020104</t>
  </si>
  <si>
    <t xml:space="preserve"> Täiendav ravimitoetus</t>
  </si>
  <si>
    <t>Üldtüüpi hooldekodusse paigut.in.ülalp.kulud</t>
  </si>
  <si>
    <t>Täiendavad toetused (ujumine, ühiselamu)</t>
  </si>
  <si>
    <t>Sõidukulude kompenseerimise toetus</t>
  </si>
  <si>
    <t>Toetus ravimitele, abivah.,proteesid</t>
  </si>
  <si>
    <t>Isiklik abistaja, tugiisik täiskasvanuile</t>
  </si>
  <si>
    <t>Viipekeele tõlk</t>
  </si>
  <si>
    <t>Muud toetused (juhtkoera toit)</t>
  </si>
  <si>
    <t>Invatranspordis osalemine/teenus</t>
  </si>
  <si>
    <t>Muud toetused (ühekordsed)</t>
  </si>
  <si>
    <t>Puuetega täiskanvanute hooldaja toetus</t>
  </si>
  <si>
    <t>Puuetega laste hooldaja toetus</t>
  </si>
  <si>
    <t>Projekt "Puuetega in. Kodude kohandamine"</t>
  </si>
  <si>
    <t>AS Hoolekandeteenused osalemine</t>
  </si>
  <si>
    <t>MTÜ Johanna osalemine</t>
  </si>
  <si>
    <t>MTÜ Johanna projektid</t>
  </si>
  <si>
    <t>MTÜ Johanna tegevustoetus</t>
  </si>
  <si>
    <t>Maakonna projekt Erivajadustega inimeste tugiteenused osal</t>
  </si>
  <si>
    <t>Vähihaigete Liit</t>
  </si>
  <si>
    <t>Lääne-Virumaa Sclerosis Multipleksi Ühing</t>
  </si>
  <si>
    <t>Lääne Virumaa Kurtide Ühing</t>
  </si>
  <si>
    <t>MTÜ Õendus-hoolduskeskus Loojang</t>
  </si>
  <si>
    <t>10110</t>
  </si>
  <si>
    <t xml:space="preserve"> Haigete sotsiaalne kaitse</t>
  </si>
  <si>
    <t>Hooldustöötaja (Maalman) eakad</t>
  </si>
  <si>
    <t>Hooldustöötaja (asendus)</t>
  </si>
  <si>
    <t>Hooldustöötaja (Muldma)</t>
  </si>
  <si>
    <t>Hooldustöötaja (Anier)</t>
  </si>
  <si>
    <t>Hooldustöötaja el.auto hooldus, remont, jms</t>
  </si>
  <si>
    <t>Hooldustöötajate koolitused</t>
  </si>
  <si>
    <t>Inventar</t>
  </si>
  <si>
    <t>el.jalgratta hooldus( akud) jms</t>
  </si>
  <si>
    <t>sh. Kredex laadimistasud</t>
  </si>
  <si>
    <t xml:space="preserve"> Muud</t>
  </si>
  <si>
    <t>Puuetega inimeste sotsiaalhoolekandeasutused</t>
  </si>
  <si>
    <t>Puuetega inimeste eest makstav sotsiaalmaks</t>
  </si>
  <si>
    <t xml:space="preserve"> Ravitoetused puuetega inimestele</t>
  </si>
  <si>
    <t xml:space="preserve"> Ravitoetused perekondadele, lastele</t>
  </si>
  <si>
    <t>Proteesid, ortopeedilised ja muud abivahendid puuetega inimestele</t>
  </si>
  <si>
    <t xml:space="preserve"> Tugiisikud puuetega inimestele</t>
  </si>
  <si>
    <t>Piret Mets Väike-Maarja TK (Laekvere) Transpordikulu</t>
  </si>
  <si>
    <t>Vinni Tervisekeskusele helikindlad uksed</t>
  </si>
  <si>
    <t>Piret Mets Väike-Maarja TK (Laekvere) kohvimasin</t>
  </si>
  <si>
    <t>Sotsiaalteenistuse juhataja (palk)</t>
  </si>
  <si>
    <t>Hooldustöötaja (Anier) palgatõus</t>
  </si>
  <si>
    <t>Sotsiaaltööspetsialist</t>
  </si>
  <si>
    <t xml:space="preserve">Lasteheaoluspetsialist </t>
  </si>
  <si>
    <t>Sotsiaali autode kulud+kompensatsioon</t>
  </si>
  <si>
    <t>kütus, liising, hooldused, kindlustus</t>
  </si>
  <si>
    <t xml:space="preserve">Mobiiltelefoni kulu </t>
  </si>
  <si>
    <t>Riigilõiv (20 in eestkoste vormistamiseks)</t>
  </si>
  <si>
    <t>Projektides osalemised</t>
  </si>
  <si>
    <t>bürootarbed, auhinnad-kingitused, telefon jne</t>
  </si>
  <si>
    <t xml:space="preserve">perioodika </t>
  </si>
  <si>
    <t>puhastus- ja korrashoiuvahendid</t>
  </si>
  <si>
    <t>korstnapühkimisteenus</t>
  </si>
  <si>
    <t>Isiklikus sõiduauto komp.</t>
  </si>
  <si>
    <t>Urrami hooldus ja arendus</t>
  </si>
  <si>
    <t>remondi- ja hooldusteenused</t>
  </si>
  <si>
    <t xml:space="preserve">Luminor liising Muuga 2 arvutit </t>
  </si>
  <si>
    <t>Konkreetselt planeerimata, võib tekkida vajadus riiulitele. Muugas võiks remontida olemasoleva nurgadiivani ( riidevahetus)</t>
  </si>
  <si>
    <t>esmaabivahendid, prillihüvitis, gripivaktsiin, tervisekontroll</t>
  </si>
  <si>
    <t>Teavikud</t>
  </si>
  <si>
    <t>Kohtumised kirjanikuga rahvusvahelise lasteraamatupäeva tähistamiseks aprillis nii Muugas kui Laekveres</t>
  </si>
  <si>
    <t xml:space="preserve">Raamatukoguöö märts-aprill Muugas </t>
  </si>
  <si>
    <t>Eduard Vilde 155. sünniaastapäeva tähistamine- Simuna kihelkonnakoolide ja Vinni valla õpilaste reisijuttude kirjutamise konkurss, konkursi lõpuüritus</t>
  </si>
  <si>
    <t xml:space="preserve">Raamatukogupäevade üritused, TÕN üritused </t>
  </si>
  <si>
    <t xml:space="preserve">Karneval Muuga mõisas novembris Muuga- Laekvere Kooli algklasside lastele </t>
  </si>
  <si>
    <t>muud planeerimata üritused</t>
  </si>
  <si>
    <t>Vinni Valla Noored MTÜ</t>
  </si>
  <si>
    <t>Sport</t>
  </si>
  <si>
    <t>Noorsoo- ja spordinõunik</t>
  </si>
  <si>
    <t>Laste töö- ja puhkelaagri töötasud</t>
  </si>
  <si>
    <t>Laste töö- ja puhkelaagri elektrikulud</t>
  </si>
  <si>
    <t>0810705</t>
  </si>
  <si>
    <t>Laste töö- ja puhkelaagri toitlustuskulud</t>
  </si>
  <si>
    <t>Noorsoo projektide kaasfinantseerimised</t>
  </si>
  <si>
    <t>0810208</t>
  </si>
  <si>
    <t xml:space="preserve"> Vinni Valla Noored MTÜ</t>
  </si>
  <si>
    <t xml:space="preserve"> Lastelaagrid</t>
  </si>
  <si>
    <t xml:space="preserve"> Spordiseltside- ja klubide toetused MTÜ</t>
  </si>
  <si>
    <t xml:space="preserve"> Noorsootöö haldus</t>
  </si>
  <si>
    <t xml:space="preserve"> Toetused sportlastele</t>
  </si>
  <si>
    <t>Vinni Spordikompleksis elanike tervise ja spordivõimaluste tagamine (lasteaiad, koolid jne.)</t>
  </si>
  <si>
    <t>Vinni Spordikompleksis elanike tervise ja spordivõimaluste tagamine (elanikkond)</t>
  </si>
  <si>
    <t>Valla koolide ja lasteaedade  2020 aasta suusatamise-ja kergejõustikuvõistlused, spordipäevad.</t>
  </si>
  <si>
    <t>Valla päevadel spordivõistluste korraldamine</t>
  </si>
  <si>
    <t>Üritused</t>
  </si>
  <si>
    <t xml:space="preserve">Eesti 2020 aasta omavalitsuste tali-ja suvemängudel osalemine </t>
  </si>
  <si>
    <t xml:space="preserve">Noorte volikogu töö korraldamine, arendamine            </t>
  </si>
  <si>
    <t>Vaba aja üritused</t>
  </si>
  <si>
    <t>Ei kasuta enam</t>
  </si>
  <si>
    <t>Column1</t>
  </si>
  <si>
    <t>uus</t>
  </si>
  <si>
    <t>Telefon</t>
  </si>
  <si>
    <t>Sideteenused</t>
  </si>
  <si>
    <t>Seminaridel osalemine</t>
  </si>
  <si>
    <t xml:space="preserve">komisjon 5-liikmeline, 30 h </t>
  </si>
  <si>
    <t>Vinni valla valimiskomisjon</t>
  </si>
  <si>
    <t>01</t>
  </si>
  <si>
    <t>08</t>
  </si>
  <si>
    <t>09</t>
  </si>
  <si>
    <t>10</t>
  </si>
  <si>
    <t>IT spetsialist</t>
  </si>
  <si>
    <t>Valvekaamerate vahetus</t>
  </si>
  <si>
    <t>Teede korrashoiu kulud</t>
  </si>
  <si>
    <t>Teede- ja ühistranspordinõunik</t>
  </si>
  <si>
    <t>Uute musta katte lõikude rajamine</t>
  </si>
  <si>
    <t>Kruusakattaga teedele uute tolmuvabade lõikude rajamine</t>
  </si>
  <si>
    <t>Bussijuht</t>
  </si>
  <si>
    <t xml:space="preserve">Liising </t>
  </si>
  <si>
    <t>12x3096</t>
  </si>
  <si>
    <t>Kasko ja liikluskindlustus</t>
  </si>
  <si>
    <t>2600+450 käesoleval aastal</t>
  </si>
  <si>
    <t>Remont ja hooldus</t>
  </si>
  <si>
    <t>Navigaatori või tahvelarvuti soetamine</t>
  </si>
  <si>
    <t>On olnud plaanis, aga pole sellel aastal tehtud</t>
  </si>
  <si>
    <t>Tervise- ja spordiarendamise hüvitis</t>
  </si>
  <si>
    <t>bussijuhi mobiil</t>
  </si>
  <si>
    <t>Vallavanem</t>
  </si>
  <si>
    <t>Abivallavanem</t>
  </si>
  <si>
    <t>Vallasekretär</t>
  </si>
  <si>
    <t>Juhiabi</t>
  </si>
  <si>
    <t>Jurist</t>
  </si>
  <si>
    <t>Kantseleispetsialist</t>
  </si>
  <si>
    <t>04</t>
  </si>
  <si>
    <t>Õpilastranspot Põlula ja VPG (RTX Lines OÜ leping)</t>
  </si>
  <si>
    <t>Õpilastranspot Põlula ja VPG (TA Bussid leping)</t>
  </si>
  <si>
    <t>Õpilastransport Muuga ja Laekvere (MK Reis leping)</t>
  </si>
  <si>
    <t>Volikogu esimees</t>
  </si>
  <si>
    <t>Komisjonide esimehed</t>
  </si>
  <si>
    <t>Protokollija</t>
  </si>
  <si>
    <t>külaliste vastuvõtt</t>
  </si>
  <si>
    <t>postikulu</t>
  </si>
  <si>
    <t>tellitud transport</t>
  </si>
  <si>
    <t>komisjonide töö korraldamised</t>
  </si>
  <si>
    <t>17 x 50</t>
  </si>
  <si>
    <t>esimees 12*150</t>
  </si>
  <si>
    <t>Volikogu liikmed</t>
  </si>
  <si>
    <t>Komisjonide liikmed</t>
  </si>
  <si>
    <t>Põhitegevustuludest 1%</t>
  </si>
  <si>
    <t>Maksumaksjate liidu liikmemaks</t>
  </si>
  <si>
    <t>Ehitusnõunik</t>
  </si>
  <si>
    <t>Maanõunik</t>
  </si>
  <si>
    <t>Ettevõtlustoetused</t>
  </si>
  <si>
    <t>Tänavalguste elektrikulud</t>
  </si>
  <si>
    <t>Haldusjuht</t>
  </si>
  <si>
    <t xml:space="preserve">Traktorist-majandustööline </t>
  </si>
  <si>
    <t>Heakorra-ja remonditööline</t>
  </si>
  <si>
    <t>Koristaja -majahoidja</t>
  </si>
  <si>
    <t>Trimmerdaja (suvel)</t>
  </si>
  <si>
    <t>Laekvere piirkond</t>
  </si>
  <si>
    <t>Tänavalgustuse rekonstrueerimine</t>
  </si>
  <si>
    <t>Ühtekuuluvusfond</t>
  </si>
  <si>
    <t>Maanteetransport</t>
  </si>
  <si>
    <t>Toetus tegevuskuludeks</t>
  </si>
  <si>
    <t>Maaküttega seotud liisingmaksed</t>
  </si>
  <si>
    <t>Maaküttega seotud intressidemaksed</t>
  </si>
  <si>
    <t>12x304,07</t>
  </si>
  <si>
    <t>12x1520,33</t>
  </si>
  <si>
    <t>Maaküttega seotud kindlustusmaksed</t>
  </si>
  <si>
    <t>12x149,29</t>
  </si>
  <si>
    <t>Roela Tuletõrjeselts MTÜ toetus</t>
  </si>
  <si>
    <t xml:space="preserve">Töötasu </t>
  </si>
  <si>
    <t>majahoidja ja koristaja  asendamine 500€ üks kuu x 2kuud,traktorist-majandustöölise ja remondi ja heakorratöölise  palga tõstmine 1000€-ni</t>
  </si>
  <si>
    <t>Kontoritarbed</t>
  </si>
  <si>
    <t>Tahmad, paber, pliiatsid jne.</t>
  </si>
  <si>
    <t>Laekvere piirkonna varade kindlustus</t>
  </si>
  <si>
    <t>2019 eelarves ei olnud planeeritud, kuid kulu tehti, 2018 kohta info puudub</t>
  </si>
  <si>
    <t>Töökoja kasutus ja ruumide rent</t>
  </si>
  <si>
    <t>Rendime Laekvere PM OÜ-l Kioti traktorile ja seadmetele garaazi, võtame Kioti traktorile diiselkütet, muruniidukite ja Fiat Doblo bensiini</t>
  </si>
  <si>
    <t>Remondimaterjalid</t>
  </si>
  <si>
    <t>Valla korterid, tööliste olmeruumid, avalikud rajatised, bussiootepaviljonid jne</t>
  </si>
  <si>
    <t>Vesi-ja kanalisastioon</t>
  </si>
  <si>
    <t>Salutaguse tee 2 ja Paasvere külamaja -Emajõe Veevärk</t>
  </si>
  <si>
    <t>Veeautomaat Saku Läte</t>
  </si>
  <si>
    <t>Salutaguse tee 2</t>
  </si>
  <si>
    <t>Kohvimasina hooldus</t>
  </si>
  <si>
    <t>Porivaipade rent (Linström)</t>
  </si>
  <si>
    <t xml:space="preserve">Salutaguse tee 2 </t>
  </si>
  <si>
    <t>Keskküte</t>
  </si>
  <si>
    <t xml:space="preserve">Salutaguse tee 2 terve hoone </t>
  </si>
  <si>
    <t xml:space="preserve">Elekter </t>
  </si>
  <si>
    <t>Salutaguse tee 2 terve hoone ja Paasvere külamaja</t>
  </si>
  <si>
    <t>Elektri käidukorraldus</t>
  </si>
  <si>
    <t>Enno Mandel Elektritööd teostabLaekvere piirkonna eletripaigaldiste käidukorraldust</t>
  </si>
  <si>
    <t>Signalisatsiooni hooldus</t>
  </si>
  <si>
    <t>Salutaguse tee 2 hoone Ennak SEL</t>
  </si>
  <si>
    <t>Korrashoiu vahendid</t>
  </si>
  <si>
    <t>Koristustarbed,luuad, harjad wc paber ,kätepaber jne-olen arvestanud ka Laekvere sauna puhastusvahendite  kulu</t>
  </si>
  <si>
    <t>Ohtlike puude raie</t>
  </si>
  <si>
    <t>Kokku vaja maha võtta ca 14 ohtlikku puud, arboristi teenus  vähemalt 150€ puu, lõhkuda Laekveres hakkide pesasid</t>
  </si>
  <si>
    <t xml:space="preserve">Prügivedu </t>
  </si>
  <si>
    <t>Paberikonteinerite tühjendus</t>
  </si>
  <si>
    <t>Väätsa Prügila</t>
  </si>
  <si>
    <t>Korteriühistute tasud</t>
  </si>
  <si>
    <t>Remondifond, tühjade valla korterite küte, kommunaalid(peab vaatama 2019 tegelikke kulusid) Kelle eelarvest lähevad sotsiaalkorterite Vassivere põik 4-5;4-18;1-1 ja 1-13 kulud?</t>
  </si>
  <si>
    <t xml:space="preserve">Amplid, lilled,istikud </t>
  </si>
  <si>
    <t>Laekvere parki on vaja istutada uusi puid ca 10 tk 80€ suur potis istik</t>
  </si>
  <si>
    <t>Peugeo Partner</t>
  </si>
  <si>
    <t>hooldus, rehvid</t>
  </si>
  <si>
    <t>kindlustus(kasko+liiklus)</t>
  </si>
  <si>
    <t>liising</t>
  </si>
  <si>
    <t>VW Transporter</t>
  </si>
  <si>
    <t>hooldus, rehvid , tehnoülevaatus</t>
  </si>
  <si>
    <t>Fiat Doblo</t>
  </si>
  <si>
    <t>liikluskindlustus</t>
  </si>
  <si>
    <t>hooldus, rehvid ,tehnoülevaatud</t>
  </si>
  <si>
    <t>Nissan NV300 väikebuss</t>
  </si>
  <si>
    <t>Nisssan NV300 väikebuss</t>
  </si>
  <si>
    <t>kütus ( viimasel ajal on läinud Muuga-Laekvere kooli eelarvest?</t>
  </si>
  <si>
    <t>Nissan NV300  väikebuss</t>
  </si>
  <si>
    <t>hooldus, pesu, klaasipesuvedelik jne</t>
  </si>
  <si>
    <t>Internetiühendus</t>
  </si>
  <si>
    <t>Kõigi Laekvere alevikus valla kuuluvate  hoonete internetiühendus jookseb läbi Salutaguse tee 2 teeninduskeskuse, kust toimub hargnemine</t>
  </si>
  <si>
    <t>ELISA TV</t>
  </si>
  <si>
    <t>Vassivere põik 1-1 ja 1-13  sotsiaalkorterite  elanike TV, mille nad vallale kinni maksavad</t>
  </si>
  <si>
    <t>Riistvara soetamine</t>
  </si>
  <si>
    <t>Ruuter jne.</t>
  </si>
  <si>
    <t>Seadmete ja masinate tarvikud</t>
  </si>
  <si>
    <t>Murutraktori rihmad,saagide osad ,ketid,niidukite terad ,kiilrihmad,õlid, filtrid.</t>
  </si>
  <si>
    <t>Hooldus</t>
  </si>
  <si>
    <t>Kioti traktor, murutraktor, haagised, niidukid, nende kindlustus, ülevaatused</t>
  </si>
  <si>
    <t>Traktorile KIOTi niiduki OPTIMAL BP-185  soetamine</t>
  </si>
  <si>
    <t>Praegune niiduk amortiseerunud, töötab viimase piiri peal</t>
  </si>
  <si>
    <t>Talguliste toitlustamine</t>
  </si>
  <si>
    <t>Tervisekulud</t>
  </si>
  <si>
    <t>5 töötajat x 400 eurot aastas</t>
  </si>
  <si>
    <t>Töötervishoiu kulud</t>
  </si>
  <si>
    <t>5 töötajat</t>
  </si>
  <si>
    <t>Tööriided ja töökindad</t>
  </si>
  <si>
    <t>2 töötajat</t>
  </si>
  <si>
    <t xml:space="preserve">Teeme ära talgud </t>
  </si>
  <si>
    <t>Transport</t>
  </si>
  <si>
    <t>M.K.Reis-x teenindatav reedene Venevere-Paasvere-Vassivere poe liin,surnuaaipühal ja jõululaupäeval buss Simuna surnuaiale(FIE Teet Põldoja)</t>
  </si>
  <si>
    <t>Rägavere piirkond</t>
  </si>
  <si>
    <t>Lepinguliste töötajate töötasu</t>
  </si>
  <si>
    <t>mobiiltelefon 5783 3232</t>
  </si>
  <si>
    <t>Rägavere piirkonna varade kindlustus</t>
  </si>
  <si>
    <t>Ohtlike puude raie, niitmis teenus jm</t>
  </si>
  <si>
    <t>Valveteenus</t>
  </si>
  <si>
    <t>Katla hooldus, korstnapühkija</t>
  </si>
  <si>
    <t>Pelleti ost</t>
  </si>
  <si>
    <t>Valve- ja tuletõrje signalisatsiooni hooldus</t>
  </si>
  <si>
    <t>Elekter</t>
  </si>
  <si>
    <t xml:space="preserve"> Lääne-Viru Jäätmekeskus</t>
  </si>
  <si>
    <t>Väikebussi kütus</t>
  </si>
  <si>
    <t>Väikebuss</t>
  </si>
  <si>
    <t>isikliku auto kasutus</t>
  </si>
  <si>
    <t>Andigo OÜ internet, kaks lautelefoni</t>
  </si>
  <si>
    <t>Murutraktori rihmad,saagide osad ,ketid,niidukite terad ,kiilrihmad,õlid, filtrid hooldus</t>
  </si>
  <si>
    <t>Murutraktori, trimmerite kütus</t>
  </si>
  <si>
    <t>kajastub töötasude tabelis</t>
  </si>
  <si>
    <t>Hooldustöötaja (Anier) palgatõusuga seotud maksukulud</t>
  </si>
  <si>
    <t>Maade mõõdistamised</t>
  </si>
  <si>
    <t>Maadega soetud notaritasud</t>
  </si>
  <si>
    <t>Hajaasustuseprogramm</t>
  </si>
  <si>
    <t xml:space="preserve">Hajaasustuseprogrammiga </t>
  </si>
  <si>
    <t>Prognoositav</t>
  </si>
  <si>
    <t>Põhivara soetuseks saadav sihtfinantseerimine</t>
  </si>
  <si>
    <t>heakorratööline</t>
  </si>
  <si>
    <t>trimmerdaja</t>
  </si>
  <si>
    <t>Koosseisu- kohtade arv aastas/ tunnid aastas</t>
  </si>
  <si>
    <t>Roela piirkond</t>
  </si>
  <si>
    <t>Heakorratööd</t>
  </si>
  <si>
    <t>Fixsum Service-muruniitmine,Vaarmets,</t>
  </si>
  <si>
    <t>Prügiveod piirkonna</t>
  </si>
  <si>
    <t>Heakorravahendid</t>
  </si>
  <si>
    <t>kütus, õli, jõhv trimmerile,luuad, rehad,labidad</t>
  </si>
  <si>
    <t>Istikud, suvelilled</t>
  </si>
  <si>
    <t>Korterid</t>
  </si>
  <si>
    <t>Korterid (roela soojus)</t>
  </si>
  <si>
    <t>Prügivedu</t>
  </si>
  <si>
    <t>Korter (Aida)</t>
  </si>
  <si>
    <t>Prügivedu (konteineri rent)</t>
  </si>
  <si>
    <t>Korstnapühkija</t>
  </si>
  <si>
    <t>KÜ kommunaalmaksed</t>
  </si>
  <si>
    <t>Kõnnitee truup</t>
  </si>
  <si>
    <t>Teadete tahvlid</t>
  </si>
  <si>
    <t>Korstnapühkimisteenus</t>
  </si>
  <si>
    <t>Korterid, katlamaja</t>
  </si>
  <si>
    <t>Niitmine</t>
  </si>
  <si>
    <t>FIE Salin</t>
  </si>
  <si>
    <t xml:space="preserve">Niitmine </t>
  </si>
  <si>
    <t>Ehitme OÜ</t>
  </si>
  <si>
    <t>Rahvamaja küttepuud</t>
  </si>
  <si>
    <t xml:space="preserve">rehad, labidad, küte, õli, kindad, jne </t>
  </si>
  <si>
    <t>Trimmer</t>
  </si>
  <si>
    <t>Tudu piirkond</t>
  </si>
  <si>
    <t>kütja</t>
  </si>
  <si>
    <t>koolimaja koristaja/saunakütja</t>
  </si>
  <si>
    <t>koolimaja kütja</t>
  </si>
  <si>
    <t>aasta tundide maht</t>
  </si>
  <si>
    <t>Viru-Jaagupi piirkond</t>
  </si>
  <si>
    <t>Telefon, internet</t>
  </si>
  <si>
    <t>Kesk 15</t>
  </si>
  <si>
    <t>Konteineri rent</t>
  </si>
  <si>
    <t>Kesk 15, Koolimaja, saun</t>
  </si>
  <si>
    <t>Kooli tee 7</t>
  </si>
  <si>
    <t>Piirkonna prügi</t>
  </si>
  <si>
    <t>Koolimaja küttepuud</t>
  </si>
  <si>
    <t>Korrashoiuvahendid</t>
  </si>
  <si>
    <t>luuad, rehad, puh.vahendid, paber jne</t>
  </si>
  <si>
    <t>Valvekulud</t>
  </si>
  <si>
    <t>Korrashoiuvahendite rendid, õlid</t>
  </si>
  <si>
    <t>töövahendite hooldus, tarvikud, küte, õli</t>
  </si>
  <si>
    <t>Remondifond</t>
  </si>
  <si>
    <t>Kesk 21 + niitmine</t>
  </si>
  <si>
    <t>Tuletõrje süsteem (Telia kuutasu)</t>
  </si>
  <si>
    <t>Tuletõrje süsteemi hooldus</t>
  </si>
  <si>
    <t>Istikud, ohtlikud puud</t>
  </si>
  <si>
    <t>2tk</t>
  </si>
  <si>
    <t>12 kuud*300</t>
  </si>
  <si>
    <t>Haagise kindlustus</t>
  </si>
  <si>
    <t>Haagise pisiremondid</t>
  </si>
  <si>
    <t>Haagise rehvid</t>
  </si>
  <si>
    <t>PEUGEOT PARTNER 648BLS kütus</t>
  </si>
  <si>
    <t>PEUGEOT PARTNER 648BLS kindlustus</t>
  </si>
  <si>
    <t>PEUGEOT PARTNER 648BLS rehvid</t>
  </si>
  <si>
    <t>PEUGEOT PARTNER 648BLS pisiremondid, ülevaatused</t>
  </si>
  <si>
    <t>tervise ja spordi edendamine</t>
  </si>
  <si>
    <t>Katuse vahetus</t>
  </si>
  <si>
    <t>Küttepuud</t>
  </si>
  <si>
    <t>Pisiremonttööd</t>
  </si>
  <si>
    <t>Viru-Jaagupi piirkonna juht</t>
  </si>
  <si>
    <t>Viru-Jaagupi kabeli põrand</t>
  </si>
  <si>
    <t>Viru-Jaagupi kalmistu kiviaed</t>
  </si>
  <si>
    <t>Tudu saun koristaja</t>
  </si>
  <si>
    <t>Tudu sauna kütja</t>
  </si>
  <si>
    <t>Küti saun</t>
  </si>
  <si>
    <t>Välikäimlad</t>
  </si>
  <si>
    <t>Viru-Jaagupi</t>
  </si>
  <si>
    <t>Tudu 2 konteinerit (Ragn Sells, Jäätmekeskus)</t>
  </si>
  <si>
    <t>Liiv</t>
  </si>
  <si>
    <t>Tõrma kalmistu haldamine</t>
  </si>
  <si>
    <t>Simuna kalmistu haldamine</t>
  </si>
  <si>
    <t>kärud, rehad, kastekannud jms</t>
  </si>
  <si>
    <t>Ohtlike puude langetus</t>
  </si>
  <si>
    <t xml:space="preserve">Tudu </t>
  </si>
  <si>
    <t>Ohtlike puude langetus, pinnase tasandamine</t>
  </si>
  <si>
    <t>Kütus seadmetele</t>
  </si>
  <si>
    <t>traktor, trimmer, saag</t>
  </si>
  <si>
    <t>Tudu kalmistuvaht</t>
  </si>
  <si>
    <t>Viru-Jaagupi kalmistuvaht</t>
  </si>
  <si>
    <t>Keskkonna- ja kommunaalnõunik</t>
  </si>
  <si>
    <t>Raamatukoguhoidja</t>
  </si>
  <si>
    <t>Koristaja</t>
  </si>
  <si>
    <t>Paber</t>
  </si>
  <si>
    <t>Raamatukile</t>
  </si>
  <si>
    <t>Raamatuetiketid</t>
  </si>
  <si>
    <t>Perioodika</t>
  </si>
  <si>
    <t>Tooner</t>
  </si>
  <si>
    <t>Telefon+internet</t>
  </si>
  <si>
    <t>Markerid, pastakad, kleepsud, märkmepaber jmt</t>
  </si>
  <si>
    <t>Muud koolitused (sh Lääne-Virumaa KRK korraldatud)</t>
  </si>
  <si>
    <t>Laager Saaremaal; õppereis Soome Oodi raamatukokku</t>
  </si>
  <si>
    <t>Vinni-Pajusti raamatukogu</t>
  </si>
  <si>
    <t>Soojus</t>
  </si>
  <si>
    <t>Vesi</t>
  </si>
  <si>
    <t>Hooldusvahendid, tualettpaber</t>
  </si>
  <si>
    <t>Prügi</t>
  </si>
  <si>
    <t>Vaip</t>
  </si>
  <si>
    <t>Tulekahju signalisatsiooni hooldus</t>
  </si>
  <si>
    <t>Kindlustus</t>
  </si>
  <si>
    <t>Valgustus, lampide vahetus</t>
  </si>
  <si>
    <t>200l -rk oma, õues 600l -küla oma, meie eelarves</t>
  </si>
  <si>
    <t xml:space="preserve">Autohüvitis </t>
  </si>
  <si>
    <t>Kadilas laenutamine iga nädal 1x + linnast raamatute toomine, majandustarvikute toomine</t>
  </si>
  <si>
    <t>Tarkvara hooldusleping</t>
  </si>
  <si>
    <t>Kadila + Vinni, programm Urram</t>
  </si>
  <si>
    <t>Värviprinter</t>
  </si>
  <si>
    <t>Töötervishoid</t>
  </si>
  <si>
    <t>Raamatud</t>
  </si>
  <si>
    <t>Auhinnad raamatutundides, suvises lugemisprogrammis</t>
  </si>
  <si>
    <t>Postkast Kadilasse</t>
  </si>
  <si>
    <t>Ettenägematud kulud</t>
  </si>
  <si>
    <t>Põrandakatte vahetus</t>
  </si>
  <si>
    <t>Trepikoja remont</t>
  </si>
  <si>
    <t>Akende vahetus või remont (vihma tuleb sisse, ei pea tuult, osad ei käi korralikult lahti-kinni)</t>
  </si>
  <si>
    <t>Radikatel torude vahetus (radikad ise on vahetatud)</t>
  </si>
  <si>
    <t>Soojustus koos akende vahetusega - hoiaksime küttekuludelt üle 50% kokku ja talvel-sügisel oleks soe raamatukogus.</t>
  </si>
  <si>
    <t>Raamatukogu ruumides san.remont</t>
  </si>
  <si>
    <t>Tagastuskast raamatukogu välisukse juurde.</t>
  </si>
  <si>
    <t>Viru-Jaagupi raamatukogu juhataja</t>
  </si>
  <si>
    <t>Viru-Jaagupi raamatukogu</t>
  </si>
  <si>
    <t>Lisatasu kuus 185€; lisatasu töölepingu järgi muuseumi hooldamine</t>
  </si>
  <si>
    <t>Lugejaarvuti</t>
  </si>
  <si>
    <t>raamatukogul ei ole ainsana valla raamatukogudest lugeja toimivat lugejaarvutit, ehkki igal aastal on vajadus eelarvesse märgitud lugeja kasutab vajadusel raamatukogutöötaja tööarvutit</t>
  </si>
  <si>
    <t>raamatukogu juhataja</t>
  </si>
  <si>
    <t>Ulvi raamatukogu</t>
  </si>
  <si>
    <t>Telefon, Internet</t>
  </si>
  <si>
    <t>Interneti püsiühendus, lauatelefon</t>
  </si>
  <si>
    <t>kantseleikaup</t>
  </si>
  <si>
    <t>paber, tahm, raamatukiled, vöötkoodid</t>
  </si>
  <si>
    <t>ajalehed,ajakirjad-tellimine 1 kord aastas- novembris</t>
  </si>
  <si>
    <t>Erinevad koolitused,seminarid sh maakonna keskraamatukogu korraldatud; Maaraamatukogude suveseminar Saaremaal; Õppereis Soome</t>
  </si>
  <si>
    <t>Ulvi mõisamaja turvafirma lepingutasu, korrastusvahendid, puhastusvahendid, paber</t>
  </si>
  <si>
    <t>teavikute transport Rakverest, kojuteenindus, tööga seotud koosolekutest, koolitustest osavõtt</t>
  </si>
  <si>
    <t>raamatukogu tööprogramm</t>
  </si>
  <si>
    <t>Urram</t>
  </si>
  <si>
    <t>uus tööarvuti</t>
  </si>
  <si>
    <t>arvuti vajab väljavahetamist</t>
  </si>
  <si>
    <t>teemaõhtud/hommikud, laste lugemistunnid/raamatukogutunnid; 2 korda aastas suurürutus-märts-emakeelepäev, okt-raamatukogunädal</t>
  </si>
  <si>
    <t>03</t>
  </si>
  <si>
    <t>06</t>
  </si>
  <si>
    <t>Kohaliku omavalitsuse üksuse reservfond</t>
  </si>
  <si>
    <t>Üldiseloomuga ülekanded valitsussektoris</t>
  </si>
  <si>
    <t>Muu riigikaitse</t>
  </si>
  <si>
    <t>Muu avalik kord ja julgeolek, sh haldus</t>
  </si>
  <si>
    <t>Muu majandus (sh majanduse haldus)</t>
  </si>
  <si>
    <t>Muu keskkonnakaitse (sh keskkonnakaitse haldus)</t>
  </si>
  <si>
    <t>Laekvere Rahva Maja</t>
  </si>
  <si>
    <t>Tehnik</t>
  </si>
  <si>
    <t>Personalikulu</t>
  </si>
  <si>
    <t>Ringijuhtide täiendav töötasu. Töötajate palgatõus</t>
  </si>
  <si>
    <t>Kinnistute, hoonete majandamiskulud</t>
  </si>
  <si>
    <t>Vajaminevad remonttööd siseruumides.</t>
  </si>
  <si>
    <t>Seoses uue ametiga on tekkinud suurem vajadus käia erinevatel täiendkoolitustel</t>
  </si>
  <si>
    <t>Ürituste kulu</t>
  </si>
  <si>
    <t>Eakate klubi "Meenutus" lisaraha 800 eur., ürituste lisaraha.</t>
  </si>
  <si>
    <t>Bürootarbed</t>
  </si>
  <si>
    <t>Lauatelefon, internet</t>
  </si>
  <si>
    <t>Trükised, ajalehed, ajakirjad</t>
  </si>
  <si>
    <t>Virumaa teataja,Eesti Ekspress,  Maakodu</t>
  </si>
  <si>
    <t>Kuulutused, reklaam</t>
  </si>
  <si>
    <t>Kingitused, auhinnad</t>
  </si>
  <si>
    <t>Küte</t>
  </si>
  <si>
    <t>Elektrikäitlemiskulu</t>
  </si>
  <si>
    <t>Korrashoid, remont</t>
  </si>
  <si>
    <t>Remonttööd siseruumides</t>
  </si>
  <si>
    <t>Vesi, kanalisatsioon</t>
  </si>
  <si>
    <t>Kindlustusmaksed</t>
  </si>
  <si>
    <t>Elektritarvikud</t>
  </si>
  <si>
    <t xml:space="preserve"> valgustus, pirnid, patareid</t>
  </si>
  <si>
    <t>Riidekattega toolid 30 tk</t>
  </si>
  <si>
    <t>Kultuurimajal puuduvad teisaldatavad lisatoolid</t>
  </si>
  <si>
    <t>Kaja</t>
  </si>
  <si>
    <t>(jõulupidu Muuga mõisas 600eur, kokkusaamised, väljasõidud sünnipäevade tähistamine), muud ettenägematud kulud.</t>
  </si>
  <si>
    <t>Töötajate tervisetõendid</t>
  </si>
  <si>
    <t>Toiduained</t>
  </si>
  <si>
    <t>Koristaja palgatõus</t>
  </si>
  <si>
    <t>Tehniku palgatõus</t>
  </si>
  <si>
    <t xml:space="preserve">Juhataja </t>
  </si>
  <si>
    <t>Ulvi klubi</t>
  </si>
  <si>
    <t>Ringijuht</t>
  </si>
  <si>
    <t>telefon ja internet</t>
  </si>
  <si>
    <t xml:space="preserve">telefon 3295418, internet Andigo OÜ 25.90 x 12 </t>
  </si>
  <si>
    <t xml:space="preserve">printeri tahm </t>
  </si>
  <si>
    <t xml:space="preserve">värviprinteri tahm </t>
  </si>
  <si>
    <t>paber, pliiats, markerid</t>
  </si>
  <si>
    <t>klubi juhataja koolitused</t>
  </si>
  <si>
    <t>juhataja koolitused/täiendkursused/suvekool</t>
  </si>
  <si>
    <t>pesutöötlus</t>
  </si>
  <si>
    <t xml:space="preserve">Virumaa Puhastus OÜ </t>
  </si>
  <si>
    <t xml:space="preserve">vesi ja kanalisatsioon </t>
  </si>
  <si>
    <t>Kunda Vesi OÜ</t>
  </si>
  <si>
    <t>veeautomaadi rent/vesi</t>
  </si>
  <si>
    <t xml:space="preserve">6.- x 12 </t>
  </si>
  <si>
    <t>Eesti Energia AS</t>
  </si>
  <si>
    <t>maaküte</t>
  </si>
  <si>
    <t xml:space="preserve">Viru Maaküte OÜ </t>
  </si>
  <si>
    <t>tulekustutite kontroll/hooldusteenus</t>
  </si>
  <si>
    <t>Tamrex Ohutuse OÜ</t>
  </si>
  <si>
    <t>valvesüsteemi hooldusteenua</t>
  </si>
  <si>
    <t>KMPH Grupp OÜ</t>
  </si>
  <si>
    <t>maja korrashoiuvahendid</t>
  </si>
  <si>
    <t>puh.vahendid, lapid, mopid, harjad, WC- ja kätebaperid, seebi jne.</t>
  </si>
  <si>
    <t xml:space="preserve">saali parketihooldus </t>
  </si>
  <si>
    <t>iga aastane parketihooldus/vahendid/tööaeg</t>
  </si>
  <si>
    <t>maja hooldustööd/remont</t>
  </si>
  <si>
    <t>ettenägematud kulud maja remondiks/pirnide vahetus/parandustööd/kanalisatsioonitööd</t>
  </si>
  <si>
    <t>lilled õue lillekastidesse, amplid suvel maja ees</t>
  </si>
  <si>
    <t xml:space="preserve">hoone kindlustus </t>
  </si>
  <si>
    <t>isikliku sõiduauto kasutamine juhatajal</t>
  </si>
  <si>
    <t xml:space="preserve">12 x 60.- </t>
  </si>
  <si>
    <t>arvutihooldus/programmid</t>
  </si>
  <si>
    <t>klubi ringide esinemisväljasõidud</t>
  </si>
  <si>
    <t>bussi tellimine</t>
  </si>
  <si>
    <t>lilleteenus</t>
  </si>
  <si>
    <t>ringijuhtide õnnitlemine, teiste asutuste õnnitlemine</t>
  </si>
  <si>
    <t>Vabariigi aastapäeva lipuheiskamine</t>
  </si>
  <si>
    <t>esineja tellimine,vastuvõtulaud</t>
  </si>
  <si>
    <t>väiksemad üritused/koosviibimised</t>
  </si>
  <si>
    <t>aasta jooksul lisanduvad mitte pikalt ette planeeritud üritused</t>
  </si>
  <si>
    <t xml:space="preserve">emadepäeva kontsert </t>
  </si>
  <si>
    <t>tort/lilled/esineja</t>
  </si>
  <si>
    <t>Rägavere piirkonna jaanituli</t>
  </si>
  <si>
    <t>ansambel/õhtujuht/auhinnad/lõke/lasteala</t>
  </si>
  <si>
    <t xml:space="preserve">koduste laste jõulupidu </t>
  </si>
  <si>
    <t>jõuluvana tellimine</t>
  </si>
  <si>
    <t>taidlejate/piirkonna jõulupidu</t>
  </si>
  <si>
    <t>esinejate tellimine/ ringijuhtide jõulupakid</t>
  </si>
  <si>
    <t xml:space="preserve">kevadine hooaja lõpetamine </t>
  </si>
  <si>
    <t>esineja/tänukirjad/kringel/kohv</t>
  </si>
  <si>
    <t>Rägavere piirkonna vastalpäev</t>
  </si>
  <si>
    <t>supp/kukklid/auhinnad</t>
  </si>
  <si>
    <t>dekoratsioonid üritustele</t>
  </si>
  <si>
    <t xml:space="preserve">eakate päeva tähistamine </t>
  </si>
  <si>
    <t>Lasteaia õueala haljastus</t>
  </si>
  <si>
    <t>Peale lasteaia õueala uuendamist jäid haljastustööd tegemata</t>
  </si>
  <si>
    <t>Mõisa kiviaed +tööriistakuur</t>
  </si>
  <si>
    <t>Aed lagunenud ja vajab remonti, tööriistakuur lagunenud</t>
  </si>
  <si>
    <t>Kiige tn. poolne võrkaed ja trepp</t>
  </si>
  <si>
    <t>Aed lagunenud, trepp kasutuskõlbmatu ja ohtlik</t>
  </si>
  <si>
    <t>Vinni lasteaed</t>
  </si>
  <si>
    <t>Direktor</t>
  </si>
  <si>
    <t>Lasteaiaõpetaja-kõrgem</t>
  </si>
  <si>
    <t>Lasteaiaõpetaja</t>
  </si>
  <si>
    <t>Liikumisõpetaja</t>
  </si>
  <si>
    <t>Muusikaõpetaja</t>
  </si>
  <si>
    <t>Logopeed</t>
  </si>
  <si>
    <t>Õpetajaabi</t>
  </si>
  <si>
    <t>Majandusjuhataja-laohoidja</t>
  </si>
  <si>
    <t>Kokk</t>
  </si>
  <si>
    <t>Valvur</t>
  </si>
  <si>
    <t>Koolieelikud</t>
  </si>
  <si>
    <t>Telefonid, internett</t>
  </si>
  <si>
    <t>Telia</t>
  </si>
  <si>
    <t>Ajalehed, tööalane kirjandus, kuulutused</t>
  </si>
  <si>
    <t>Õpetajate leht, tööalased teavikud jne</t>
  </si>
  <si>
    <t>Kantseleikaubad</t>
  </si>
  <si>
    <t>paber, pastakad, tahm jne</t>
  </si>
  <si>
    <t>Koolitused pedagoogidele</t>
  </si>
  <si>
    <t>Tellitud koolitused majja</t>
  </si>
  <si>
    <t>Ainesektsioonid</t>
  </si>
  <si>
    <t>Lähetus</t>
  </si>
  <si>
    <t>bussipiletid, kütus</t>
  </si>
  <si>
    <t>soojus</t>
  </si>
  <si>
    <t>Askoterm OÜ</t>
  </si>
  <si>
    <t>Emajõe Veevärk AS</t>
  </si>
  <si>
    <t>MTÜ L- Virumaa Jäätmekeskus, Ragnr Sells OÜ</t>
  </si>
  <si>
    <t>Pesu pesemine</t>
  </si>
  <si>
    <t>Pesumaja teenus 85x12</t>
  </si>
  <si>
    <t>Ats hooldus</t>
  </si>
  <si>
    <t>U.K.V Grupp OÜ  4x115</t>
  </si>
  <si>
    <t>Liivafiltri hooldus, rasvakoguja</t>
  </si>
  <si>
    <t>Virumaa Veepumbakeskus OÜ, Protectpipe OÜ</t>
  </si>
  <si>
    <t>Kahjurtõrje</t>
  </si>
  <si>
    <t>Rentokil OÜ 48x4</t>
  </si>
  <si>
    <t>Muruniiduk, murutraktor, trimmer</t>
  </si>
  <si>
    <t>bensiin, remont, damiil</t>
  </si>
  <si>
    <t>Koristusvahendid, puhastusvahendid, paberid jne</t>
  </si>
  <si>
    <t>Puhastusimport OÜ, Kaupmees, Bauhof</t>
  </si>
  <si>
    <t>Jooksev remont-santehniline töö, turvavalgustus, mänguväljak jne</t>
  </si>
  <si>
    <t>materjalid, töö</t>
  </si>
  <si>
    <t>Isikliku sõiduauto kasutus</t>
  </si>
  <si>
    <t>12x 64 x 2autot</t>
  </si>
  <si>
    <t>Eliis, Anc programm</t>
  </si>
  <si>
    <t>Arvutiprogrammid, hooldused</t>
  </si>
  <si>
    <t>viirusetõrje 10x25, dropbox</t>
  </si>
  <si>
    <t>Remont</t>
  </si>
  <si>
    <t>Süntesaator</t>
  </si>
  <si>
    <t>Lumepuhur</t>
  </si>
  <si>
    <t>toidupäevade arv x 1,60 euroga- 25% puudumised</t>
  </si>
  <si>
    <t>Hügieenitarbed</t>
  </si>
  <si>
    <t>plaastrid, des.vahendid jne</t>
  </si>
  <si>
    <t>Korralised med. tõendid</t>
  </si>
  <si>
    <t>tervise tõend, töötervishoiu arst</t>
  </si>
  <si>
    <t>Erialane pedagoogiline kirjandus</t>
  </si>
  <si>
    <t>Lasteraamatud ja teatmeteosed</t>
  </si>
  <si>
    <t>Paberid, värvid, pliiatsid, pintslid, liimid,meisterdamis vahendid jne</t>
  </si>
  <si>
    <t>Mänguvahendid, õpikud, töövihikud</t>
  </si>
  <si>
    <t>Mängupeod, väljasõidud, ühisüritused lastele</t>
  </si>
  <si>
    <t>auhinnad, bussi tellimine</t>
  </si>
  <si>
    <t>Ühisüritused personalile, väljasõidud</t>
  </si>
  <si>
    <t>bussi tellimine, ruumide rent</t>
  </si>
  <si>
    <t>õpetaja (magister)</t>
  </si>
  <si>
    <t>õpetaja (bakalaureus)</t>
  </si>
  <si>
    <t>muusikaõpetaja</t>
  </si>
  <si>
    <t>liikumisõpetaja</t>
  </si>
  <si>
    <t>liikumisõpetaja 7 kuud</t>
  </si>
  <si>
    <t>õpetaja abi</t>
  </si>
  <si>
    <t>logopeed 8 kuud</t>
  </si>
  <si>
    <t>Ragn Sells</t>
  </si>
  <si>
    <t>Pajusti lasteaed</t>
  </si>
  <si>
    <t>Preemiad</t>
  </si>
  <si>
    <t>vanad voodid amortiseerunud</t>
  </si>
  <si>
    <t>1/3 maja kapitaalremont</t>
  </si>
  <si>
    <t>põrandate remont ja katte vahetus, elektrijuhtmestiku vahetus, valgustite vahetus, ventilatsiooni ehitus, lagede ja seinte värvimine</t>
  </si>
  <si>
    <t>sõimelaste 3-kohalised sahtelvoodid koos madratsite, transpordi ja paigaldusega</t>
  </si>
  <si>
    <t>laste mängulinnak Johanna( Tiptiptap) koos liivast turvaala rajamise, transpordi ja paigaldus</t>
  </si>
  <si>
    <t>mängulinnak puudub, turvaala on seadusega nõutav</t>
  </si>
  <si>
    <t>mobiil</t>
  </si>
  <si>
    <t>kuulutused/ postikulu</t>
  </si>
  <si>
    <t>ELIIS</t>
  </si>
  <si>
    <t>printerite tahmad</t>
  </si>
  <si>
    <t>77,2x90MVH</t>
  </si>
  <si>
    <t>2018.a.+ 10%</t>
  </si>
  <si>
    <t>2,376 eur x 390m3</t>
  </si>
  <si>
    <t>puhastusvahendid, lapid, mopid, paber</t>
  </si>
  <si>
    <t>ATS hooldus</t>
  </si>
  <si>
    <t>46x 4 kvartalit</t>
  </si>
  <si>
    <t>pesupesemise teenus</t>
  </si>
  <si>
    <t>45x 12 korda</t>
  </si>
  <si>
    <t>kanal.pumpade hooldus</t>
  </si>
  <si>
    <t>60x 4 korda aastas</t>
  </si>
  <si>
    <t>prügivedu ja konteineri rent</t>
  </si>
  <si>
    <t>R-S 3.86 J 5.84x12 kuud</t>
  </si>
  <si>
    <t>isikliku sõiduauto kasutus</t>
  </si>
  <si>
    <t>64.- x 11 kuud</t>
  </si>
  <si>
    <t>hooldused, remont, varuosad</t>
  </si>
  <si>
    <t>rulood 2 rühma</t>
  </si>
  <si>
    <t>klaveri häälestamine</t>
  </si>
  <si>
    <t xml:space="preserve">toiduained </t>
  </si>
  <si>
    <t>5483 toidupäeva (so 55%) x1.15</t>
  </si>
  <si>
    <t>töötajate tervisetõendid, esmaabivahendid</t>
  </si>
  <si>
    <t>töövihikud, raamatud, mänguasjad, metoodilised vahendid ja kirjandus</t>
  </si>
  <si>
    <t>üritused</t>
  </si>
  <si>
    <t>laste õppereisid</t>
  </si>
  <si>
    <t>õpetaja</t>
  </si>
  <si>
    <t>pesumasinist</t>
  </si>
  <si>
    <t>aednik</t>
  </si>
  <si>
    <t>logopeed</t>
  </si>
  <si>
    <t>Lisatasu kuus 260</t>
  </si>
  <si>
    <t>Asendamised</t>
  </si>
  <si>
    <t>Kulina lasteaed</t>
  </si>
  <si>
    <t>printeritahm</t>
  </si>
  <si>
    <t>liikmemaks</t>
  </si>
  <si>
    <t>Haridus 2019</t>
  </si>
  <si>
    <t>Eliis</t>
  </si>
  <si>
    <t>Õpetajate leht</t>
  </si>
  <si>
    <t>Täheke</t>
  </si>
  <si>
    <t>Elion</t>
  </si>
  <si>
    <t>koopiapaber, kilekaaned jms</t>
  </si>
  <si>
    <t>L-Viru Haridusjuhtide Liit</t>
  </si>
  <si>
    <t>aasta tellimus</t>
  </si>
  <si>
    <t xml:space="preserve">24*12 </t>
  </si>
  <si>
    <t>aastatellimus</t>
  </si>
  <si>
    <t>Esmaabi</t>
  </si>
  <si>
    <t>vesi-ja kanalisatsioon</t>
  </si>
  <si>
    <t>Turvavalgustus, elektritööd</t>
  </si>
  <si>
    <t>Puhastussool veefiltrile</t>
  </si>
  <si>
    <t>maakütte aastane hooldus</t>
  </si>
  <si>
    <t>muruniitmine</t>
  </si>
  <si>
    <t>paviljonide korrastamine</t>
  </si>
  <si>
    <t>keskmine tarbimine 30860KWhx0,11652 euri kwh</t>
  </si>
  <si>
    <t>Emajõe Veevärk</t>
  </si>
  <si>
    <t>puhastusvahendid, tarvikud, WC paber jms</t>
  </si>
  <si>
    <t>L-Viru Jäätmekeskus (6,56*12)+ ohtlikud jäätmed jms</t>
  </si>
  <si>
    <t>U.K.V.Grupp kord kvartalis</t>
  </si>
  <si>
    <t>E.Ilves</t>
  </si>
  <si>
    <t>FEB AS</t>
  </si>
  <si>
    <t>TJ Hooldus OÜ</t>
  </si>
  <si>
    <t>õli, bensiin, hooldus</t>
  </si>
  <si>
    <t>tasandusegu põrandaaukude parandamiseks, värvid</t>
  </si>
  <si>
    <t>130*11 isikliku sõiduauto kasutamine</t>
  </si>
  <si>
    <t>arvutikõlarid</t>
  </si>
  <si>
    <t>paberipurustaja</t>
  </si>
  <si>
    <t>mesimummu rühma arvutile</t>
  </si>
  <si>
    <t>andmekaitse</t>
  </si>
  <si>
    <t>mängunurga köögimööbel</t>
  </si>
  <si>
    <t>muusikaesitaja</t>
  </si>
  <si>
    <t>vaip 1,35*1,7</t>
  </si>
  <si>
    <t>magnettahvel</t>
  </si>
  <si>
    <t>liivakast 3000mm*3000mm</t>
  </si>
  <si>
    <t>rulood</t>
  </si>
  <si>
    <t>mesimuumu rühma mängunurk</t>
  </si>
  <si>
    <t>et mängiks mp3 formaati, võimendusega ühildatav-muusikaõpetaja</t>
  </si>
  <si>
    <t>mesimummurühma mängunurk</t>
  </si>
  <si>
    <t>mesimummu rühm</t>
  </si>
  <si>
    <t>Lepatriinu rühm, ilmastikukindel, taaskasutatavast plastmaterjalist, kaetav-praegune liivakastiraam lagunev</t>
  </si>
  <si>
    <t>Lepatriinu rühma magamistuba, praegused rulood osaliselt katki, kinnitusklambrid muutunud rabedaks</t>
  </si>
  <si>
    <t>toitlustamine</t>
  </si>
  <si>
    <t>toidupäevade arv*lastearv*toidupäevamaksumus-30%, kokandustunnid 2 korda kuus  rühmades</t>
  </si>
  <si>
    <t>(orienteeruv summa) TTOSt tulev kohustus-kokk</t>
  </si>
  <si>
    <t>õppevahendid</t>
  </si>
  <si>
    <t>Matatalab, ozobot</t>
  </si>
  <si>
    <t>kunstitarbed, õppemängud, mänguasjad, õppematerjal, metoodiline kirjandus jms</t>
  </si>
  <si>
    <t>robootikaseadmed, võimalusel taotleme kevadel projektirahasid, kus omafinantseering 15% taotletud summast</t>
  </si>
  <si>
    <t>õppekäigud</t>
  </si>
  <si>
    <t>õppekäigud, ekskursioon, jõulupidu, lõpupidu, lasteaia sünnipäev</t>
  </si>
  <si>
    <t>lasteaia õpetaja</t>
  </si>
  <si>
    <t>abiõpetaja</t>
  </si>
  <si>
    <t>majandusjuhataja</t>
  </si>
  <si>
    <t>Lisatasu kuus 135€</t>
  </si>
  <si>
    <t>Ulvi lasteaed</t>
  </si>
  <si>
    <t>ruumide küte</t>
  </si>
  <si>
    <t>analüüsid</t>
  </si>
  <si>
    <t>koridori remont</t>
  </si>
  <si>
    <t>majanduskaup</t>
  </si>
  <si>
    <t>ventilatsiooni väljaehitus</t>
  </si>
  <si>
    <t>muruniidukile bensiin</t>
  </si>
  <si>
    <t>IT alane hooldus</t>
  </si>
  <si>
    <t xml:space="preserve">Inventari jooksev hooldus </t>
  </si>
  <si>
    <t>Laud tk.2  200 eurot</t>
  </si>
  <si>
    <t>Planeerin kaks, ühe tk.hind 100 eurot</t>
  </si>
  <si>
    <t>Riiul tk.1 100 eurot</t>
  </si>
  <si>
    <t>4 kohal voodi kompl. Tk.1 600 eurot</t>
  </si>
  <si>
    <t>Planeerin ühe</t>
  </si>
  <si>
    <t>3 kohal voodi kompl. Tk.1 500 eurot</t>
  </si>
  <si>
    <t>toolid tk.15  500 eurot</t>
  </si>
  <si>
    <t>Planeerin 15 tk soetada, ühe tk.hind umbes 33 eurot</t>
  </si>
  <si>
    <t>toiduained 30 last x230 päeva x 1.40</t>
  </si>
  <si>
    <t>Meditsiinikulud</t>
  </si>
  <si>
    <t>Ühisüritused</t>
  </si>
  <si>
    <t>Ürituste transport</t>
  </si>
  <si>
    <t>Sum of Maksud</t>
  </si>
  <si>
    <t>last</t>
  </si>
  <si>
    <t>kuu</t>
  </si>
  <si>
    <t>infojuht</t>
  </si>
  <si>
    <t>IT-spetsialist</t>
  </si>
  <si>
    <t>klaveriõpetus</t>
  </si>
  <si>
    <t>kondiiter</t>
  </si>
  <si>
    <t>koristaja</t>
  </si>
  <si>
    <t>laborant</t>
  </si>
  <si>
    <t>lasketiiru meister</t>
  </si>
  <si>
    <t>med.õde</t>
  </si>
  <si>
    <t>nõustamine</t>
  </si>
  <si>
    <t>ppr kasvataja</t>
  </si>
  <si>
    <t>psühholoog</t>
  </si>
  <si>
    <t>ringijuht (huvitav keemia)</t>
  </si>
  <si>
    <t>ringijuht (jalgpall, sulgpall, korvpall)</t>
  </si>
  <si>
    <t>ringijuht (judo, sumo)</t>
  </si>
  <si>
    <t>ringijuht (keelesõber)</t>
  </si>
  <si>
    <t>ringijuht (kergejõustik)</t>
  </si>
  <si>
    <t>ringijuht (klaverisaade)</t>
  </si>
  <si>
    <t>ringijuht (kodundus)</t>
  </si>
  <si>
    <t>ringijuht (kodu-uurimine)</t>
  </si>
  <si>
    <t>ringijuht (koolikujundus)</t>
  </si>
  <si>
    <t>ringijuht (kooliraadio)</t>
  </si>
  <si>
    <t>ringijuht (Kooli-TV)</t>
  </si>
  <si>
    <t>ringijuht (koorid(mudilas, laste)</t>
  </si>
  <si>
    <t>ringijuht (käsitöö)</t>
  </si>
  <si>
    <t>ringijuht (male)</t>
  </si>
  <si>
    <t>ringijuht (matkaring)</t>
  </si>
  <si>
    <t>ringijuht (meedia)</t>
  </si>
  <si>
    <t>ringijuht (meisterdamine)</t>
  </si>
  <si>
    <t>ringijuht (mini RC/automudelism)</t>
  </si>
  <si>
    <t>ringijuht (mudil. k, ans, solistid)</t>
  </si>
  <si>
    <t>ringijuht (muuseum)</t>
  </si>
  <si>
    <t>ringijuht (mälumängud)</t>
  </si>
  <si>
    <t>ringijuht (näitering)</t>
  </si>
  <si>
    <t>ringijuht (orienteerumine)</t>
  </si>
  <si>
    <t>ringijuht (pilliõpetus)</t>
  </si>
  <si>
    <t>ringijuht (rahvatants)</t>
  </si>
  <si>
    <t>ringijuht (robootika)</t>
  </si>
  <si>
    <t>ringijuht (rütmiring)</t>
  </si>
  <si>
    <t>ringijuht (sõutants)</t>
  </si>
  <si>
    <t>ringijuht (tantsuring)</t>
  </si>
  <si>
    <t>ringijuht (teadmiste jahil)</t>
  </si>
  <si>
    <t>ringijuht (teatriring)</t>
  </si>
  <si>
    <t>ringijuht (terve VPG)</t>
  </si>
  <si>
    <t>ringijuht (TORE)</t>
  </si>
  <si>
    <t>ringijuht (töö- ja tehnoloogia)</t>
  </si>
  <si>
    <t>sekretär</t>
  </si>
  <si>
    <t>sots.pedagoog</t>
  </si>
  <si>
    <t>söökla juhataja-kokk</t>
  </si>
  <si>
    <t>valvur</t>
  </si>
  <si>
    <t>HEV õppe koordinaator</t>
  </si>
  <si>
    <t>Abiõpetaja</t>
  </si>
  <si>
    <t>Vinni-Pajusti Gümnaasium</t>
  </si>
  <si>
    <t>Spordiinventaar</t>
  </si>
  <si>
    <t>Matid on vanad ja vajavad vahetamist ning uuendamist,</t>
  </si>
  <si>
    <t>Projektorid</t>
  </si>
  <si>
    <t>5 projektorit vajavad vahetamist</t>
  </si>
  <si>
    <t>Võrguseadmed</t>
  </si>
  <si>
    <t>Sisevõrgu korrastamine ja uuendamine</t>
  </si>
  <si>
    <t>Klassimööbel</t>
  </si>
  <si>
    <t>Õppevahendite hoiustamise kapid (6 klassi)</t>
  </si>
  <si>
    <t>Arvutipargi uuendus</t>
  </si>
  <si>
    <t xml:space="preserve">Vananevad arvutid vajavad uuendust ja vahetamist </t>
  </si>
  <si>
    <t>Valveseadmed</t>
  </si>
  <si>
    <t>Valveseadmete korrastamine ja uuendamine</t>
  </si>
  <si>
    <t>Infotabloo</t>
  </si>
  <si>
    <t>Info edastamine õpilastele, õpetajatele ja vanematele</t>
  </si>
  <si>
    <t xml:space="preserve">telefonid ja internet </t>
  </si>
  <si>
    <t>mobiilside</t>
  </si>
  <si>
    <t>ajalehed ja muu teabekirjandus</t>
  </si>
  <si>
    <t>raamatukogutarvikud</t>
  </si>
  <si>
    <t>eKool</t>
  </si>
  <si>
    <t>televisioon</t>
  </si>
  <si>
    <t>Telia Ettevõted, internet ja telefonid</t>
  </si>
  <si>
    <t xml:space="preserve">Telia </t>
  </si>
  <si>
    <t xml:space="preserve">aruanded jne </t>
  </si>
  <si>
    <t>päevaleht,õpetajate leht,virumaa teataja</t>
  </si>
  <si>
    <t>Deltmar(rmtk programm), raamatukile</t>
  </si>
  <si>
    <t>andmesidevõrk 110 x 12</t>
  </si>
  <si>
    <t>kaastunne, tööpakkumine</t>
  </si>
  <si>
    <t>paljundused, paber, pliiats jne</t>
  </si>
  <si>
    <t>eKool 80 x 12</t>
  </si>
  <si>
    <t>kaabel TV, Telia</t>
  </si>
  <si>
    <t>lisatud eraldi dokumendina</t>
  </si>
  <si>
    <t>vesi- ja kanalisatsioon</t>
  </si>
  <si>
    <t>prügivedu</t>
  </si>
  <si>
    <t>Lindström vaipade pesu</t>
  </si>
  <si>
    <t>KH ENERGIA KONSULT</t>
  </si>
  <si>
    <t>G4S AS</t>
  </si>
  <si>
    <t>USS Securiry</t>
  </si>
  <si>
    <t>Rentokil-kahjuritõrjeteenus</t>
  </si>
  <si>
    <t>ventilatsiooni hooldus</t>
  </si>
  <si>
    <t>remont</t>
  </si>
  <si>
    <t>1200 MWH x ???</t>
  </si>
  <si>
    <t>24000 Kwa x</t>
  </si>
  <si>
    <t>aasta tarbimine 2800m3 x ???</t>
  </si>
  <si>
    <t>puh.vahendid, paber jne</t>
  </si>
  <si>
    <t>KEK Elekter</t>
  </si>
  <si>
    <t>hooldus+filtrid</t>
  </si>
  <si>
    <t>pisiremont(san.remont)</t>
  </si>
  <si>
    <t>remont+liising</t>
  </si>
  <si>
    <t>autohüvitus(toiger,reimets)</t>
  </si>
  <si>
    <t>tehn.hoole</t>
  </si>
  <si>
    <t>Kallaste 135,Albert 185,buss 200 x 12 kuud</t>
  </si>
  <si>
    <t xml:space="preserve">Kallaste 249,Albert 220,buss 420x12 kuud </t>
  </si>
  <si>
    <t>liiklus+kasko 3 autot</t>
  </si>
  <si>
    <t>(40+150)x10kuud</t>
  </si>
  <si>
    <t>3 autot</t>
  </si>
  <si>
    <t>Kütus ja isikliku sõiduauto komp.</t>
  </si>
  <si>
    <t>arvutite värskendus(mälu,kõvaketad</t>
  </si>
  <si>
    <t>tarkvara litsensid</t>
  </si>
  <si>
    <t>remonditööd ja hooldus</t>
  </si>
  <si>
    <t>esmaabi vahendid,korral.med</t>
  </si>
  <si>
    <t>õpik,töövihik,mänguasjad jm</t>
  </si>
  <si>
    <t>paljunduspaber</t>
  </si>
  <si>
    <t>õppetransport</t>
  </si>
  <si>
    <t>med.tõend, vaktsineerimised,esmaabi vahendid</t>
  </si>
  <si>
    <t>mälumängud,spordivõistlused jm</t>
  </si>
  <si>
    <t>meened</t>
  </si>
  <si>
    <t>Kokku</t>
  </si>
  <si>
    <t>pikapäeva rühma kasvataja</t>
  </si>
  <si>
    <t>Põlula kool</t>
  </si>
  <si>
    <t>Lisatasud ja preemiad</t>
  </si>
  <si>
    <t>kontoritarbed</t>
  </si>
  <si>
    <t>koolitused</t>
  </si>
  <si>
    <t>hoonete kindlustus</t>
  </si>
  <si>
    <t>majanduskaup kooli ja sööklasse</t>
  </si>
  <si>
    <t>prügi vedu</t>
  </si>
  <si>
    <t>laboratoorsed analüüsid</t>
  </si>
  <si>
    <t>käiduteenus</t>
  </si>
  <si>
    <t>autopargi hooldus</t>
  </si>
  <si>
    <t>IT alased hooldustööd</t>
  </si>
  <si>
    <t>muud ettenägematud kulud 200 eurot</t>
  </si>
  <si>
    <t>nõudepesumasina hooldus 200 eurot</t>
  </si>
  <si>
    <t>aiakäru soetus tk.1 100 eurot</t>
  </si>
  <si>
    <t>murutrimmeri remont 100 eurot</t>
  </si>
  <si>
    <t>esmaabivahendid 100 eurot</t>
  </si>
  <si>
    <t>muud õppevahendid 300 eurot</t>
  </si>
  <si>
    <t>värvitoonerid tk.3 300 eurot</t>
  </si>
  <si>
    <t>tavatoonerid tk. 5  400 eurot</t>
  </si>
  <si>
    <t>tööõpetuse abivahendid- 500 eurot</t>
  </si>
  <si>
    <t>õpikud, töövihikud  300 eurot</t>
  </si>
  <si>
    <t>koopiapaber 100 eurot, värviline paber 100 eurot, kunstitarbed 600 eurot</t>
  </si>
  <si>
    <t>Haridusenõunik</t>
  </si>
  <si>
    <t>Metoodik</t>
  </si>
  <si>
    <t xml:space="preserve">Eripedagoog </t>
  </si>
  <si>
    <t>Muu haridus, sh hariduse haldus</t>
  </si>
  <si>
    <t>LVHJ lähetused+  3 töötaja koolitused</t>
  </si>
  <si>
    <t>(300+250+250) 2*10 kuud 1 *11 kuud</t>
  </si>
  <si>
    <t>eripedagoogi töövahendid</t>
  </si>
  <si>
    <t>laualambid jms alushariduse spets</t>
  </si>
  <si>
    <t>Haridusnõunik</t>
  </si>
  <si>
    <t>Tulud haridustegevusest kohatasud</t>
  </si>
  <si>
    <t>s.h põhikool</t>
  </si>
  <si>
    <t>s.h gümnaasium</t>
  </si>
  <si>
    <t>s.h alusharidus</t>
  </si>
  <si>
    <t>s.h õpilaskodu</t>
  </si>
  <si>
    <t xml:space="preserve">Kohatasud </t>
  </si>
  <si>
    <t>põhikool</t>
  </si>
  <si>
    <t>gümnaasium</t>
  </si>
  <si>
    <t>alusharidus</t>
  </si>
  <si>
    <t>arvlemine muusikakoolidega</t>
  </si>
  <si>
    <t>huvitegevusinventari soetus, arenguprojektid jms</t>
  </si>
  <si>
    <t>ringijuhtide tasud valla koolides 145 000</t>
  </si>
  <si>
    <t>Huvihariduse ja - tegevuse toetus</t>
  </si>
  <si>
    <t>toetusfond</t>
  </si>
  <si>
    <t>Valla hariduskapitali taastamine</t>
  </si>
  <si>
    <t>Õpilaste ja õpetajate vastuvõtt</t>
  </si>
  <si>
    <t>Õppeaasta lõpetamine</t>
  </si>
  <si>
    <t>Õppeaasta alustamine</t>
  </si>
  <si>
    <t>Õpetajatepäev</t>
  </si>
  <si>
    <t>(1*350.- + 3*125.-- 5*75.- )</t>
  </si>
  <si>
    <t>150 inimest: tänukirjad, meened, fotod, lilled, esinejad, suupisted</t>
  </si>
  <si>
    <t>Lilled , meened( 75 LA+31 PK +14 G+õpetajad)</t>
  </si>
  <si>
    <t>lilled 11 maja+ meened 1.klassile(75)</t>
  </si>
  <si>
    <t>üritus 175-le inimesele( kontsert, teater vms., transport, lilled, suupisted)</t>
  </si>
  <si>
    <t>Muud haridusüritused</t>
  </si>
  <si>
    <t>valla laste- ja noortepäev, haridusasutuste taidluspäevad jm ülevallalised üritused vastavalt kokkulepitud kultuurikavale</t>
  </si>
  <si>
    <t>Õpetajate ühiskoolitused</t>
  </si>
  <si>
    <t xml:space="preserve">koolivaheaegadel kõikidele valla õpetajatele korraldatud koolitused(4) </t>
  </si>
  <si>
    <t>0980004</t>
  </si>
  <si>
    <t>raamatukogu telefon, ajalehed,ajakirjad, print.tahm(ka kultuuriürituste kuulutused)</t>
  </si>
  <si>
    <t>korrashoiuvahendid(puh.vahendid,prügikotid jne), k.a.muuseumi jaoks</t>
  </si>
  <si>
    <t>Urrami programmi igakuine hooldustasu 20.-x 12 k</t>
  </si>
  <si>
    <t>uued raamatud kogusse</t>
  </si>
  <si>
    <t>planeeritud kultuuriüritused,mida korraldab. raamatukogu koostöös muuseumiga</t>
  </si>
  <si>
    <t>riiulitele teavikute kohasildid</t>
  </si>
  <si>
    <t>jäi osadele riiulitele 2019 puudu! s.h.lastefondile)</t>
  </si>
  <si>
    <t>Venevere seltsimaja</t>
  </si>
  <si>
    <t>kinnistukulud</t>
  </si>
  <si>
    <t>Sõidukite majandamiskulud</t>
  </si>
  <si>
    <t>IT kulud</t>
  </si>
  <si>
    <t>Pokaalid 50tk 90.00, muu inventar vastavalt vajadusele</t>
  </si>
  <si>
    <t>Ulvi Kodu rekonstrueerimine</t>
  </si>
  <si>
    <t>Rah.Min EL HKS (heitmekaubanduse süsteem)</t>
  </si>
  <si>
    <t>Vinni liiklusväljaku joonimine</t>
  </si>
  <si>
    <t>hooldaja</t>
  </si>
  <si>
    <t>Tammiku kodu</t>
  </si>
  <si>
    <t>Tammiku Kodu õueala mustkatte värskendamine</t>
  </si>
  <si>
    <t>Amortiseerunud mustkate</t>
  </si>
  <si>
    <t>telefonid ja internet, TV</t>
  </si>
  <si>
    <t xml:space="preserve">ajaleht </t>
  </si>
  <si>
    <t>tahm, paber, kirjatarbed</t>
  </si>
  <si>
    <t>kodulehekülg</t>
  </si>
  <si>
    <t xml:space="preserve">Virumaa Teataja                                               </t>
  </si>
  <si>
    <t xml:space="preserve">tint 30x4; paber, kirjatarbed                              </t>
  </si>
  <si>
    <t xml:space="preserve">Elkada Oü 19x44                                                 </t>
  </si>
  <si>
    <t>plaanilised koolitused</t>
  </si>
  <si>
    <t xml:space="preserve">juhataja koolitus                                                </t>
  </si>
  <si>
    <t xml:space="preserve">hooldajate, kokkade koolitused                         </t>
  </si>
  <si>
    <t>korrashoiuvahendid, voodipesud, käterätid jms</t>
  </si>
  <si>
    <t>KÜ maksud</t>
  </si>
  <si>
    <t>Valve ATS hooldus</t>
  </si>
  <si>
    <t>vee analüüsid</t>
  </si>
  <si>
    <t>korstna-ja ventilatsiooni puhastus</t>
  </si>
  <si>
    <t>kahjuritõrje, prügi</t>
  </si>
  <si>
    <t>kütus muruniidukile, niiduki õli ja remont</t>
  </si>
  <si>
    <t xml:space="preserve">35 m2 puid Tammiku Kodule                           </t>
  </si>
  <si>
    <t xml:space="preserve">Obja k peamaja ja 2 korterit Roelas             </t>
  </si>
  <si>
    <t xml:space="preserve">Fixum 230 eurot kuus                                                      </t>
  </si>
  <si>
    <t xml:space="preserve">pesuvahendid, puhastustarbed jm         </t>
  </si>
  <si>
    <t xml:space="preserve">Järve 2-10 ja Järve 6-21          </t>
  </si>
  <si>
    <t xml:space="preserve">4x72 GAS Eesti                                            </t>
  </si>
  <si>
    <t xml:space="preserve">Terviseamet                                               </t>
  </si>
  <si>
    <t xml:space="preserve">Päästeameti nõue                                         </t>
  </si>
  <si>
    <t xml:space="preserve">20 l kuus 240, õli, remont 150                                                                   </t>
  </si>
  <si>
    <t xml:space="preserve">Rentokil 35x4, prügi 13x12                 </t>
  </si>
  <si>
    <t>el.auto tehnhool, kindlustus, remont</t>
  </si>
  <si>
    <t>sotsiaaltranspordi teenus</t>
  </si>
  <si>
    <t>TV, arvutid</t>
  </si>
  <si>
    <t>toidukaup</t>
  </si>
  <si>
    <t xml:space="preserve">24 in x 365 p x 2,30                                  </t>
  </si>
  <si>
    <t>Tervisekontroll</t>
  </si>
  <si>
    <t>Pereõe külastus</t>
  </si>
  <si>
    <t>Ravimid</t>
  </si>
  <si>
    <t>Haiglatasud</t>
  </si>
  <si>
    <t xml:space="preserve">Töötajad                                                     </t>
  </si>
  <si>
    <t xml:space="preserve">Riina Sinisoo 1x kuus                                  </t>
  </si>
  <si>
    <t xml:space="preserve">Retsepti-ja vabamüügiravimid             </t>
  </si>
  <si>
    <t xml:space="preserve">1x linad, pesemiskindad, mähkmed jm      </t>
  </si>
  <si>
    <t xml:space="preserve">Haigla voodi-ja visiiditasud                           </t>
  </si>
  <si>
    <t>Üritused, sünnipäevad, esinejad</t>
  </si>
  <si>
    <t>Ettenägematud soetused</t>
  </si>
  <si>
    <t>Tulud sotsiaalabi teenustest</t>
  </si>
  <si>
    <t>Ulvi kodu</t>
  </si>
  <si>
    <t>hooldajad</t>
  </si>
  <si>
    <t xml:space="preserve">ajalehed( virumaa teataja, kodutohter </t>
  </si>
  <si>
    <t>esinduskulu</t>
  </si>
  <si>
    <t>ettevõttekindlustus</t>
  </si>
  <si>
    <t>ruumide korrashoid, pesu pesemine</t>
  </si>
  <si>
    <t>prügi vedu+energia kontroll)</t>
  </si>
  <si>
    <t>korrashoid ja remont tubades</t>
  </si>
  <si>
    <t>soojusenergia ( küte)</t>
  </si>
  <si>
    <t>isikliku sõiduauto komp.</t>
  </si>
  <si>
    <t>sõidukite kulud 11kuud * 150</t>
  </si>
  <si>
    <t>tarkvara hooldus</t>
  </si>
  <si>
    <t>internet ja teler, telefon</t>
  </si>
  <si>
    <t xml:space="preserve">voodikapp lauaga 2 tk  </t>
  </si>
  <si>
    <t>riidekapp 1 tk</t>
  </si>
  <si>
    <t>voodipesu 30</t>
  </si>
  <si>
    <t>köögitarvikud (potid, pannid) kööki, hooldus, remont</t>
  </si>
  <si>
    <t>nõudepesumasin</t>
  </si>
  <si>
    <t>madrats 2tk</t>
  </si>
  <si>
    <t>pesukuivati</t>
  </si>
  <si>
    <t>Personalitoit</t>
  </si>
  <si>
    <t>Ravimid, mähkmed</t>
  </si>
  <si>
    <t xml:space="preserve">kaldtee </t>
  </si>
  <si>
    <t>üritused, huvitegevus, lilled</t>
  </si>
  <si>
    <t xml:space="preserve">Tööriided  </t>
  </si>
  <si>
    <t>uus teenus</t>
  </si>
  <si>
    <t>sõiduabi (transport haiglast koju)</t>
  </si>
  <si>
    <t>tervishoiuteenuse ostmine ( pereõde)</t>
  </si>
  <si>
    <t>laste kommipakid</t>
  </si>
  <si>
    <t>toidukorda</t>
  </si>
  <si>
    <t>Maavarad</t>
  </si>
  <si>
    <t>Tudu raamatukogu</t>
  </si>
  <si>
    <t>lugejatele 2 tugitooli,vaip,laud</t>
  </si>
  <si>
    <t>tel 3235645 kõned ja kuutasu + interneti kuutasu</t>
  </si>
  <si>
    <t>ajakirjade arv jääb samaks nagu 2019.a.</t>
  </si>
  <si>
    <t>kantseleikaup,paber,tahm</t>
  </si>
  <si>
    <t>urrami programmihooldus 20.- x12 kuud</t>
  </si>
  <si>
    <t>Asendus- ja järelhooldus-teenuse toetus</t>
  </si>
  <si>
    <t>Vinni Perekodu</t>
  </si>
  <si>
    <t>Kohatasud</t>
  </si>
  <si>
    <t>perevanem Päikese 8</t>
  </si>
  <si>
    <t>perevanem Päikese 12</t>
  </si>
  <si>
    <t>perevanem Päikese 14</t>
  </si>
  <si>
    <t>perevanem Päikese 4</t>
  </si>
  <si>
    <t>perevanem Päikese 2</t>
  </si>
  <si>
    <t>abi</t>
  </si>
  <si>
    <t>puhkusteasendaja</t>
  </si>
  <si>
    <t>õuealahool, remont 0,5</t>
  </si>
  <si>
    <t>autojuht 0,5</t>
  </si>
  <si>
    <t>koristaja 0.2</t>
  </si>
  <si>
    <t xml:space="preserve">telefon, internet, TV </t>
  </si>
  <si>
    <t>kantseleikulu</t>
  </si>
  <si>
    <t>mobiilkõned</t>
  </si>
  <si>
    <t>vesi-kanalisatsioon</t>
  </si>
  <si>
    <t>korrashoiuvah.</t>
  </si>
  <si>
    <t>ühiselamumaksud</t>
  </si>
  <si>
    <t>signalisatsioon</t>
  </si>
  <si>
    <t>el. Käidu leping</t>
  </si>
  <si>
    <t>tehnoseadmed</t>
  </si>
  <si>
    <t>liising, kasko</t>
  </si>
  <si>
    <t>riided , jalanõud</t>
  </si>
  <si>
    <t xml:space="preserve">Inventar </t>
  </si>
  <si>
    <t>29 last x 40€kuusx 12 kuud</t>
  </si>
  <si>
    <t>toitlustamine kodus</t>
  </si>
  <si>
    <t>lasteaed, kaugel õppijad, väljas</t>
  </si>
  <si>
    <t>29 last x 4 € päev x 365 päeva</t>
  </si>
  <si>
    <t>ravimid, hügieen</t>
  </si>
  <si>
    <t>eriarstide vastuvõtt</t>
  </si>
  <si>
    <t xml:space="preserve">kohatasu lasteaed </t>
  </si>
  <si>
    <t>koolide väljasõidud</t>
  </si>
  <si>
    <t>trenn/hobi</t>
  </si>
  <si>
    <t>koolitarbed (sh eririietus, ....</t>
  </si>
  <si>
    <t>29 last  x 15 € x 12 kuud</t>
  </si>
  <si>
    <t>2019. aasta eelarve prognoositav jääk</t>
  </si>
  <si>
    <t>ringijuht</t>
  </si>
  <si>
    <t>kõneravi koolis</t>
  </si>
  <si>
    <t>kõneravi lasteaias</t>
  </si>
  <si>
    <t>abiõpetaja lasteaias</t>
  </si>
  <si>
    <t>lasteaiaõpetaja</t>
  </si>
  <si>
    <t>lasteaia muusikaõpetaja</t>
  </si>
  <si>
    <t>lasteaia liikumisõpetaja</t>
  </si>
  <si>
    <t>aednik-majahoidja</t>
  </si>
  <si>
    <t>katlakütja</t>
  </si>
  <si>
    <t>remondimees</t>
  </si>
  <si>
    <t>kokk+abitööline</t>
  </si>
  <si>
    <t>Tudu Põhikool</t>
  </si>
  <si>
    <t>2.korruse koridori põrandakate vahetada</t>
  </si>
  <si>
    <t xml:space="preserve">Põrandakate purunenud, </t>
  </si>
  <si>
    <t>uued rulood lasteaeda(4) ja 1 õppeklassis(49)</t>
  </si>
  <si>
    <t>kahjustatud, inetud ja ei toimi</t>
  </si>
  <si>
    <t>printeritahm ja tint</t>
  </si>
  <si>
    <t>kantseleitarbed</t>
  </si>
  <si>
    <t>ajakirjanduse tellimine</t>
  </si>
  <si>
    <t>EMT 200; lauatel+neti=600</t>
  </si>
  <si>
    <t>paber, kladed, pliiatsid jne</t>
  </si>
  <si>
    <t>ajalehed</t>
  </si>
  <si>
    <t>erivajadustega laste õpet</t>
  </si>
  <si>
    <t>robootika ainetundides</t>
  </si>
  <si>
    <t>uue õppekava rakend</t>
  </si>
  <si>
    <t>enesekehtestamine</t>
  </si>
  <si>
    <t>Tudu lasteaed</t>
  </si>
  <si>
    <t>aknapesuteenus</t>
  </si>
  <si>
    <t>elektritööd</t>
  </si>
  <si>
    <t>korstnapühkimine</t>
  </si>
  <si>
    <t>vesi, kanalisatsioon</t>
  </si>
  <si>
    <t>jooksev remont</t>
  </si>
  <si>
    <t>riigi sümboolika</t>
  </si>
  <si>
    <t>kooliaed(seemned, istikud)</t>
  </si>
  <si>
    <t>avariivalgustus</t>
  </si>
  <si>
    <t>hooldus</t>
  </si>
  <si>
    <t>autohüvitised</t>
  </si>
  <si>
    <t>rehvivahetus</t>
  </si>
  <si>
    <t>IT-tarvikud</t>
  </si>
  <si>
    <t>robootika õppevah</t>
  </si>
  <si>
    <t>muruniiduk</t>
  </si>
  <si>
    <t>köögikombain</t>
  </si>
  <si>
    <t>tolmuimeja</t>
  </si>
  <si>
    <t>koopiamasin</t>
  </si>
  <si>
    <t>lasteaia toidukaup</t>
  </si>
  <si>
    <t>kool</t>
  </si>
  <si>
    <t>esmaabi kapp</t>
  </si>
  <si>
    <t xml:space="preserve">õpikud </t>
  </si>
  <si>
    <t>mänguasjad, paber, värvid jm</t>
  </si>
  <si>
    <t>eriped tegevus</t>
  </si>
  <si>
    <t>õpikud sh etunni mälupulgad õpet</t>
  </si>
  <si>
    <t>tehnoloogia, kodund õppev</t>
  </si>
  <si>
    <t>eriped teenus</t>
  </si>
  <si>
    <t>paber, värvid jm</t>
  </si>
  <si>
    <t>vastlapäev</t>
  </si>
  <si>
    <t>EV aastpäev</t>
  </si>
  <si>
    <t>etenduse dekor</t>
  </si>
  <si>
    <t>jõuluvana</t>
  </si>
  <si>
    <t>isadepäev, emadepäev</t>
  </si>
  <si>
    <t>ekskursioonid, õppepäevad</t>
  </si>
  <si>
    <t>õa lõpetamine</t>
  </si>
  <si>
    <t xml:space="preserve">õpetajate päev </t>
  </si>
  <si>
    <t>Tudu hariduselu 170 tähist</t>
  </si>
  <si>
    <t>Perenaine</t>
  </si>
  <si>
    <t>Naistantsurühma juhendaja</t>
  </si>
  <si>
    <t>Memmede tantsurühma juhendaja</t>
  </si>
  <si>
    <t>Segakoori dirigent</t>
  </si>
  <si>
    <t>Naisansambli juhendaja</t>
  </si>
  <si>
    <t>Meesansambli juhendaja</t>
  </si>
  <si>
    <t>Kvartett ,,Sära´´ juhendaja</t>
  </si>
  <si>
    <t>ZUMBA tantsutrenni juhendaja</t>
  </si>
  <si>
    <t>Näiteringi ,,Kartoffel´´ juhendaja</t>
  </si>
  <si>
    <t>Laste pilliõpe</t>
  </si>
  <si>
    <t>Roela Rahvamaja</t>
  </si>
  <si>
    <t>töötasud</t>
  </si>
  <si>
    <t>juhendajate motiveerimine</t>
  </si>
  <si>
    <t>esinejate garderoobide mööbel,kontsertsaali kardinapuud, kaamerad, esinejate wc remont</t>
  </si>
  <si>
    <t>näituste korraldamise kulud</t>
  </si>
  <si>
    <t>ülesseadmine,transport</t>
  </si>
  <si>
    <t>RAM-i kontsert (RAM 75-EV 102)</t>
  </si>
  <si>
    <t>Salongiõhtu Meenutame jaak Joalat ja Georg Otsa</t>
  </si>
  <si>
    <t>kontserdi maksumus</t>
  </si>
  <si>
    <t>külalisesinejad</t>
  </si>
  <si>
    <t>Jaaniõhtu</t>
  </si>
  <si>
    <t>advendi ja jõuluüritused. Aastalõpupidu</t>
  </si>
  <si>
    <t>auhinnad,tantsumuusika</t>
  </si>
  <si>
    <t>esinejad, meened</t>
  </si>
  <si>
    <t>telefon, internet</t>
  </si>
  <si>
    <t>3297299,internet digi tv</t>
  </si>
  <si>
    <t>mobiiltelefon</t>
  </si>
  <si>
    <t>üritused,ümbrikud, plakatid</t>
  </si>
  <si>
    <t>tahma- ja tindikassetid</t>
  </si>
  <si>
    <t>printerid</t>
  </si>
  <si>
    <t>juhataja,ringijuhid</t>
  </si>
  <si>
    <t>õliküte 21000 l. aastas</t>
  </si>
  <si>
    <t>28455 mhv rahvamaja, arvestuses ka Sinilille tn. valgustus</t>
  </si>
  <si>
    <t>Virumaa Veepumbakeskus, Fixum</t>
  </si>
  <si>
    <t>U.K.V. Grupp</t>
  </si>
  <si>
    <t>wc paber, harjad, lapid, kodukeemia</t>
  </si>
  <si>
    <t>valgustid</t>
  </si>
  <si>
    <t>pirnid, prožektorid</t>
  </si>
  <si>
    <t>pesu pesemine</t>
  </si>
  <si>
    <t>teenus</t>
  </si>
  <si>
    <t>pisiremont</t>
  </si>
  <si>
    <t>12 kuud</t>
  </si>
  <si>
    <t>esinemised</t>
  </si>
  <si>
    <t>väljasõidud</t>
  </si>
  <si>
    <t>valgustid (prožektorid),helitehnika (kõlarid,juhtmed)</t>
  </si>
  <si>
    <t>esmaabivahendid,prillid</t>
  </si>
  <si>
    <t>käelise tegevuse asjad,markerid,paberid,liim,värvid,rekvisiit,lilled</t>
  </si>
  <si>
    <t>juhendaja tasustamine kuni eelmise aastani kooli eelarvest, vallavanem ei ole veel teinud otsust millisel moel edaspidi jätkata</t>
  </si>
  <si>
    <t>teede- ja ühistranspordinõunik</t>
  </si>
  <si>
    <t>Valitsuse liikme tasud</t>
  </si>
  <si>
    <t>Valitsuse liikmete koolituskulud</t>
  </si>
  <si>
    <t>Söökla trepikoda</t>
  </si>
  <si>
    <t xml:space="preserve">Pole remonditud u 50 a, väga halb väljanägemine. </t>
  </si>
  <si>
    <t>Tuulekastid (puidust) kulunud sisehoovis.</t>
  </si>
  <si>
    <t>sünnipäev, jõulukink</t>
  </si>
  <si>
    <t>Taskurahad</t>
  </si>
  <si>
    <t>Eelkooliealised</t>
  </si>
  <si>
    <t>1-4 klassi lapsed</t>
  </si>
  <si>
    <t>5-.. Lapsed</t>
  </si>
  <si>
    <t>Kultuuri-ja avalike suhete nõunik</t>
  </si>
  <si>
    <t>Kadila seltsimaja</t>
  </si>
  <si>
    <t>Kadila Seltsimaja</t>
  </si>
  <si>
    <t>Vesi ja kanalisatsioon</t>
  </si>
  <si>
    <t>Prügikonteineri rent</t>
  </si>
  <si>
    <t>Tudu Rahvamaja</t>
  </si>
  <si>
    <t>Vallalehe kirjastuskulud</t>
  </si>
  <si>
    <t>Lepingulised</t>
  </si>
  <si>
    <t>Pajusti klubi</t>
  </si>
  <si>
    <t>Küttesüsteemide parandus.
Termokraanide paigaldus. Radiaatoreid 20</t>
  </si>
  <si>
    <t>Klubi juhataja, ringide juhendajad</t>
  </si>
  <si>
    <t>arvutiprogrammid, hoolduse, tooner</t>
  </si>
  <si>
    <t>lastevanemate koolitused</t>
  </si>
  <si>
    <t>ÕK öökasvataja</t>
  </si>
  <si>
    <t>Roela Õpilaskodu</t>
  </si>
  <si>
    <t>mobiili kuulimiit 20 eurot</t>
  </si>
  <si>
    <t>printeri tahm</t>
  </si>
  <si>
    <t>kalendrid, paber jne</t>
  </si>
  <si>
    <t>internet 46 x 12 = 552</t>
  </si>
  <si>
    <t>20 x 12</t>
  </si>
  <si>
    <t>seadmete remont</t>
  </si>
  <si>
    <t>pesukuivati, pesumasin</t>
  </si>
  <si>
    <t>32 x 11 (Tiina Alavere)</t>
  </si>
  <si>
    <t>voodikast 9 tk</t>
  </si>
  <si>
    <t>köögitaburet 12 tk</t>
  </si>
  <si>
    <t>televiisor 1 tk</t>
  </si>
  <si>
    <t>toiduained</t>
  </si>
  <si>
    <t>ravimid</t>
  </si>
  <si>
    <t>vihikud, pliiatsid, värvid jne</t>
  </si>
  <si>
    <t>mängud</t>
  </si>
  <si>
    <t>Viru-Jaagupi rahvaraamatukogu küttesüsteemi üleviimine pelletküttele</t>
  </si>
  <si>
    <t>Tudu Kooli küttesüsteemi üleviimine pelletküttele</t>
  </si>
  <si>
    <t>Laekumised korrakaitseasutuste majandustegevusest</t>
  </si>
  <si>
    <t>Muuga-Laekvere kool</t>
  </si>
  <si>
    <t>büroo</t>
  </si>
  <si>
    <t>Muud admin.kulud</t>
  </si>
  <si>
    <t>Muud kinnistukulud</t>
  </si>
  <si>
    <t>muud inventari kulud</t>
  </si>
  <si>
    <t>piirdeaed</t>
  </si>
  <si>
    <t>vajab vahetust</t>
  </si>
  <si>
    <t>saali rulood</t>
  </si>
  <si>
    <t>vanad katki</t>
  </si>
  <si>
    <t>arvutid 4 tk</t>
  </si>
  <si>
    <t>uuendada</t>
  </si>
  <si>
    <t>traadita internetivõrk</t>
  </si>
  <si>
    <t>puudub</t>
  </si>
  <si>
    <t>Õpetaja+ klassijuhatamine</t>
  </si>
  <si>
    <t>õpiabi</t>
  </si>
  <si>
    <t xml:space="preserve">õppejuht </t>
  </si>
  <si>
    <t xml:space="preserve">sotsiaalpedagoog </t>
  </si>
  <si>
    <t>hoidja</t>
  </si>
  <si>
    <t>õpetaja assistent</t>
  </si>
  <si>
    <t xml:space="preserve">pikkpäev </t>
  </si>
  <si>
    <t>mõisa perenaine</t>
  </si>
  <si>
    <t>koka abi</t>
  </si>
  <si>
    <t>ringid (1,29+1,31)</t>
  </si>
  <si>
    <t>ujumine</t>
  </si>
  <si>
    <t>õpilaste üritused</t>
  </si>
  <si>
    <t>põrandate hooldus</t>
  </si>
  <si>
    <t>igal aastal</t>
  </si>
  <si>
    <t>rattahoidjad</t>
  </si>
  <si>
    <t>juurde vaja</t>
  </si>
  <si>
    <t>tuletõrje andurid</t>
  </si>
  <si>
    <t>vanad</t>
  </si>
  <si>
    <t>p tööõpetus tööriistad ja univ. Puidupink</t>
  </si>
  <si>
    <t>vaja uuendada</t>
  </si>
  <si>
    <t>köögikombain(juurviljatükeldaja)</t>
  </si>
  <si>
    <t>vana on amortiseerunud</t>
  </si>
  <si>
    <t>söögisaali rulood</t>
  </si>
  <si>
    <t>olemasolevad katki</t>
  </si>
  <si>
    <t>õpilaste üritused, autasud</t>
  </si>
  <si>
    <t>põrandate hooldus+ akende pesu</t>
  </si>
  <si>
    <t>peatrepi vaip</t>
  </si>
  <si>
    <t>kulunud</t>
  </si>
  <si>
    <t xml:space="preserve">ringid </t>
  </si>
  <si>
    <t>Jäätmekava</t>
  </si>
  <si>
    <t xml:space="preserve">Jäätmevaldajate register EVALD </t>
  </si>
  <si>
    <t>GEODATA jäätmehalduse moodul</t>
  </si>
  <si>
    <t>Lemmikloomaregister SPIN TEK</t>
  </si>
  <si>
    <t>muud hulkuvate loomadega seotud kulud</t>
  </si>
  <si>
    <t>a. Jäätmeringid (ohtlikud jäätmed, sh eterniit); 
b. ebaseaduslikult ladestatud jäätmete koristamine KOV maadelt;
c. konteinerite tühjendus ja rent (või väljaostmine); Valdavalt püsikulu</t>
  </si>
  <si>
    <t>sideteenused</t>
  </si>
  <si>
    <t>Vinni-Pajusti piirkond</t>
  </si>
  <si>
    <t>Korterite kommunaalmaksed</t>
  </si>
  <si>
    <t>valvekaameratega seotud kulud</t>
  </si>
  <si>
    <t>Vallamaja koristusteenus</t>
  </si>
  <si>
    <t>Tarvaprojekt</t>
  </si>
  <si>
    <t>Suuremad niitmised</t>
  </si>
  <si>
    <t>Tammikus OÜ</t>
  </si>
  <si>
    <t>Prügikonteinerite rent</t>
  </si>
  <si>
    <t>Prügivedu, konteinerite rent</t>
  </si>
  <si>
    <t>Jäätmekeskus</t>
  </si>
  <si>
    <t>Elektri tarbimine</t>
  </si>
  <si>
    <t>Heakorra tööde tarbitav kütus</t>
  </si>
  <si>
    <t>Muud kinnistute ja hoonetega seotud kulud</t>
  </si>
  <si>
    <t>Pingid</t>
  </si>
  <si>
    <t>abipolitseid</t>
  </si>
  <si>
    <t>Haagiste, sõidukite kindlustused</t>
  </si>
  <si>
    <t>sõidupäeviku teenus</t>
  </si>
  <si>
    <t>ülevaatus</t>
  </si>
  <si>
    <t>Silberauto</t>
  </si>
  <si>
    <t>liisingauto remont</t>
  </si>
  <si>
    <t>Silberauto liisingauto remont</t>
  </si>
  <si>
    <t>sõidukite remondi jms kulud</t>
  </si>
  <si>
    <t>muud sõidukitega seotud kulud</t>
  </si>
  <si>
    <t>Tööriistad</t>
  </si>
  <si>
    <t>Heakorratööline</t>
  </si>
  <si>
    <t>Ehitus-, remondi ja majandustöötaja</t>
  </si>
  <si>
    <t>remondi- ja elektritööline</t>
  </si>
  <si>
    <t>töövõimetus, ei maksa sotsiaalmaksu</t>
  </si>
  <si>
    <t>Kaasav eelarve</t>
  </si>
  <si>
    <t>Kaunis kodu auhinnafond</t>
  </si>
  <si>
    <t>Albumid, lilled jms</t>
  </si>
  <si>
    <t xml:space="preserve"> Halduse tagatavad kulud</t>
  </si>
  <si>
    <t>Vilde kirjanduspreemia</t>
  </si>
  <si>
    <t>Raamatud, lilled, külaliste vastuvõtt jms</t>
  </si>
  <si>
    <t>Varjupaikade MTÜ püsitasu kohalikelt + muuda tasud</t>
  </si>
  <si>
    <t>Pangateenustasud</t>
  </si>
  <si>
    <t>Swedbank</t>
  </si>
  <si>
    <t>Arhivaalide hävitamise teenus</t>
  </si>
  <si>
    <t>Arhiivi tarvikud</t>
  </si>
  <si>
    <t>Postikulud</t>
  </si>
  <si>
    <t>Koopiapaber</t>
  </si>
  <si>
    <t>Paljunduskulud</t>
  </si>
  <si>
    <t>Kalendrid</t>
  </si>
  <si>
    <t>Kalendermärkmikud</t>
  </si>
  <si>
    <t>Meened (prillilapp, tassid, pastakad)</t>
  </si>
  <si>
    <t>Lilled sünnipäevalistele jne</t>
  </si>
  <si>
    <t>Lauatelefonid</t>
  </si>
  <si>
    <t>Esinduskulud (kohv)</t>
  </si>
  <si>
    <t>Esindus - ja vastuvõtu kulud</t>
  </si>
  <si>
    <t>Kuulutused</t>
  </si>
  <si>
    <t>kaastunde avaldused jms</t>
  </si>
  <si>
    <t>Visiitkaardid</t>
  </si>
  <si>
    <t>Kantselei</t>
  </si>
  <si>
    <t>R.Võrno lähetused</t>
  </si>
  <si>
    <t>Koolitustel osalemine</t>
  </si>
  <si>
    <t>Mart, Vaive, Kersti, Tuuli, Inga, Kätlin</t>
  </si>
  <si>
    <t>Vallavalitsuse koosseisu hõlmavad üldised koolitused</t>
  </si>
  <si>
    <t>Valla meeskonna koolitused</t>
  </si>
  <si>
    <t>Mastilipud</t>
  </si>
  <si>
    <t>Saku Läte</t>
  </si>
  <si>
    <t>Vallamaja elekter</t>
  </si>
  <si>
    <t>Vallamaja vesi</t>
  </si>
  <si>
    <t>Vallamaja keskküte</t>
  </si>
  <si>
    <t>Hoone kindlustus</t>
  </si>
  <si>
    <t>Muud kinnistu ja hoonetega seotud kulud</t>
  </si>
  <si>
    <t>vallasekretär</t>
  </si>
  <si>
    <t>abivallavanem</t>
  </si>
  <si>
    <t>Vallavanema auto liising</t>
  </si>
  <si>
    <t>Vallavanema auto kindlustus</t>
  </si>
  <si>
    <t>Vallavanema auto kütus</t>
  </si>
  <si>
    <t>Vallavanema auto remont ja hooldus</t>
  </si>
  <si>
    <t xml:space="preserve"> X-tee turvaserveri v6  majutus</t>
  </si>
  <si>
    <t>AS Andmevara</t>
  </si>
  <si>
    <t>Kohaliku omavalitsuse teenusportaali kasutamine</t>
  </si>
  <si>
    <t>Amphora dokumendihaldustarkvara kuutasud</t>
  </si>
  <si>
    <t>kuutasu 280,02+km; 2020 hinnatõus 9%</t>
  </si>
  <si>
    <t>Amphora arendamine</t>
  </si>
  <si>
    <t>Kohvimasina rent</t>
  </si>
  <si>
    <t>Muud inventari vajadused</t>
  </si>
  <si>
    <t>Töötervishoiuarsti teenused, gripivaktsiin, esmaabi vahendid</t>
  </si>
  <si>
    <t>Prillide kompensatsioon</t>
  </si>
  <si>
    <t>10 in.</t>
  </si>
  <si>
    <t>Raamatud (meene isa-ema, vanaema-vanaisa)</t>
  </si>
  <si>
    <t>Vinni Vald 30</t>
  </si>
  <si>
    <t>Vabariigi aastapäev</t>
  </si>
  <si>
    <t>Kalade ülalpidamine</t>
  </si>
  <si>
    <t>Spordikulude hüvitamine</t>
  </si>
  <si>
    <t>28 in x 400€</t>
  </si>
  <si>
    <t>Arhiivi korrastamise teenus (töövõtuleping)</t>
  </si>
  <si>
    <t>Preemia juubilaridele (ametnik+töötaja)</t>
  </si>
  <si>
    <t>Kontode alanimetus</t>
  </si>
  <si>
    <t>Finantstulud</t>
  </si>
  <si>
    <t>Muutus</t>
  </si>
  <si>
    <t>Kodulehe majutus ja e-post</t>
  </si>
  <si>
    <t>Telia (e-post)</t>
  </si>
  <si>
    <t>7 arvutit</t>
  </si>
  <si>
    <t>7 monitori</t>
  </si>
  <si>
    <t>Ruuteri ja Syslogi hooldustasu</t>
  </si>
  <si>
    <t>Esri EA aastatasu</t>
  </si>
  <si>
    <t>Virtuaalserver</t>
  </si>
  <si>
    <t>Viirusetõrje</t>
  </si>
  <si>
    <t>Muud mitmesugused ennustamatud kulud: 752,6 € kuus</t>
  </si>
  <si>
    <t>Videovalve väljaehitamine</t>
  </si>
  <si>
    <t>hetkel kaamerate summa</t>
  </si>
  <si>
    <t>Põhivara soetuseks antav sihtfinantseerimine (-)</t>
  </si>
  <si>
    <t>Põhivara soetuseks saadav sihtfinantseerimine (+)</t>
  </si>
  <si>
    <t>Laenu võtmine</t>
  </si>
  <si>
    <t>Ühik2</t>
  </si>
  <si>
    <t>in</t>
  </si>
  <si>
    <t>(Multiple Items)</t>
  </si>
  <si>
    <t>Riigikaitse kokku</t>
  </si>
  <si>
    <t>maha arvatud laste arvust -20% puudumised</t>
  </si>
  <si>
    <t>kohatasu, maha arvestatud -10% puudumisi</t>
  </si>
  <si>
    <t>Spordiseltside, klubide, mtü-de, andekate sportlaste ja spordiürituste korraldamise toetused</t>
  </si>
  <si>
    <t>Toetused sportlastele, spordiüritused, kaasfinantseeringud, valla parimate sportlaste tunnustamine. (jooksvalt 2020)</t>
  </si>
  <si>
    <t>Lääne-Virumaa Puuetega Inimeste Koda</t>
  </si>
  <si>
    <t>sh. Laekvere eakate seltsing Meenutuse transpordi kulud</t>
  </si>
  <si>
    <t>Lääne-Virumaa Suurte Perede ühenduse toetamine</t>
  </si>
  <si>
    <t>Haigete sotsiaalne kaitse</t>
  </si>
  <si>
    <t>Laekvere halduspiirkond</t>
  </si>
  <si>
    <t>Muu tervishoid, sh tervishoiu haldamine</t>
  </si>
  <si>
    <t>Vallamaja küttesüsteem</t>
  </si>
  <si>
    <t>Vinni-Pajusti avaliku ruumi arendamine (Kirjandustammik, vaateplatvorm, VPG ala)</t>
  </si>
  <si>
    <t>Avalike mänguväljakute ja sportimispaikade rajamine</t>
  </si>
  <si>
    <t>Valla üldplaneeringu koostamine</t>
  </si>
  <si>
    <t>Ettevõtlust/turismi toetava taristu arendamine, sh kiire internetiühenduse leviku toetamine valla territooriumil</t>
  </si>
  <si>
    <t>Lisatasu kultuuriasutuste koordineerimise eest</t>
  </si>
  <si>
    <t>Alevike kanalisatsioon</t>
  </si>
  <si>
    <t>Liikmemaks Põhja- Eesti Ühistranspordikeskus MTÜ-le</t>
  </si>
  <si>
    <t>Muu amortiseeruv materiaalne põhivara</t>
  </si>
  <si>
    <t>ÜVK arendamise kava investeeringute kaasrahastamine</t>
  </si>
  <si>
    <t>Laekvere kompostimisväljaku rajamine</t>
  </si>
  <si>
    <t>maa soetus</t>
  </si>
  <si>
    <t>Pajusti klubi katus</t>
  </si>
  <si>
    <t>Laekvere Rahvamaja keldrisse lasketiiru rajamine</t>
  </si>
  <si>
    <t xml:space="preserve"> Laekvere Rahvamaja</t>
  </si>
  <si>
    <t>Laekvere Rahvamaja, energiatõhusustööd</t>
  </si>
  <si>
    <t>Raudteepärandi projektis osalemine</t>
  </si>
  <si>
    <t>Laekvere kergliiklustee</t>
  </si>
  <si>
    <t>Viru-Jaagupi – Kannastiku kergliiklustee</t>
  </si>
  <si>
    <t>Pajusti Lasteaia rühmaruumide remont</t>
  </si>
  <si>
    <t>Lasteaedade ja koolide õues õppetingimuste loomine</t>
  </si>
  <si>
    <t>Roela kool-küttesüsteem ja fassaad</t>
  </si>
  <si>
    <t>Muuga-Laekvere Kooli Laekvere koolimaja katuse vahetus, fassaadi remont</t>
  </si>
  <si>
    <t>Vinni-Pajusti Gümnaasiumi küttesüsteemi rekonstrueerimine</t>
  </si>
  <si>
    <t>Ulvi teeninduskeskuse / arstipunkti soojustamine</t>
  </si>
  <si>
    <t>ok</t>
  </si>
  <si>
    <t>2020 võetud laenude tagasimaksed</t>
  </si>
  <si>
    <t>Vinni Spordikompl.</t>
  </si>
  <si>
    <t>Paik MTÜ liikmemaks</t>
  </si>
  <si>
    <t>Virumaa Koostöökogu MTÜ liikmemaks</t>
  </si>
  <si>
    <t>2019.a +2%</t>
  </si>
  <si>
    <t>VIROL omaosalus projektis "Piirkondlike algatuste tugiprogramm 2020-2023"</t>
  </si>
  <si>
    <t>2020-2023 kogumaksumus 8264€</t>
  </si>
  <si>
    <t>Hilje ametikoht</t>
  </si>
  <si>
    <t>Kütus</t>
  </si>
  <si>
    <t>50000km*36l/100le*1,3eur/l</t>
  </si>
  <si>
    <t>0820301</t>
  </si>
  <si>
    <t>Muuseumid</t>
  </si>
  <si>
    <t>Vinni Vallamuuseum</t>
  </si>
  <si>
    <t>hooldatavat</t>
  </si>
  <si>
    <t>kuud</t>
  </si>
  <si>
    <t>Muuseumi juhataja</t>
  </si>
  <si>
    <t>Transpordikulud</t>
  </si>
  <si>
    <t>Põlula, Tudu muuseumisse isikute vedu</t>
  </si>
  <si>
    <t>Skännerid</t>
  </si>
  <si>
    <t>Arhiveerimistarvikud</t>
  </si>
  <si>
    <t>Põlula, Tudu, Roela, Viru-Jaagupi, Kadila, Laekvere</t>
  </si>
  <si>
    <t>Materjalide ettevalmistamine näituseks</t>
  </si>
  <si>
    <t xml:space="preserve">Põlula, Tudu, Roela </t>
  </si>
  <si>
    <t>Käsunduslepingud arhivaalide kogumiseks</t>
  </si>
  <si>
    <t>Topoteegi aastane hooldustasu</t>
  </si>
  <si>
    <t>Topoteegi pidajate koolitus</t>
  </si>
  <si>
    <t>TLU töögrupi tegevuse kompenseerimine</t>
  </si>
  <si>
    <t>Majutus, transport, toitlustus</t>
  </si>
  <si>
    <t>Eksperdi kaasamine ERMist</t>
  </si>
  <si>
    <t>VIROL liikmemaks 2020</t>
  </si>
  <si>
    <t>Kultuurinõunik</t>
  </si>
  <si>
    <t>Kultuuri MTÜ-de toetused</t>
  </si>
  <si>
    <t>Kultuuri MTÜ-de toetuste reserv</t>
  </si>
  <si>
    <t>10% kultuuri MTÜ-de kogumahust</t>
  </si>
  <si>
    <t>Ürituste plaan 2020</t>
  </si>
  <si>
    <t>liising, kasko, liiklus, tarvikud</t>
  </si>
  <si>
    <t>IT vahendid</t>
  </si>
  <si>
    <t>+ lisatud MTÜ Eestkoste teenused riigilõiv 50€/kuu</t>
  </si>
  <si>
    <t>Kingitused valdkonna asutustele</t>
  </si>
  <si>
    <t>Lauatennise laud Tudu kooli</t>
  </si>
  <si>
    <t>esialgu taotles vahendeid selle soetuseks Tudu Hariduse ja Spordiselts MTÜ</t>
  </si>
  <si>
    <t xml:space="preserve">0810908         </t>
  </si>
  <si>
    <t>Kultuuri projektide kaasfinantseerimised</t>
  </si>
  <si>
    <t>Kultuuri projektide kaasfinantseerimised 2020.a</t>
  </si>
  <si>
    <t>Toetusfondi vahendid koolide tarbeks</t>
  </si>
  <si>
    <t>huvitegevuse kompensatsioon lastevanematele</t>
  </si>
  <si>
    <t>Täiendav perede toetus 3 ja enama lapse puhul</t>
  </si>
  <si>
    <t>Kauplusauto</t>
  </si>
  <si>
    <t xml:space="preserve">VKK Kaubandus; </t>
  </si>
  <si>
    <t>naistepäevapidu</t>
  </si>
  <si>
    <t>%</t>
  </si>
  <si>
    <t>Noorkotkad</t>
  </si>
  <si>
    <t>Erik 400€; Gustav 400€; Aivar 400€; Irina 400€</t>
  </si>
  <si>
    <t>Irina 150€, Aivar 335€, Gustav 150€, Erik 150€; Kätlyn 150€</t>
  </si>
  <si>
    <t>Geoarhiivi moodul</t>
  </si>
  <si>
    <t>GEODATA</t>
  </si>
  <si>
    <t>Kohalike teede moodul</t>
  </si>
  <si>
    <t xml:space="preserve">Muud ettenägematud kulud  </t>
  </si>
  <si>
    <t xml:space="preserve">Riigilõivud </t>
  </si>
  <si>
    <t>Kommunaalteenused</t>
  </si>
  <si>
    <t>vesi</t>
  </si>
  <si>
    <t>Laekumised elamu- ja kommunaalasutuste majandustegevusest</t>
  </si>
  <si>
    <t>Vabatahtliku tegevuse püsitasu</t>
  </si>
  <si>
    <t>kvartal</t>
  </si>
  <si>
    <t>Valmisoleku tasud</t>
  </si>
  <si>
    <t>Tehnika püsitasu</t>
  </si>
  <si>
    <t>Saunateenuste tulu</t>
  </si>
  <si>
    <t>Laekumised muude majandusküsimustega tegelevate asutustega</t>
  </si>
  <si>
    <t>Korterite üüritulu</t>
  </si>
  <si>
    <t>Üüri- ja renditulud</t>
  </si>
  <si>
    <t>Korterite elekter</t>
  </si>
  <si>
    <t>Korterite vesi</t>
  </si>
  <si>
    <t>Korterite prügivedu</t>
  </si>
  <si>
    <t>Korterite keskküte</t>
  </si>
  <si>
    <t>Korterite digiteenus (elisa)</t>
  </si>
  <si>
    <t>Koduteenuse osutamine</t>
  </si>
  <si>
    <t>Valmisolekutasud</t>
  </si>
  <si>
    <t>Lisatasud tulekahju kustutamiste korral</t>
  </si>
  <si>
    <t>Sõidukite remont, hooldus jms</t>
  </si>
  <si>
    <t>Vee erikasutustasud</t>
  </si>
  <si>
    <t>sisaldab palgatõusu</t>
  </si>
  <si>
    <t>Lisavajadustes</t>
  </si>
  <si>
    <t>Ulvi Hooldekodu</t>
  </si>
  <si>
    <t xml:space="preserve">hooldekodu ja lasteaia pesu kuivat </t>
  </si>
  <si>
    <t>Töötajad tasuvad ise tagasi</t>
  </si>
  <si>
    <t>Kulu kaetakse hooldajate pere poolt</t>
  </si>
  <si>
    <t>sanremondi materjalid(pahtel,värv)</t>
  </si>
  <si>
    <t>wc paber,kätekuivatuspaber</t>
  </si>
  <si>
    <t>Planeeringus 168€ lisatasu märgitud</t>
  </si>
  <si>
    <t>Kulud, elektrile, küttele, prügi , vee eest, 
kanalistasioon, korrashoiuvahendid, tuletõrje 
ja signalisatsiooni hooldus, jäätmete vedamine, 
pisiremont</t>
  </si>
  <si>
    <t>Lilled Mõttelõng</t>
  </si>
  <si>
    <t>Lilled Elutark</t>
  </si>
  <si>
    <t>Fliisid jms</t>
  </si>
  <si>
    <t>Kaunis kodu</t>
  </si>
  <si>
    <t>Porkuni kool</t>
  </si>
  <si>
    <t>Tudu, Roela, V-Jaagupi, Pajusti, Vinni lapsed 7-26 a.</t>
  </si>
  <si>
    <t>huviharidus-ujumistreeningud Vinni Spordikompleksis 2020. - Tudu, Roela, V-Jaagupi, Pajusti, Vinni lapsed 7-26 a.</t>
  </si>
  <si>
    <t>Transport(buss)</t>
  </si>
  <si>
    <t>Ujula kasutus</t>
  </si>
  <si>
    <t>huviharidus-ujumistreeningud Vinni Spordikompleksis 2020. - Laekvere, Muuga lapsed 7-26a.</t>
  </si>
  <si>
    <t>Ujumise juhendamine</t>
  </si>
  <si>
    <t>Laekvere, Muuga lapsed 7-26a.</t>
  </si>
  <si>
    <t>Korrashoiu- ja puhastusvahendid</t>
  </si>
  <si>
    <t xml:space="preserve"> Muuga-laekvere kool-Laekvere õppehoone</t>
  </si>
  <si>
    <t xml:space="preserve"> Muuga Laekvere kool-Muuga õppehoone</t>
  </si>
  <si>
    <t>juhiabi/majandusjuht</t>
  </si>
  <si>
    <t>noorsootöötaja</t>
  </si>
  <si>
    <t>ÕK kasvataja</t>
  </si>
  <si>
    <t xml:space="preserve">pikapäevarühma kasvatajad </t>
  </si>
  <si>
    <t>Lepingule</t>
  </si>
  <si>
    <t>Eelarve rakenduse Veera Liitumis- ja juurutusprotsess</t>
  </si>
  <si>
    <t>Eelarve rakenduse Veera kuutasu</t>
  </si>
  <si>
    <t>MTÜ Eha kapelli juhendaja tasu</t>
  </si>
  <si>
    <t>MTÜ Eha kapellijuhendaja sõidukulud</t>
  </si>
  <si>
    <t>Muud ettenägematud kulud</t>
  </si>
  <si>
    <t>Rauno</t>
  </si>
  <si>
    <t xml:space="preserve">Muuga Spordihoone </t>
  </si>
  <si>
    <t>Välitrepi remont</t>
  </si>
  <si>
    <t>Total</t>
  </si>
  <si>
    <t>Lisaruumide san.remont vms renoveerimine</t>
  </si>
  <si>
    <t>Kiige tn poolne trepp</t>
  </si>
  <si>
    <t>VALLA ETTEPANEK</t>
  </si>
  <si>
    <t>Mänguväljaku rajamine</t>
  </si>
  <si>
    <t>Arenguväljaminekud</t>
  </si>
  <si>
    <t>PRIA toetus</t>
  </si>
  <si>
    <t>materjali kulu</t>
  </si>
  <si>
    <t>tundi</t>
  </si>
  <si>
    <t>noorsootöö all</t>
  </si>
  <si>
    <t>Filharmoonikud ja advendikingitus Valla ürituste eelarvesse</t>
  </si>
  <si>
    <t>Vinni Filharmoonikud, advendikingitus</t>
  </si>
  <si>
    <t>Töötajate juubelid</t>
  </si>
  <si>
    <t>Pisiremondid jms</t>
  </si>
  <si>
    <t>Juhtide tööjõukulu</t>
  </si>
  <si>
    <t>Pedagoogilised koolitused</t>
  </si>
  <si>
    <t>Pedagoogilised õppevahendid</t>
  </si>
  <si>
    <t>PK õpetajate tööjõukulu</t>
  </si>
  <si>
    <t>G õpetajate tööjõukulu</t>
  </si>
  <si>
    <t>Ped.</t>
  </si>
  <si>
    <t>Pk õpetajate tööjõukulu</t>
  </si>
  <si>
    <t>Pedagoogiliste vahendite reserv</t>
  </si>
  <si>
    <t>maksud</t>
  </si>
  <si>
    <t>Lisatasu kuu 300€</t>
  </si>
  <si>
    <t>0,13 kohta Margitil?</t>
  </si>
  <si>
    <t>PALK 970</t>
  </si>
  <si>
    <t>Kirjas 0,3 kohta Margitil?</t>
  </si>
  <si>
    <t>Disani nime all? Koormus?</t>
  </si>
  <si>
    <t>Sekretär</t>
  </si>
  <si>
    <t>haridustehnoloog</t>
  </si>
  <si>
    <t xml:space="preserve">hetkel täitmata </t>
  </si>
  <si>
    <t>lisatasu klaveriõpetajale</t>
  </si>
  <si>
    <t>lisatasu õpetajale</t>
  </si>
  <si>
    <t>alustavad jaanuarist</t>
  </si>
  <si>
    <t>20</t>
  </si>
  <si>
    <t>55</t>
  </si>
  <si>
    <t>15</t>
  </si>
  <si>
    <t>Personalikulud</t>
  </si>
  <si>
    <t>Personal</t>
  </si>
  <si>
    <t>Column2</t>
  </si>
  <si>
    <t>Column3</t>
  </si>
  <si>
    <t>Column4</t>
  </si>
  <si>
    <t>Kirjeldus</t>
  </si>
  <si>
    <t>Koolieelsete lasteasutuste õpetajate tööjõukulude toetus</t>
  </si>
  <si>
    <t>Rahvastikutoimingute kulude hüvitis</t>
  </si>
  <si>
    <t>Muuga-Laekvere koolile eraldatud katuseraha  Inventari soetamine</t>
  </si>
  <si>
    <t>Laekvere Põhikooli dušši- ja riietusruumide ehitamine</t>
  </si>
  <si>
    <t>Rahandusmin. Õpilaskodu toetus</t>
  </si>
  <si>
    <t>Arvestus: 11in*2000€/aasta=22 000; Vähendus 2019.a eest -2666,67</t>
  </si>
  <si>
    <t>PRIA koolipiima toetus</t>
  </si>
  <si>
    <t>Laekvere rahvamaja keldrisse lasketiiru rajamine</t>
  </si>
  <si>
    <t>Laekvere rahvamaja, soojustuse projekteerimine ja noortetoa ventilatsioon</t>
  </si>
  <si>
    <t>Laekvere koolimaja katuse vahetus, fassaadi remont</t>
  </si>
  <si>
    <t>Tudu kooli küttesüsteemi üleviimine pelletküttele</t>
  </si>
  <si>
    <t>Ulvi kodu rekonstrueerimine</t>
  </si>
  <si>
    <t>Viru-Jaagupi raamatukogu küttesüsteemi üleviimine pelletküttele</t>
  </si>
  <si>
    <t>Pajusti lasteaia rühmaruumide remont</t>
  </si>
  <si>
    <t>05</t>
  </si>
  <si>
    <t>02</t>
  </si>
  <si>
    <t>07</t>
  </si>
  <si>
    <t>45</t>
  </si>
  <si>
    <t>60</t>
  </si>
  <si>
    <t>41</t>
  </si>
  <si>
    <t>Column Labels</t>
  </si>
  <si>
    <t>Sum of Personalikulud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</si>
</sst>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%"/>
  </numFmts>
  <fonts count="19" x14ac:knownFonts="1"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  <charset val="186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sz val="8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theme="1"/>
      <name val="Calibri"/>
      <scheme val="minor"/>
    </font>
    <font>
      <sz val="11"/>
      <color theme="0" tint="-0.34998626667073579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quotePrefix="1"/>
    <xf numFmtId="4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/>
    <xf numFmtId="0" fontId="0" fillId="2" borderId="0" xfId="0" applyFill="1"/>
    <xf numFmtId="4" fontId="0" fillId="2" borderId="0" xfId="0" applyNumberFormat="1" applyFill="1"/>
    <xf numFmtId="0" fontId="0" fillId="0" borderId="1" xfId="0" applyFont="1" applyBorder="1"/>
    <xf numFmtId="0" fontId="1" fillId="3" borderId="3" xfId="0" applyFont="1" applyFill="1" applyBorder="1"/>
    <xf numFmtId="0" fontId="1" fillId="3" borderId="2" xfId="0" applyFont="1" applyFill="1" applyBorder="1"/>
    <xf numFmtId="4" fontId="1" fillId="3" borderId="2" xfId="0" applyNumberFormat="1" applyFont="1" applyFill="1" applyBorder="1"/>
    <xf numFmtId="0" fontId="0" fillId="0" borderId="0" xfId="0" applyBorder="1"/>
    <xf numFmtId="0" fontId="3" fillId="0" borderId="0" xfId="1" applyFont="1" applyBorder="1" applyAlignment="1"/>
    <xf numFmtId="0" fontId="4" fillId="0" borderId="0" xfId="1" applyFont="1"/>
    <xf numFmtId="0" fontId="5" fillId="0" borderId="0" xfId="1" applyFont="1"/>
    <xf numFmtId="4" fontId="3" fillId="0" borderId="5" xfId="1" applyNumberFormat="1" applyFont="1" applyBorder="1" applyAlignment="1">
      <alignment horizontal="right" vertical="center"/>
    </xf>
    <xf numFmtId="0" fontId="3" fillId="0" borderId="5" xfId="1" applyFont="1" applyBorder="1" applyAlignment="1">
      <alignment horizontal="left" vertical="center"/>
    </xf>
    <xf numFmtId="10" fontId="7" fillId="0" borderId="0" xfId="1" applyNumberFormat="1" applyFont="1"/>
    <xf numFmtId="4" fontId="4" fillId="0" borderId="0" xfId="1" applyNumberFormat="1" applyFont="1"/>
    <xf numFmtId="0" fontId="8" fillId="0" borderId="0" xfId="1" applyFont="1"/>
    <xf numFmtId="4" fontId="8" fillId="0" borderId="0" xfId="1" applyNumberFormat="1" applyFont="1"/>
    <xf numFmtId="10" fontId="8" fillId="0" borderId="0" xfId="1" applyNumberFormat="1" applyFont="1"/>
    <xf numFmtId="0" fontId="3" fillId="4" borderId="5" xfId="1" applyFont="1" applyFill="1" applyBorder="1" applyAlignment="1">
      <alignment horizontal="left" vertical="center"/>
    </xf>
    <xf numFmtId="0" fontId="4" fillId="0" borderId="0" xfId="1" applyNumberFormat="1" applyFont="1"/>
    <xf numFmtId="10" fontId="4" fillId="0" borderId="0" xfId="1" applyNumberFormat="1" applyFont="1"/>
    <xf numFmtId="0" fontId="1" fillId="3" borderId="9" xfId="0" applyFont="1" applyFill="1" applyBorder="1"/>
    <xf numFmtId="0" fontId="0" fillId="2" borderId="0" xfId="0" quotePrefix="1" applyFill="1"/>
    <xf numFmtId="0" fontId="0" fillId="5" borderId="0" xfId="0" applyFill="1"/>
    <xf numFmtId="0" fontId="0" fillId="0" borderId="0" xfId="0" quotePrefix="1" applyFill="1"/>
    <xf numFmtId="0" fontId="0" fillId="2" borderId="0" xfId="0" applyNumberFormat="1" applyFill="1"/>
    <xf numFmtId="0" fontId="0" fillId="0" borderId="0" xfId="0" applyFill="1"/>
    <xf numFmtId="0" fontId="0" fillId="0" borderId="0" xfId="0" applyNumberFormat="1" applyFill="1"/>
    <xf numFmtId="4" fontId="0" fillId="0" borderId="0" xfId="0" applyNumberFormat="1" applyFill="1"/>
    <xf numFmtId="0" fontId="0" fillId="0" borderId="4" xfId="0" applyFont="1" applyBorder="1"/>
    <xf numFmtId="0" fontId="0" fillId="2" borderId="0" xfId="0" applyFill="1" applyBorder="1"/>
    <xf numFmtId="0" fontId="0" fillId="0" borderId="0" xfId="0" applyFill="1" applyBorder="1"/>
    <xf numFmtId="0" fontId="0" fillId="0" borderId="0" xfId="0" applyNumberFormat="1" applyFill="1" applyBorder="1"/>
    <xf numFmtId="4" fontId="9" fillId="0" borderId="0" xfId="0" applyNumberFormat="1" applyFont="1"/>
    <xf numFmtId="2" fontId="0" fillId="0" borderId="0" xfId="0" applyNumberFormat="1" applyBorder="1"/>
    <xf numFmtId="0" fontId="0" fillId="0" borderId="4" xfId="0" applyFont="1" applyFill="1" applyBorder="1"/>
    <xf numFmtId="4" fontId="9" fillId="2" borderId="0" xfId="0" applyNumberFormat="1" applyFont="1" applyFill="1"/>
    <xf numFmtId="4" fontId="9" fillId="0" borderId="0" xfId="0" applyNumberFormat="1" applyFont="1" applyBorder="1"/>
    <xf numFmtId="4" fontId="9" fillId="0" borderId="0" xfId="0" applyNumberFormat="1" applyFont="1" applyFill="1" applyBorder="1"/>
    <xf numFmtId="4" fontId="9" fillId="2" borderId="0" xfId="0" applyNumberFormat="1" applyFont="1" applyFill="1" applyBorder="1"/>
    <xf numFmtId="4" fontId="9" fillId="0" borderId="0" xfId="0" applyNumberFormat="1" applyFont="1" applyFill="1"/>
    <xf numFmtId="0" fontId="0" fillId="2" borderId="0" xfId="0" applyNumberFormat="1" applyFill="1" applyBorder="1"/>
    <xf numFmtId="0" fontId="10" fillId="0" borderId="1" xfId="0" applyFont="1" applyBorder="1"/>
    <xf numFmtId="0" fontId="10" fillId="0" borderId="4" xfId="0" applyFont="1" applyBorder="1"/>
    <xf numFmtId="0" fontId="0" fillId="2" borderId="4" xfId="0" applyFont="1" applyFill="1" applyBorder="1"/>
    <xf numFmtId="2" fontId="0" fillId="0" borderId="0" xfId="0" applyNumberFormat="1" applyFill="1" applyBorder="1"/>
    <xf numFmtId="164" fontId="0" fillId="0" borderId="0" xfId="0" applyNumberFormat="1" applyFill="1" applyBorder="1"/>
    <xf numFmtId="0" fontId="0" fillId="0" borderId="0" xfId="0" applyAlignment="1">
      <alignment vertical="center" wrapText="1"/>
    </xf>
    <xf numFmtId="0" fontId="3" fillId="6" borderId="5" xfId="1" applyFont="1" applyFill="1" applyBorder="1" applyAlignment="1">
      <alignment horizontal="left" vertical="center"/>
    </xf>
    <xf numFmtId="0" fontId="3" fillId="4" borderId="5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0" fontId="12" fillId="0" borderId="4" xfId="0" applyFont="1" applyBorder="1"/>
    <xf numFmtId="0" fontId="3" fillId="0" borderId="5" xfId="1" applyFont="1" applyBorder="1" applyAlignment="1">
      <alignment horizontal="left" vertical="center"/>
    </xf>
    <xf numFmtId="0" fontId="3" fillId="0" borderId="5" xfId="1" applyFont="1" applyFill="1" applyBorder="1" applyAlignment="1">
      <alignment horizontal="left" vertical="center"/>
    </xf>
    <xf numFmtId="0" fontId="4" fillId="0" borderId="0" xfId="1" applyFont="1" applyFill="1"/>
    <xf numFmtId="4" fontId="4" fillId="0" borderId="0" xfId="1" applyNumberFormat="1" applyFont="1" applyFill="1"/>
    <xf numFmtId="4" fontId="0" fillId="0" borderId="0" xfId="0" quotePrefix="1" applyNumberFormat="1"/>
    <xf numFmtId="10" fontId="4" fillId="0" borderId="0" xfId="3" applyNumberFormat="1" applyFont="1"/>
    <xf numFmtId="10" fontId="3" fillId="0" borderId="5" xfId="3" applyNumberFormat="1" applyFont="1" applyBorder="1" applyAlignment="1">
      <alignment horizontal="right" vertical="center"/>
    </xf>
    <xf numFmtId="10" fontId="6" fillId="0" borderId="5" xfId="3" applyNumberFormat="1" applyFont="1" applyBorder="1" applyAlignment="1">
      <alignment horizontal="right" vertical="center"/>
    </xf>
    <xf numFmtId="10" fontId="6" fillId="6" borderId="5" xfId="3" applyNumberFormat="1" applyFont="1" applyFill="1" applyBorder="1" applyAlignment="1">
      <alignment horizontal="right" vertical="center"/>
    </xf>
    <xf numFmtId="10" fontId="3" fillId="6" borderId="5" xfId="3" applyNumberFormat="1" applyFont="1" applyFill="1" applyBorder="1" applyAlignment="1">
      <alignment horizontal="right" vertical="center"/>
    </xf>
    <xf numFmtId="10" fontId="6" fillId="4" borderId="5" xfId="3" applyNumberFormat="1" applyFont="1" applyFill="1" applyBorder="1" applyAlignment="1">
      <alignment horizontal="right" vertical="center"/>
    </xf>
    <xf numFmtId="10" fontId="3" fillId="4" borderId="5" xfId="3" applyNumberFormat="1" applyFont="1" applyFill="1" applyBorder="1" applyAlignment="1">
      <alignment horizontal="right" vertical="center"/>
    </xf>
    <xf numFmtId="10" fontId="6" fillId="0" borderId="5" xfId="3" applyNumberFormat="1" applyFont="1" applyFill="1" applyBorder="1" applyAlignment="1">
      <alignment horizontal="right" vertical="center"/>
    </xf>
    <xf numFmtId="165" fontId="6" fillId="6" borderId="5" xfId="3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0" fontId="0" fillId="0" borderId="0" xfId="0" applyAlignment="1">
      <alignment wrapText="1"/>
    </xf>
    <xf numFmtId="0" fontId="4" fillId="0" borderId="0" xfId="3" applyNumberFormat="1" applyFont="1"/>
    <xf numFmtId="0" fontId="13" fillId="0" borderId="4" xfId="0" applyFont="1" applyBorder="1"/>
    <xf numFmtId="0" fontId="0" fillId="0" borderId="4" xfId="0" applyFill="1" applyBorder="1"/>
    <xf numFmtId="0" fontId="0" fillId="7" borderId="0" xfId="0" applyFill="1"/>
    <xf numFmtId="4" fontId="9" fillId="7" borderId="0" xfId="0" applyNumberFormat="1" applyFont="1" applyFill="1"/>
    <xf numFmtId="0" fontId="0" fillId="7" borderId="0" xfId="0" applyNumberFormat="1" applyFill="1"/>
    <xf numFmtId="4" fontId="0" fillId="7" borderId="0" xfId="0" applyNumberFormat="1" applyFill="1"/>
    <xf numFmtId="0" fontId="0" fillId="7" borderId="0" xfId="0" applyFill="1" applyBorder="1"/>
    <xf numFmtId="0" fontId="0" fillId="8" borderId="0" xfId="0" applyFill="1"/>
    <xf numFmtId="0" fontId="0" fillId="8" borderId="0" xfId="0" applyNumberFormat="1" applyFill="1"/>
    <xf numFmtId="4" fontId="9" fillId="8" borderId="0" xfId="0" applyNumberFormat="1" applyFont="1" applyFill="1"/>
    <xf numFmtId="4" fontId="0" fillId="8" borderId="0" xfId="0" applyNumberFormat="1" applyFill="1"/>
    <xf numFmtId="0" fontId="0" fillId="9" borderId="0" xfId="0" applyFill="1"/>
    <xf numFmtId="0" fontId="0" fillId="9" borderId="0" xfId="0" applyNumberFormat="1" applyFill="1"/>
    <xf numFmtId="4" fontId="9" fillId="9" borderId="0" xfId="0" applyNumberFormat="1" applyFont="1" applyFill="1"/>
    <xf numFmtId="4" fontId="0" fillId="9" borderId="0" xfId="0" applyNumberFormat="1" applyFill="1"/>
    <xf numFmtId="0" fontId="0" fillId="10" borderId="0" xfId="0" applyFill="1" applyBorder="1"/>
    <xf numFmtId="0" fontId="0" fillId="10" borderId="0" xfId="0" applyFill="1"/>
    <xf numFmtId="4" fontId="9" fillId="10" borderId="0" xfId="0" applyNumberFormat="1" applyFont="1" applyFill="1" applyBorder="1"/>
    <xf numFmtId="0" fontId="0" fillId="10" borderId="1" xfId="0" applyFont="1" applyFill="1" applyBorder="1"/>
    <xf numFmtId="0" fontId="0" fillId="10" borderId="0" xfId="0" applyNumberFormat="1" applyFill="1" applyBorder="1"/>
    <xf numFmtId="0" fontId="0" fillId="10" borderId="0" xfId="0" applyNumberFormat="1" applyFill="1"/>
    <xf numFmtId="0" fontId="10" fillId="10" borderId="4" xfId="0" applyFont="1" applyFill="1" applyBorder="1"/>
    <xf numFmtId="0" fontId="10" fillId="10" borderId="1" xfId="0" applyFont="1" applyFill="1" applyBorder="1"/>
    <xf numFmtId="0" fontId="0" fillId="0" borderId="0" xfId="0" applyAlignment="1">
      <alignment horizontal="left" indent="2"/>
    </xf>
    <xf numFmtId="4" fontId="4" fillId="0" borderId="0" xfId="3" applyNumberFormat="1" applyFont="1"/>
    <xf numFmtId="0" fontId="14" fillId="0" borderId="4" xfId="0" applyFont="1" applyBorder="1"/>
    <xf numFmtId="0" fontId="15" fillId="2" borderId="0" xfId="0" applyFont="1" applyFill="1"/>
    <xf numFmtId="0" fontId="15" fillId="2" borderId="0" xfId="0" applyNumberFormat="1" applyFont="1" applyFill="1"/>
    <xf numFmtId="0" fontId="15" fillId="2" borderId="0" xfId="0" applyFont="1" applyFill="1" applyBorder="1"/>
    <xf numFmtId="4" fontId="16" fillId="2" borderId="0" xfId="0" applyNumberFormat="1" applyFont="1" applyFill="1"/>
    <xf numFmtId="4" fontId="15" fillId="2" borderId="0" xfId="0" applyNumberFormat="1" applyFont="1" applyFill="1"/>
    <xf numFmtId="0" fontId="9" fillId="0" borderId="0" xfId="0" applyNumberFormat="1" applyFont="1"/>
    <xf numFmtId="0" fontId="0" fillId="2" borderId="0" xfId="0" applyFill="1" applyAlignment="1">
      <alignment horizontal="left"/>
    </xf>
    <xf numFmtId="3" fontId="6" fillId="0" borderId="5" xfId="1" applyNumberFormat="1" applyFont="1" applyBorder="1" applyAlignment="1">
      <alignment horizontal="right" vertical="center"/>
    </xf>
    <xf numFmtId="3" fontId="6" fillId="6" borderId="5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/>
    </xf>
    <xf numFmtId="3" fontId="3" fillId="6" borderId="5" xfId="1" applyNumberFormat="1" applyFont="1" applyFill="1" applyBorder="1" applyAlignment="1">
      <alignment horizontal="right" vertical="center"/>
    </xf>
    <xf numFmtId="3" fontId="6" fillId="4" borderId="5" xfId="1" applyNumberFormat="1" applyFont="1" applyFill="1" applyBorder="1" applyAlignment="1">
      <alignment horizontal="right" vertical="center"/>
    </xf>
    <xf numFmtId="3" fontId="3" fillId="4" borderId="5" xfId="1" applyNumberFormat="1" applyFont="1" applyFill="1" applyBorder="1" applyAlignment="1">
      <alignment horizontal="right" vertical="center"/>
    </xf>
    <xf numFmtId="9" fontId="4" fillId="0" borderId="0" xfId="3" applyFont="1"/>
    <xf numFmtId="4" fontId="17" fillId="0" borderId="0" xfId="0" applyNumberFormat="1" applyFont="1"/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6" borderId="5" xfId="1" applyFont="1" applyFill="1" applyBorder="1" applyAlignment="1">
      <alignment horizontal="left" vertical="center"/>
    </xf>
    <xf numFmtId="0" fontId="3" fillId="0" borderId="5" xfId="1" applyFont="1" applyBorder="1" applyAlignment="1">
      <alignment horizontal="left" vertical="center" wrapText="1"/>
    </xf>
    <xf numFmtId="0" fontId="3" fillId="4" borderId="5" xfId="1" applyFont="1" applyFill="1" applyBorder="1" applyAlignment="1">
      <alignment horizontal="left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6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/>
    </xf>
    <xf numFmtId="0" fontId="3" fillId="0" borderId="6" xfId="1" applyFont="1" applyFill="1" applyBorder="1" applyAlignment="1">
      <alignment horizontal="left" vertical="center"/>
    </xf>
    <xf numFmtId="0" fontId="3" fillId="0" borderId="8" xfId="1" applyFont="1" applyFill="1" applyBorder="1" applyAlignment="1">
      <alignment horizontal="left" vertical="center"/>
    </xf>
    <xf numFmtId="0" fontId="0" fillId="0" borderId="1" xfId="0" applyNumberFormat="1" applyFont="1" applyBorder="1"/>
    <xf numFmtId="4" fontId="9" fillId="0" borderId="1" xfId="0" applyNumberFormat="1" applyFont="1" applyBorder="1"/>
    <xf numFmtId="4" fontId="0" fillId="0" borderId="1" xfId="0" applyNumberFormat="1" applyFont="1" applyBorder="1"/>
    <xf numFmtId="0" fontId="0" fillId="11" borderId="1" xfId="0" applyFont="1" applyFill="1" applyBorder="1"/>
    <xf numFmtId="0" fontId="0" fillId="11" borderId="1" xfId="0" applyNumberFormat="1" applyFont="1" applyFill="1" applyBorder="1"/>
    <xf numFmtId="4" fontId="9" fillId="11" borderId="1" xfId="0" applyNumberFormat="1" applyFont="1" applyFill="1" applyBorder="1"/>
    <xf numFmtId="4" fontId="0" fillId="11" borderId="1" xfId="0" applyNumberFormat="1" applyFont="1" applyFill="1" applyBorder="1"/>
    <xf numFmtId="0" fontId="0" fillId="2" borderId="1" xfId="0" applyFont="1" applyFill="1" applyBorder="1"/>
    <xf numFmtId="0" fontId="0" fillId="2" borderId="1" xfId="0" applyNumberFormat="1" applyFont="1" applyFill="1" applyBorder="1"/>
    <xf numFmtId="4" fontId="9" fillId="2" borderId="1" xfId="0" applyNumberFormat="1" applyFont="1" applyFill="1" applyBorder="1"/>
    <xf numFmtId="4" fontId="0" fillId="2" borderId="1" xfId="0" applyNumberFormat="1" applyFont="1" applyFill="1" applyBorder="1"/>
    <xf numFmtId="0" fontId="0" fillId="7" borderId="1" xfId="0" applyFont="1" applyFill="1" applyBorder="1"/>
    <xf numFmtId="0" fontId="0" fillId="7" borderId="1" xfId="0" applyNumberFormat="1" applyFont="1" applyFill="1" applyBorder="1"/>
    <xf numFmtId="4" fontId="9" fillId="7" borderId="1" xfId="0" applyNumberFormat="1" applyFont="1" applyFill="1" applyBorder="1"/>
    <xf numFmtId="4" fontId="0" fillId="7" borderId="1" xfId="0" applyNumberFormat="1" applyFont="1" applyFill="1" applyBorder="1"/>
    <xf numFmtId="0" fontId="0" fillId="8" borderId="1" xfId="0" applyFont="1" applyFill="1" applyBorder="1"/>
    <xf numFmtId="4" fontId="9" fillId="8" borderId="1" xfId="0" applyNumberFormat="1" applyFont="1" applyFill="1" applyBorder="1"/>
    <xf numFmtId="4" fontId="0" fillId="8" borderId="1" xfId="0" applyNumberFormat="1" applyFont="1" applyFill="1" applyBorder="1"/>
    <xf numFmtId="0" fontId="0" fillId="8" borderId="1" xfId="0" applyNumberFormat="1" applyFont="1" applyFill="1" applyBorder="1"/>
    <xf numFmtId="0" fontId="0" fillId="9" borderId="1" xfId="0" applyFont="1" applyFill="1" applyBorder="1"/>
    <xf numFmtId="4" fontId="9" fillId="9" borderId="1" xfId="0" applyNumberFormat="1" applyFont="1" applyFill="1" applyBorder="1"/>
    <xf numFmtId="4" fontId="0" fillId="9" borderId="1" xfId="0" applyNumberFormat="1" applyFont="1" applyFill="1" applyBorder="1"/>
    <xf numFmtId="0" fontId="0" fillId="9" borderId="1" xfId="0" applyNumberFormat="1" applyFont="1" applyFill="1" applyBorder="1"/>
    <xf numFmtId="0" fontId="0" fillId="0" borderId="1" xfId="0" applyFont="1" applyBorder="1" applyAlignment="1">
      <alignment vertical="center" wrapText="1"/>
    </xf>
    <xf numFmtId="0" fontId="0" fillId="11" borderId="1" xfId="0" quotePrefix="1" applyFont="1" applyFill="1" applyBorder="1"/>
    <xf numFmtId="0" fontId="0" fillId="0" borderId="1" xfId="0" quotePrefix="1" applyFont="1" applyBorder="1"/>
    <xf numFmtId="0" fontId="0" fillId="11" borderId="1" xfId="0" applyFont="1" applyFill="1" applyBorder="1" applyAlignment="1">
      <alignment wrapText="1"/>
    </xf>
    <xf numFmtId="0" fontId="15" fillId="2" borderId="1" xfId="0" applyFont="1" applyFill="1" applyBorder="1"/>
    <xf numFmtId="0" fontId="15" fillId="2" borderId="1" xfId="0" applyNumberFormat="1" applyFont="1" applyFill="1" applyBorder="1"/>
    <xf numFmtId="4" fontId="16" fillId="2" borderId="1" xfId="0" applyNumberFormat="1" applyFont="1" applyFill="1" applyBorder="1"/>
    <xf numFmtId="4" fontId="15" fillId="2" borderId="1" xfId="0" applyNumberFormat="1" applyFont="1" applyFill="1" applyBorder="1"/>
    <xf numFmtId="4" fontId="0" fillId="11" borderId="1" xfId="0" quotePrefix="1" applyNumberFormat="1" applyFont="1" applyFill="1" applyBorder="1"/>
    <xf numFmtId="0" fontId="18" fillId="0" borderId="0" xfId="0" pivotButton="1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4">
    <cellStyle name="Normal" xfId="0" builtinId="0"/>
    <cellStyle name="Normal 2" xfId="1"/>
    <cellStyle name="Percent" xfId="3" builtinId="5"/>
    <cellStyle name="Percent 2" xfId="2"/>
  </cellStyles>
  <dxfs count="86">
    <dxf>
      <font>
        <color theme="0" tint="-0.34998626667073579"/>
      </font>
    </dxf>
    <dxf>
      <font>
        <color theme="0" tint="-0.34998626667073579"/>
      </font>
    </dxf>
    <dxf>
      <alignment horizontal="center" readingOrder="0"/>
    </dxf>
    <dxf>
      <alignment horizontal="center" readingOrder="0"/>
    </dxf>
    <dxf>
      <alignment wrapText="1" readingOrder="0"/>
    </dxf>
    <dxf>
      <font>
        <color theme="0" tint="-0.34998626667073579"/>
      </font>
    </dxf>
    <dxf>
      <font>
        <color theme="0" tint="-0.34998626667073579"/>
      </font>
    </dxf>
    <dxf>
      <alignment wrapText="1" readingOrder="0"/>
    </dxf>
    <dxf>
      <font>
        <b/>
      </font>
      <numFmt numFmtId="4" formatCode="#,##0.00"/>
    </dxf>
    <dxf>
      <numFmt numFmtId="4" formatCode="#,##0.00"/>
    </dxf>
    <dxf>
      <font>
        <b/>
      </font>
      <numFmt numFmtId="4" formatCode="#,##0.00"/>
    </dxf>
    <dxf>
      <numFmt numFmtId="4" formatCode="#,##0.00"/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numFmt numFmtId="4" formatCode="#,##0.0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font>
        <b/>
      </font>
      <numFmt numFmtId="4" formatCode="#,##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/>
      </font>
      <numFmt numFmtId="4" formatCode="#,##0.00"/>
    </dxf>
    <dxf>
      <font>
        <b/>
      </font>
      <numFmt numFmtId="4" formatCode="#,##0.00"/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/>
      </font>
      <numFmt numFmtId="4" formatCode="#,##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numFmt numFmtId="0" formatCode="General"/>
    </dxf>
    <dxf>
      <numFmt numFmtId="0" formatCode="General"/>
      <fill>
        <patternFill patternType="solid">
          <fgColor indexed="64"/>
          <bgColor rgb="FFFFFF00"/>
        </patternFill>
      </fill>
    </dxf>
    <dxf>
      <numFmt numFmtId="0" formatCode="General"/>
    </dxf>
    <dxf>
      <numFmt numFmtId="0" formatCode="General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/>
      </font>
      <numFmt numFmtId="4" formatCode="#,##0.00"/>
    </dxf>
    <dxf>
      <numFmt numFmtId="0" formatCode="General"/>
    </dxf>
    <dxf>
      <numFmt numFmtId="0" formatCode="General"/>
    </dxf>
    <dxf>
      <numFmt numFmtId="0" formatCode="General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1" formatCode="0"/>
    </dxf>
    <dxf>
      <numFmt numFmtId="3" formatCode="#,##0"/>
    </dxf>
    <dxf>
      <numFmt numFmtId="4" formatCode="#,##0.00"/>
    </dxf>
    <dxf>
      <numFmt numFmtId="0" formatCode="General"/>
    </dxf>
    <dxf>
      <numFmt numFmtId="3" formatCode="#,##0"/>
    </dxf>
    <dxf>
      <numFmt numFmtId="1" formatCode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4" formatCode="#,##0.00"/>
    </dxf>
    <dxf>
      <numFmt numFmtId="4" formatCode="#,##0.00"/>
    </dxf>
  </dxfs>
  <tableStyles count="0" defaultTableStyle="TableStyleMedium2" defaultPivotStyle="PivotStyleLight16"/>
  <colors>
    <mruColors>
      <color rgb="FFD9E1F2"/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pivotCacheDefinition" Target="pivotCache/pivotCacheDefinition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pivotCacheDefinition" Target="pivotCache/pivotCacheDefinition3.xml"/><Relationship Id="rId42" Type="http://schemas.openxmlformats.org/officeDocument/2006/relationships/pivotCacheDefinition" Target="pivotCache/pivotCacheDefinition11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2.xml"/><Relationship Id="rId38" Type="http://schemas.openxmlformats.org/officeDocument/2006/relationships/pivotCacheDefinition" Target="pivotCache/pivotCacheDefinition7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pivotCacheDefinition" Target="pivotCache/pivotCacheDefinition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1.xml"/><Relationship Id="rId37" Type="http://schemas.openxmlformats.org/officeDocument/2006/relationships/pivotCacheDefinition" Target="pivotCache/pivotCacheDefinition6.xml"/><Relationship Id="rId40" Type="http://schemas.openxmlformats.org/officeDocument/2006/relationships/pivotCacheDefinition" Target="pivotCache/pivotCacheDefinition9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pivotCacheDefinition" Target="pivotCache/pivotCacheDefinition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pivotCacheDefinition" Target="pivotCache/pivotCacheDefinition4.xml"/><Relationship Id="rId43" Type="http://schemas.openxmlformats.org/officeDocument/2006/relationships/pivotCacheDefinition" Target="pivotCache/pivotCacheDefinition1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NNA" refreshedDate="43795.494917245371" createdVersion="5" refreshedVersion="5" minRefreshableVersion="3" recordCount="101">
  <cacheSource type="worksheet">
    <worksheetSource name="Table39"/>
  </cacheSource>
  <cacheFields count="16">
    <cacheField name="Valdkond" numFmtId="0">
      <sharedItems/>
    </cacheField>
    <cacheField name="Tegevusala" numFmtId="0">
      <sharedItems count="8">
        <s v="0820108         "/>
        <s v="0820107         "/>
        <s v="0820106         "/>
        <s v="0820105         "/>
        <s v="0820104         "/>
        <s v="0820103         "/>
        <s v="0820102         "/>
        <s v="0820101         "/>
      </sharedItems>
    </cacheField>
    <cacheField name="Tegevusala nimetus2" numFmtId="0">
      <sharedItems count="8">
        <s v=" Venevere Raamatukogu"/>
        <s v=" Muuga Raamatukogu"/>
        <s v=" Laekvere Raamatukogu"/>
        <s v=" Ulvi Raamatukogu"/>
        <s v=" Tudu Raamatukogu"/>
        <s v=" Roela Raamatukogu"/>
        <s v=" Viru-Jaagupi Raamatukogu"/>
        <s v=" Vinni Raamatukogu"/>
      </sharedItems>
    </cacheField>
    <cacheField name="Tegevusala alanimetus" numFmtId="0">
      <sharedItems/>
    </cacheField>
    <cacheField name="Tegevusala koondnimetus" numFmtId="0">
      <sharedItems/>
    </cacheField>
    <cacheField name="Eelarve eest vastutav" numFmtId="0">
      <sharedItems/>
    </cacheField>
    <cacheField name="Tegevuse kirjeldus" numFmtId="0">
      <sharedItems/>
    </cacheField>
    <cacheField name="2020. EA " numFmtId="0">
      <sharedItems containsSemiMixedTypes="0" containsString="0" containsNumber="1" minValue="30" maxValue="148000"/>
    </cacheField>
    <cacheField name="Märkused" numFmtId="0">
      <sharedItems containsBlank="1"/>
    </cacheField>
    <cacheField name="Konto" numFmtId="0">
      <sharedItems containsSemiMixedTypes="0" containsString="0" containsNumber="1" containsInteger="1" minValue="1551" maxValue="5540"/>
    </cacheField>
    <cacheField name="Konto nimetus" numFmtId="0">
      <sharedItems/>
    </cacheField>
    <cacheField name="Tulu/kulu liik2" numFmtId="0">
      <sharedItems containsSemiMixedTypes="0" containsString="0" containsNumber="1" containsInteger="1" minValue="15" maxValue="55"/>
    </cacheField>
    <cacheField name="Konto grupp" numFmtId="0">
      <sharedItems/>
    </cacheField>
    <cacheField name="Kontode koondnimetus" numFmtId="0">
      <sharedItems/>
    </cacheField>
    <cacheField name="Kontode alanimetus" numFmtId="0">
      <sharedItems/>
    </cacheField>
    <cacheField name="Tulu/kulu liigi grupp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INNA" refreshedDate="43795.505482175926" createdVersion="5" refreshedVersion="5" minRefreshableVersion="3" recordCount="105">
  <cacheSource type="worksheet">
    <worksheetSource name="Table40"/>
  </cacheSource>
  <cacheFields count="16">
    <cacheField name="Valdkond" numFmtId="0">
      <sharedItems/>
    </cacheField>
    <cacheField name="Tegevusala" numFmtId="0">
      <sharedItems/>
    </cacheField>
    <cacheField name="Tegevusala nimetus2" numFmtId="0">
      <sharedItems count="6">
        <s v=" Ulvi Klubi"/>
        <s v=" Venevere Seltsimaja"/>
        <s v=" Laekvere Rahvamaja"/>
        <s v=" Roela Rahvamaja"/>
        <s v=" Pajusti klubi"/>
        <s v=" Kadila Seltsimaja"/>
      </sharedItems>
    </cacheField>
    <cacheField name="Tegevusala alanimetus" numFmtId="0">
      <sharedItems/>
    </cacheField>
    <cacheField name="Tegevusala koondnimetus" numFmtId="0">
      <sharedItems/>
    </cacheField>
    <cacheField name="Eelarve eest vastutav" numFmtId="0">
      <sharedItems/>
    </cacheField>
    <cacheField name="Tegevuse kirjeldus" numFmtId="0">
      <sharedItems/>
    </cacheField>
    <cacheField name="2020. EA " numFmtId="0">
      <sharedItems containsSemiMixedTypes="0" containsString="0" containsNumber="1" minValue="-20000" maxValue="64820"/>
    </cacheField>
    <cacheField name="Märkused" numFmtId="0">
      <sharedItems containsBlank="1" containsMixedTypes="1" containsNumber="1" containsInteger="1" minValue="5273878" maxValue="5273878"/>
    </cacheField>
    <cacheField name="Konto" numFmtId="0">
      <sharedItems containsSemiMixedTypes="0" containsString="0" containsNumber="1" containsInteger="1" minValue="1551" maxValue="20385"/>
    </cacheField>
    <cacheField name="Konto nimetus" numFmtId="0">
      <sharedItems/>
    </cacheField>
    <cacheField name="Tulu/kulu liik2" numFmtId="0">
      <sharedItems containsSemiMixedTypes="0" containsString="0" containsNumber="1" containsInteger="1" minValue="15" maxValue="3502"/>
    </cacheField>
    <cacheField name="Konto grupp" numFmtId="0">
      <sharedItems/>
    </cacheField>
    <cacheField name="Kontode koondnimetus" numFmtId="0">
      <sharedItems/>
    </cacheField>
    <cacheField name="Kontode alanimetus" numFmtId="0">
      <sharedItems/>
    </cacheField>
    <cacheField name="Tulu/kulu liigi grupp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INNA" refreshedDate="43795.535715046295" createdVersion="5" refreshedVersion="5" minRefreshableVersion="3" recordCount="170">
  <cacheSource type="worksheet">
    <worksheetSource name="Table44"/>
  </cacheSource>
  <cacheFields count="16">
    <cacheField name="Valdkond" numFmtId="0">
      <sharedItems/>
    </cacheField>
    <cacheField name="Tegevusala" numFmtId="0">
      <sharedItems count="8">
        <s v="0911008         "/>
        <s v="0911007         "/>
        <s v="0911006         "/>
        <s v="0911005         "/>
        <s v="0911004         "/>
        <s v="0911003         "/>
        <s v="0911002         "/>
        <s v="0911001         "/>
      </sharedItems>
    </cacheField>
    <cacheField name="Tegevusala nimetus2" numFmtId="0">
      <sharedItems count="8">
        <s v=" Kohatasud"/>
        <s v=" Roela Lasteaed"/>
        <s v=" Laekvere Lasteaed"/>
        <s v=" Ulvi Lasteaed"/>
        <s v=" Tudu Lasteaed"/>
        <s v=" Kulina Lasteaed"/>
        <s v=" Pajusti Lasteaed"/>
        <s v=" Vinni Lasteaed"/>
      </sharedItems>
    </cacheField>
    <cacheField name="Tegevusala alanimetus" numFmtId="0">
      <sharedItems/>
    </cacheField>
    <cacheField name="Tegevusala koondnimetus" numFmtId="0">
      <sharedItems/>
    </cacheField>
    <cacheField name="Eelarve eest vastutav" numFmtId="0">
      <sharedItems/>
    </cacheField>
    <cacheField name="Tegevuse kirjeldus" numFmtId="0">
      <sharedItems/>
    </cacheField>
    <cacheField name="2020. EA " numFmtId="0">
      <sharedItems containsSemiMixedTypes="0" containsString="0" containsNumber="1" minValue="0" maxValue="80000"/>
    </cacheField>
    <cacheField name="Märkused" numFmtId="0">
      <sharedItems containsBlank="1"/>
    </cacheField>
    <cacheField name="Konto" numFmtId="0">
      <sharedItems containsSemiMixedTypes="0" containsString="0" containsNumber="1" containsInteger="1" minValue="1551" maxValue="5525"/>
    </cacheField>
    <cacheField name="Konto nimetus" numFmtId="0">
      <sharedItems/>
    </cacheField>
    <cacheField name="Tulu/kulu liik2" numFmtId="0">
      <sharedItems containsSemiMixedTypes="0" containsString="0" containsNumber="1" containsInteger="1" minValue="15" maxValue="55"/>
    </cacheField>
    <cacheField name="Konto grupp" numFmtId="0">
      <sharedItems/>
    </cacheField>
    <cacheField name="Kontode koondnimetus" numFmtId="0">
      <sharedItems/>
    </cacheField>
    <cacheField name="Kontode alanimetus" numFmtId="0">
      <sharedItems/>
    </cacheField>
    <cacheField name="Tulu/kulu liigi grupp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INNA" refreshedDate="43795.546813773151" createdVersion="5" refreshedVersion="5" minRefreshableVersion="3" recordCount="287">
  <cacheSource type="worksheet">
    <worksheetSource name="Table46"/>
  </cacheSource>
  <cacheFields count="16">
    <cacheField name="Valdkond" numFmtId="0">
      <sharedItems/>
    </cacheField>
    <cacheField name="Tegevusala" numFmtId="0">
      <sharedItems/>
    </cacheField>
    <cacheField name="Tegevusala nimetus2" numFmtId="0">
      <sharedItems count="7">
        <s v=" Põlula kool"/>
        <s v=" Kohatasud"/>
        <s v=" Vinni pajusti Gümnaasium"/>
        <s v=" Tudu kool"/>
        <s v=" Roela kool"/>
        <s v=" Muuga Laekvere kool-Muuga õppehoone"/>
        <s v=" Muuga-laekvere kool-Laekvere õppehoone"/>
      </sharedItems>
    </cacheField>
    <cacheField name="Tegevusala alanimetus" numFmtId="0">
      <sharedItems/>
    </cacheField>
    <cacheField name="Tegevusala koondnimetus" numFmtId="0">
      <sharedItems/>
    </cacheField>
    <cacheField name="Eelarve eest vastutav" numFmtId="0">
      <sharedItems/>
    </cacheField>
    <cacheField name="Tegevuse kirjeldus" numFmtId="0">
      <sharedItems/>
    </cacheField>
    <cacheField name="2020. EA " numFmtId="0">
      <sharedItems containsSemiMixedTypes="0" containsString="0" containsNumber="1" minValue="0" maxValue="350000"/>
    </cacheField>
    <cacheField name="Märkused" numFmtId="0">
      <sharedItems containsBlank="1"/>
    </cacheField>
    <cacheField name="Konto" numFmtId="0">
      <sharedItems containsSemiMixedTypes="0" containsString="0" containsNumber="1" containsInteger="1" minValue="1551" maxValue="5540"/>
    </cacheField>
    <cacheField name="Konto nimetus" numFmtId="0">
      <sharedItems/>
    </cacheField>
    <cacheField name="Tulu/kulu liik2" numFmtId="0">
      <sharedItems containsSemiMixedTypes="0" containsString="0" containsNumber="1" containsInteger="1" minValue="15" maxValue="55"/>
    </cacheField>
    <cacheField name="Konto grupp" numFmtId="0">
      <sharedItems/>
    </cacheField>
    <cacheField name="Kontode koondnimetus" numFmtId="0">
      <sharedItems/>
    </cacheField>
    <cacheField name="Kontode alanimetus" numFmtId="0">
      <sharedItems/>
    </cacheField>
    <cacheField name="Tulu/kulu liigi grupp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INNA" refreshedDate="43795.634973148146" createdVersion="5" refreshedVersion="5" minRefreshableVersion="3" recordCount="75">
  <cacheSource type="worksheet">
    <worksheetSource name="Table57"/>
  </cacheSource>
  <cacheFields count="16">
    <cacheField name="Valdkond" numFmtId="0">
      <sharedItems/>
    </cacheField>
    <cacheField name="Tegevusala" numFmtId="0">
      <sharedItems/>
    </cacheField>
    <cacheField name="Tegevusala nimetus2" numFmtId="0">
      <sharedItems count="4">
        <s v=" Vinni Päevakeskus"/>
        <s v=" Muud asutused"/>
        <s v=" Ulvi Hooldekodu"/>
        <s v=" Tammiku Kodu"/>
      </sharedItems>
    </cacheField>
    <cacheField name="Tegevusala alanimetus" numFmtId="0">
      <sharedItems/>
    </cacheField>
    <cacheField name="Tegevusala koondnimetus" numFmtId="0">
      <sharedItems/>
    </cacheField>
    <cacheField name="Eelarve eest vastutav" numFmtId="0">
      <sharedItems/>
    </cacheField>
    <cacheField name="Tegevuse kirjeldus" numFmtId="0">
      <sharedItems/>
    </cacheField>
    <cacheField name="2020. EA " numFmtId="0">
      <sharedItems containsSemiMixedTypes="0" containsString="0" containsNumber="1" containsInteger="1" minValue="-200000" maxValue="400000"/>
    </cacheField>
    <cacheField name="Märkused" numFmtId="0">
      <sharedItems containsBlank="1"/>
    </cacheField>
    <cacheField name="Konto" numFmtId="0">
      <sharedItems containsSemiMixedTypes="0" containsString="0" containsNumber="1" containsInteger="1" minValue="1551" maxValue="20385"/>
    </cacheField>
    <cacheField name="Konto nimetus" numFmtId="0">
      <sharedItems/>
    </cacheField>
    <cacheField name="Tulu/kulu liik2" numFmtId="0">
      <sharedItems containsSemiMixedTypes="0" containsString="0" containsNumber="1" containsInteger="1" minValue="15" maxValue="3502"/>
    </cacheField>
    <cacheField name="Konto grupp" numFmtId="0">
      <sharedItems/>
    </cacheField>
    <cacheField name="Kontode koondnimetus" numFmtId="0">
      <sharedItems/>
    </cacheField>
    <cacheField name="Kontode alanimetus" numFmtId="0">
      <sharedItems/>
    </cacheField>
    <cacheField name="Tulu/kulu liigi grupp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INNA" refreshedDate="43795.665988425928" createdVersion="5" refreshedVersion="5" minRefreshableVersion="3" recordCount="163">
  <cacheSource type="worksheet">
    <worksheetSource name="Table62"/>
  </cacheSource>
  <cacheFields count="16">
    <cacheField name="Valdkond" numFmtId="0">
      <sharedItems/>
    </cacheField>
    <cacheField name="Tegevusala" numFmtId="0">
      <sharedItems/>
    </cacheField>
    <cacheField name="Tegevusala nimetus2" numFmtId="0">
      <sharedItems count="9">
        <s v=" Hulkuvad loomad"/>
        <s v=" Kalmistud"/>
        <s v=" Saunad"/>
        <s v=" Vinni-Pajusti halduspiirkond"/>
        <s v=" Viru Jaagupi halduspiirkond"/>
        <s v=" Tudu halduspiirkond"/>
        <s v=" Roela halduspiirkond"/>
        <s v=" Rägavere halduspiirkond"/>
        <s v="Laekvere halduspiirkond"/>
      </sharedItems>
    </cacheField>
    <cacheField name="Tegevusala alanimetus" numFmtId="0">
      <sharedItems count="1">
        <s v="Muu elamu- ja kommunaalmajanduse tegevus"/>
      </sharedItems>
    </cacheField>
    <cacheField name="Tegevusala koondnimetus" numFmtId="0">
      <sharedItems/>
    </cacheField>
    <cacheField name="Eelarve eest vastutav" numFmtId="0">
      <sharedItems/>
    </cacheField>
    <cacheField name="Tegevuse kirjeldus" numFmtId="0">
      <sharedItems/>
    </cacheField>
    <cacheField name="2020. EA " numFmtId="0">
      <sharedItems containsSemiMixedTypes="0" containsString="0" containsNumber="1" minValue="14.399999999999999" maxValue="21000"/>
    </cacheField>
    <cacheField name="Märkused" numFmtId="0">
      <sharedItems containsBlank="1"/>
    </cacheField>
    <cacheField name="Konto" numFmtId="0">
      <sharedItems containsSemiMixedTypes="0" containsString="0" containsNumber="1" containsInteger="1" minValue="1550" maxValue="5540"/>
    </cacheField>
    <cacheField name="Konto nimetus" numFmtId="0">
      <sharedItems/>
    </cacheField>
    <cacheField name="Tulu/kulu liik2" numFmtId="0">
      <sharedItems containsSemiMixedTypes="0" containsString="0" containsNumber="1" containsInteger="1" minValue="15" maxValue="55"/>
    </cacheField>
    <cacheField name="Konto grupp" numFmtId="0">
      <sharedItems/>
    </cacheField>
    <cacheField name="Kontode koondnimetus" numFmtId="0">
      <sharedItems/>
    </cacheField>
    <cacheField name="Kontode alanimetus" numFmtId="0">
      <sharedItems/>
    </cacheField>
    <cacheField name="Tulu/kulu liigi grupp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INNA" refreshedDate="43797.457608101853" createdVersion="5" refreshedVersion="5" minRefreshableVersion="3" recordCount="41">
  <cacheSource type="worksheet">
    <worksheetSource name="Table6"/>
  </cacheSource>
  <cacheFields count="21">
    <cacheField name="Valdkond" numFmtId="0">
      <sharedItems/>
    </cacheField>
    <cacheField name="Tegevusala" numFmtId="0">
      <sharedItems/>
    </cacheField>
    <cacheField name="Tegevusala nimetus2" numFmtId="0">
      <sharedItems/>
    </cacheField>
    <cacheField name="Tegevusala alanimetus" numFmtId="0">
      <sharedItems/>
    </cacheField>
    <cacheField name="Tegevusala koondnimetus" numFmtId="0">
      <sharedItems/>
    </cacheField>
    <cacheField name="Eelarve eest vastutav" numFmtId="0">
      <sharedItems/>
    </cacheField>
    <cacheField name="Tegevuse kirjeldus" numFmtId="0">
      <sharedItems containsBlank="1"/>
    </cacheField>
    <cacheField name="ühik" numFmtId="0">
      <sharedItems containsString="0" containsBlank="1" containsNumber="1" minValue="1" maxValue="221"/>
    </cacheField>
    <cacheField name="ühik2" numFmtId="0">
      <sharedItems containsBlank="1"/>
    </cacheField>
    <cacheField name="ühik3" numFmtId="0">
      <sharedItems containsString="0" containsBlank="1" containsNumber="1" minValue="0.87878789999999996" maxValue="84.8"/>
    </cacheField>
    <cacheField name="ühik4" numFmtId="0">
      <sharedItems containsBlank="1"/>
    </cacheField>
    <cacheField name="hind" numFmtId="0">
      <sharedItems containsString="0" containsBlank="1" containsNumber="1" minValue="0.75" maxValue="5238779"/>
    </cacheField>
    <cacheField name="2020. EA " numFmtId="4">
      <sharedItems containsSemiMixedTypes="0" containsString="0" containsNumber="1" minValue="0" maxValue="5500717.9500000002"/>
    </cacheField>
    <cacheField name="Märkused" numFmtId="0">
      <sharedItems containsBlank="1"/>
    </cacheField>
    <cacheField name="Konto" numFmtId="0">
      <sharedItems containsSemiMixedTypes="0" containsString="0" containsNumber="1" containsInteger="1" minValue="320" maxValue="38254"/>
    </cacheField>
    <cacheField name="Konto nimetus" numFmtId="0">
      <sharedItems/>
    </cacheField>
    <cacheField name="Tulu/kulu liik2" numFmtId="0">
      <sharedItems containsSemiMixedTypes="0" containsString="0" containsNumber="1" containsInteger="1" minValue="32" maxValue="38254"/>
    </cacheField>
    <cacheField name="Konto grupp" numFmtId="0">
      <sharedItems count="5">
        <s v="32"/>
        <s v="30"/>
        <s v="38"/>
        <s v="35"/>
        <s v="" u="1"/>
      </sharedItems>
    </cacheField>
    <cacheField name="Kontode koondnimetus" numFmtId="0">
      <sharedItems count="6">
        <s v="Tulud kaupade ja teenuste müügist"/>
        <s v="Maksutulud"/>
        <s v="Muud tegevustulud"/>
        <s v="Muud saadud toetused tegevuskuludeks"/>
        <s v="Saadavad toetused tegevuskuludeks" u="1"/>
        <e v="#N/A" u="1"/>
      </sharedItems>
    </cacheField>
    <cacheField name="Kontode alanimetus" numFmtId="0">
      <sharedItems count="8">
        <s v="Tulud kaupade ja teenuste müügist"/>
        <s v="Füüsilise isiku tulumaks"/>
        <s v="Kohaliku tähtsusega maardlate kaevandamisõiguse tasu"/>
        <s v="Laekumine vee erikasutusest"/>
        <s v="Saastetasud ja keskkonnale tekitatud kahju hüvitis"/>
        <s v="Muud saadud toetused tegevuskuludeks"/>
        <s v="Maamaks" u="1"/>
        <e v="#N/A" u="1"/>
      </sharedItems>
    </cacheField>
    <cacheField name="Tulu/kulu liigi grupp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INNA" refreshedDate="43797.537522569444" createdVersion="5" refreshedVersion="5" minRefreshableVersion="3" recordCount="1289">
  <cacheSource type="worksheet">
    <worksheetSource name="Table2"/>
  </cacheSource>
  <cacheFields count="16">
    <cacheField name="Valdkond" numFmtId="0">
      <sharedItems count="11">
        <s v="01"/>
        <s v="02"/>
        <s v="03"/>
        <s v="04"/>
        <s v="05"/>
        <s v="06"/>
        <s v="07"/>
        <s v="08"/>
        <s v="09"/>
        <s v="10"/>
        <s v="" u="1"/>
      </sharedItems>
    </cacheField>
    <cacheField name="Tegevusala" numFmtId="0">
      <sharedItems count="109">
        <s v="01111           "/>
        <s v="01112           "/>
        <s v="01114           "/>
        <s v="01700           "/>
        <s v="01800           "/>
        <s v="02500           "/>
        <s v="03200           "/>
        <s v="04510           "/>
        <s v="04600           "/>
        <s v="04900           "/>
        <s v="05100           "/>
        <s v="05600           "/>
        <s v="06300           "/>
        <s v="06400           "/>
        <s v="0660501         "/>
        <s v="0660502         "/>
        <s v="0660503         "/>
        <s v="0660504         "/>
        <s v="0660505         "/>
        <s v="0660506         "/>
        <s v="0660507         "/>
        <s v="0660508         "/>
        <s v="0660509         "/>
        <s v="07600           "/>
        <s v="0810201         "/>
        <s v="0810202         "/>
        <s v="0810203         "/>
        <s v="0810204         "/>
        <s v="0810205         "/>
        <s v="0810207         "/>
        <s v="0810208"/>
        <s v="0810701         "/>
        <s v="0810703         "/>
        <s v="0810704"/>
        <s v="0810705"/>
        <s v="0810903         "/>
        <s v="0810904         "/>
        <s v="0810905         "/>
        <s v="0810907         "/>
        <s v="0810908         "/>
        <s v="0820101         "/>
        <s v="0820102         "/>
        <s v="0820103         "/>
        <s v="0820104         "/>
        <s v="0820105         "/>
        <s v="0820106         "/>
        <s v="0820107         "/>
        <s v="0820108         "/>
        <s v="0820201         "/>
        <s v="0820202         "/>
        <s v="0820203         "/>
        <s v="0820205         "/>
        <s v="0820206         "/>
        <s v="0820207         "/>
        <s v="0820301"/>
        <s v="08300           "/>
        <s v="08600           "/>
        <s v="0911001         "/>
        <s v="0911002         "/>
        <s v="0911003         "/>
        <s v="0911004         "/>
        <s v="0911005         "/>
        <s v="0911006         "/>
        <s v="0911007         "/>
        <s v="0911008         "/>
        <s v="0921201         "/>
        <s v="0921202         "/>
        <s v="0921203         "/>
        <s v="0921204         "/>
        <s v="0921205         "/>
        <s v="0921206         "/>
        <s v="0921207         "/>
        <s v="0921302         "/>
        <s v="09510           "/>
        <s v="09600           "/>
        <s v="0960201         "/>
        <s v="0980002         "/>
        <s v="0980003         "/>
        <s v="0980004"/>
        <s v="10110"/>
        <s v="10120           "/>
        <s v="1012101         "/>
        <s v="1012102         "/>
        <s v="1012103         "/>
        <s v="1012104         "/>
        <s v="1012105         "/>
        <s v="1012106         "/>
        <s v="101212          "/>
        <s v="1020001         "/>
        <s v="1020002         "/>
        <s v="1020003         "/>
        <s v="1020004         "/>
        <s v="1020101         "/>
        <s v="1020102         "/>
        <s v="1020103         "/>
        <s v="1020104"/>
        <s v="1040001         "/>
        <s v="1040002         "/>
        <s v="1040202         "/>
        <s v="1040203         "/>
        <s v="1040204         "/>
        <s v="1040205         "/>
        <s v="1040207         "/>
        <s v="1040208         "/>
        <s v="10500           "/>
        <s v="10600           "/>
        <s v="10701           "/>
        <s v="10702           "/>
        <s v="10900           "/>
      </sharedItems>
    </cacheField>
    <cacheField name="Tegevusala nimetus2" numFmtId="0">
      <sharedItems count="114">
        <s v=" Valla- ja linnavolikogu"/>
        <s v=" Valla- ja linnavalitsus"/>
        <s v=" Kohaliku omavalitsuse üksuse reservfond"/>
        <s v=" Valitsussektori võla teenindamine"/>
        <s v=" Üldiseloomuga ülekanded valitsussektoris"/>
        <s v=" Muu riigikaitse"/>
        <s v=" Päästeteenused"/>
        <s v="Maanteetransport"/>
        <s v=" Side"/>
        <s v=" Muu majandus (sh majanduse haldus)"/>
        <s v=" Jäätmekäitlus"/>
        <s v="Muu keskkonnakaitse (sh keskkonnakaitse haldus)"/>
        <s v="Veevarustus"/>
        <s v="Tänavavalgustus"/>
        <s v="Laekvere halduspiirkond"/>
        <s v=" Rägavere halduspiirkond"/>
        <s v=" Roela halduspiirkond"/>
        <s v=" Tudu halduspiirkond"/>
        <s v=" Viru Jaagupi halduspiirkond"/>
        <s v=" Vinni-Pajusti halduspiirkond"/>
        <s v=" Saunad"/>
        <s v=" Kalmistud"/>
        <s v=" Hulkuvad loomad"/>
        <s v=" Muu tervishoid, sh tervishoiu haldamine"/>
        <s v=" Vinni Spordikompleks"/>
        <s v=" Muuga Spordihoone"/>
        <s v=" Staadion"/>
        <s v=" Toetused sportlastele"/>
        <s v=" Üritused"/>
        <s v=" Tervise edendamine"/>
        <s v=" Spordiseltside- ja klubide toetused MTÜ"/>
        <s v=" Noorsootöö haldus"/>
        <s v=" Projektide kaasfinantseerimine"/>
        <s v=" Lastelaagrid"/>
        <s v=" Vinni Valla Noored MTÜ"/>
        <s v=" Valla üritused"/>
        <s v=" Toetused MTÜ-le"/>
        <s v=" Kergliiklusteed"/>
        <s v=" Vilde kirjanduspreemia"/>
        <s v="Kultuuri projektide kaasfinantseerimised"/>
        <s v=" Vinni Raamatukogu"/>
        <s v=" Viru-Jaagupi Raamatukogu"/>
        <s v=" Roela Raamatukogu"/>
        <s v=" Tudu Raamatukogu"/>
        <s v=" Ulvi Raamatukogu"/>
        <s v=" Laekvere Raamatukogu"/>
        <s v=" Muuga Raamatukogu"/>
        <s v=" Venevere Raamatukogu"/>
        <s v=" Kadila Seltsimaja"/>
        <s v=" Pajusti klubi"/>
        <s v=" Roela Rahvamaja"/>
        <s v=" Laekvere Rahvamaja"/>
        <s v=" Venevere Seltsimaja"/>
        <s v=" Ulvi Klubi"/>
        <s v="Vinni Vallamuuseum"/>
        <s v=" Ringhäälingu- ja kirjastamisteenused"/>
        <s v=" Muu vaba aeg, kultuur, religioon, sh haldus"/>
        <s v=" Vinni Lasteaed"/>
        <s v=" Pajusti Lasteaed"/>
        <s v=" Kulina Lasteaed"/>
        <s v=" Tudu Lasteaed"/>
        <s v=" Ulvi Lasteaed"/>
        <s v=" Laekvere Lasteaed"/>
        <s v=" Roela Lasteaed"/>
        <s v=" Kohatasud"/>
        <s v=" Muuga-laekvere kool-Laekvere õppehoone"/>
        <s v=" Muuga Laekvere kool-Muuga õppehoone"/>
        <s v=" Roela kool"/>
        <s v=" Tudu kool"/>
        <s v=" Vinni pajusti Gümnaasium"/>
        <s v=" Põlula kool"/>
        <s v=" Noorte huviharidus ja huvitegevus"/>
        <s v=" Koolitransport"/>
        <s v=" Roela Õpilaskodu"/>
        <s v=" Haldus"/>
        <s v=" Halduse tagatavad kulud"/>
        <s v=" Haigete sotsiaalne kaitse"/>
        <s v=" Puuetega inimeste sotsiaalhoolekandeasutused"/>
        <s v=" Ravitoetused puuetega inimestele"/>
        <s v=" transport"/>
        <s v=" Hooldajad"/>
        <s v=" Muud"/>
        <s v=" Erivajadustega inimeste tugiteenus"/>
        <s v=" Tugiisikud puuetega inimestele"/>
        <s v=" Hooldajatoetused"/>
        <s v=" Tammiku Kodu"/>
        <s v=" Ulvi Hooldekodu"/>
        <s v=" Muud asutused"/>
        <s v=" Vinni Päevakeskus"/>
        <s v=" Eakate toetused"/>
        <s v=" Juubeli toetused"/>
        <s v=" Täiendav ravimitoetus"/>
        <s v=" Vinni Perekodu"/>
        <s v=" Matusetoetus"/>
        <s v=" Ühekordsed toetused"/>
        <s v=" Ravitoetused perekondadele, lastele"/>
        <s v=" Sünnitoetused"/>
        <s v=" Tugiisikud (perekondade ja laste)"/>
        <s v=" Muud toetused"/>
        <s v=" Töötute sotsiaalne kaitse"/>
        <s v=" Eluasemeteenused sotsiaalsetele riskirühmadele"/>
        <s v=" Riiklik toimetulekutoetus"/>
        <s v=" Muu sotsiaalsete riskirühmade kaitse"/>
        <s v=" Muu sotsiaalne kaitse, sh sotsiaalse kaitse haldus"/>
        <s v=" Halduse tagatavad koolitused õpetajatele" u="1"/>
        <s v=" Muu keskkonnakaitse (sh keskkonnakaitse haldus)" u="1"/>
        <s v=" Laekvere Rahva Maja" u="1"/>
        <s v=" Laekvere halduspiirkond" u="1"/>
        <e v="#N/A" u="1"/>
        <s v=" Tänavavalgustus" u="1"/>
        <s v=" Muuga Laekvere Põhikool-Muuga õppehoone" u="1"/>
        <s v=" Muu haridus, sh hariduse haldus" u="1"/>
        <s v=" Muuga-laekvere Põhikool-Laekvere õppehoone" u="1"/>
        <s v=" Maanteetransport" u="1"/>
      </sharedItems>
    </cacheField>
    <cacheField name="Tegevusala alanimetus" numFmtId="0">
      <sharedItems containsMixedTypes="1" containsNumber="1" containsInteger="1" minValue="0" maxValue="0" count="44">
        <s v="Valla- ja linnavolikogu"/>
        <s v="Valla- ja linnavalitsus"/>
        <s v="Kohaliku omavalitsuse üksuse reservfond"/>
        <s v="Valitsussektori võla teenindamine"/>
        <s v="Üldiseloomuga ülekanded valitsussektoris"/>
        <s v="Muu riigikaitse"/>
        <s v="Päästeteenused"/>
        <s v="Maanteetransport"/>
        <s v="Side"/>
        <s v="Muu majandus (sh majanduse haldus)"/>
        <s v="Jäätmekäitlus"/>
        <s v="Muu keskkonnakaitse (sh keskkonnakaitse haldus)"/>
        <s v="Veevarustus"/>
        <s v="Tänavavalgustus"/>
        <s v="Muu elamu- ja kommunaalmajanduse tegevus"/>
        <s v="Muu tervishoid, sh tervishoiu haldamine"/>
        <s v="Sport"/>
        <s v="Noorsootöö ja noortekeskused"/>
        <s v="Vaba aja üritused"/>
        <s v="Raamatukogud"/>
        <s v="Rahvakultuur"/>
        <s v="Muuseumid"/>
        <s v="Ringhäälingu- ja kirjastamisteenused"/>
        <s v="Muu vaba aeg, kultuur, religioon, sh haldus"/>
        <s v="Alusharidus"/>
        <s v="Põhihariduse otsekulud"/>
        <s v="Üldkeskhariduse otsekulud"/>
        <s v="Noorte huviharidus ja huvitegevus"/>
        <s v="Koolitransport"/>
        <s v="Öömaja"/>
        <s v="Muu haridus, sh hariduse haldus"/>
        <s v="Haigete sotsiaalne kaitse"/>
        <s v="Puuetega inimeste sotsiaalhoolekandeasutused"/>
        <s v="Muu puuetega inimeste sotsiaalne kaitse"/>
        <s v="Eakate sotsiaalhoolekande asutused"/>
        <s v="Muu eakate sotsiaalne kaitse"/>
        <s v="Laste ja noorte sotsiaalhoolekande asutused"/>
        <s v="Muu perekondade ja laste sotsiaalne kaitse"/>
        <s v="Töötute sotsiaalne kaitse"/>
        <s v="Eluasemeteenused sotsiaalsetele riskirühmadele"/>
        <s v="Riiklik toimetulekutoetus"/>
        <s v="Muu sotsiaalsete riskirühmade kaitse"/>
        <s v="Muu sotsiaalne kaitse, sh sotsiaalse kaitse haldus"/>
        <n v="0" u="1"/>
      </sharedItems>
    </cacheField>
    <cacheField name="Tegevusala koondnimetus" numFmtId="0">
      <sharedItems count="10">
        <s v="Üldised valitsussektori teenused"/>
        <s v="Riigikaitse"/>
        <s v="Avalik kord ja julgeolek"/>
        <s v="Majandus"/>
        <s v="Keskkonnakaitse"/>
        <s v="Elamu- ja kommunaalmajandus"/>
        <s v="Tervishoid"/>
        <s v="Vabaaeg, kultuur ja religioon"/>
        <s v="Haridus"/>
        <s v="Sotsiaalne kaitse"/>
      </sharedItems>
    </cacheField>
    <cacheField name="Eelarve eest vastutav" numFmtId="0">
      <sharedItems/>
    </cacheField>
    <cacheField name="Tegevuse kirjeldus" numFmtId="0">
      <sharedItems/>
    </cacheField>
    <cacheField name="2020. EA " numFmtId="4">
      <sharedItems containsString="0" containsBlank="1" containsNumber="1" minValue="-2100000" maxValue="516524.05" count="386">
        <n v="100"/>
        <n v="50"/>
        <n v="500"/>
        <n v="1250"/>
        <n v="9350"/>
        <n v="1800"/>
        <n v="9936"/>
        <n v="2000"/>
        <m/>
        <n v="7200"/>
        <n v="1500"/>
        <n v="120"/>
        <n v="2880"/>
        <n v="30"/>
        <n v="1000"/>
        <n v="660"/>
        <n v="480"/>
        <n v="1680"/>
        <n v="960"/>
        <n v="1440"/>
        <n v="600"/>
        <n v="420"/>
        <n v="5000"/>
        <n v="2520"/>
        <n v="3480"/>
        <n v="540"/>
        <n v="5500"/>
        <n v="60"/>
        <n v="2500"/>
        <n v="12000"/>
        <n v="4800"/>
        <n v="20700"/>
        <n v="300"/>
        <n v="840"/>
        <n v="260"/>
        <n v="15000"/>
        <n v="768"/>
        <n v="5227.2000000000007"/>
        <n v="650"/>
        <n v="4395.2"/>
        <n v="3500"/>
        <n v="200"/>
        <n v="11200"/>
        <n v="-512000"/>
        <n v="10000"/>
        <n v="25000"/>
        <n v="30000"/>
        <n v="54000"/>
        <n v="-1188323"/>
        <n v="-1862253"/>
        <n v="4188"/>
        <n v="3732"/>
        <n v="85000"/>
        <n v="57769.017578999999"/>
        <n v="516524.05"/>
        <n v="27847.13"/>
        <n v="-130"/>
        <n v="-2100000"/>
        <n v="170200"/>
        <n v="5828"/>
        <n v="4474"/>
        <n v="432"/>
        <n v="2066"/>
        <n v="14248"/>
        <n v="15250"/>
        <n v="900"/>
        <n v="700"/>
        <n v="486305"/>
        <n v="-486305"/>
        <n v="0"/>
        <n v="835.19999999999993"/>
        <n v="1210.8000000000002"/>
        <n v="240"/>
        <n v="592.64"/>
        <n v="4020"/>
        <n v="5950"/>
        <n v="1750"/>
        <n v="2124"/>
        <n v="149.76"/>
        <n v="994.8"/>
        <n v="9031.44"/>
        <n v="550"/>
        <n v="10170"/>
        <n v="1600"/>
        <n v="70000"/>
        <n v="-35000"/>
        <n v="1114.5"/>
        <n v="446.40000000000003"/>
        <n v="288"/>
        <n v="250"/>
        <n v="10107.200000000001"/>
        <n v="68000"/>
        <n v="200000"/>
        <n v="53000"/>
        <n v="230000"/>
        <n v="470000"/>
        <n v="-470000"/>
        <n v="1100"/>
        <n v="4500"/>
        <n v="1700"/>
        <n v="7500"/>
        <n v="7400"/>
        <n v="9360"/>
        <n v="210"/>
        <n v="2100"/>
        <n v="670"/>
        <n v="1300"/>
        <n v="360"/>
        <n v="400"/>
        <n v="1020"/>
        <n v="350"/>
        <n v="2200"/>
        <n v="3024"/>
        <n v="2800"/>
        <n v="4000"/>
        <n v="6000"/>
        <n v="3050"/>
        <n v="814"/>
        <n v="10600"/>
        <n v="110"/>
        <n v="150"/>
        <n v="116"/>
        <n v="570"/>
        <n v="3000"/>
        <n v="26.4"/>
        <n v="8000"/>
        <n v="3600"/>
        <n v="381.6"/>
        <n v="12950"/>
        <n v="160"/>
        <n v="155"/>
        <n v="13500"/>
        <n v="1200"/>
        <n v="14300"/>
        <n v="6500"/>
        <n v="580"/>
        <n v="235"/>
        <n v="92.4"/>
        <n v="1400"/>
        <n v="84"/>
        <n v="18000"/>
        <n v="314.32"/>
        <n v="14.399999999999999"/>
        <n v="384"/>
        <n v="3200"/>
        <n v="70"/>
        <n v="800"/>
        <n v="7000"/>
        <n v="21000"/>
        <n v="192"/>
        <n v="97.199999999999989"/>
        <n v="9000"/>
        <n v="20000"/>
        <n v="255.84"/>
        <n v="1670"/>
        <n v="1998"/>
        <n v="2607.2400000000002"/>
        <n v="13000"/>
        <n v="8600"/>
        <n v="35"/>
        <n v="225"/>
        <n v="624"/>
        <n v="411"/>
        <n v="2400"/>
        <n v="2556.48"/>
        <n v="837.6"/>
        <n v="662.40000000000009"/>
        <n v="32477"/>
        <n v="120000"/>
        <n v="18243.96"/>
        <n v="3648.84"/>
        <n v="1791.48"/>
        <n v="720"/>
        <n v="920"/>
        <n v="460"/>
        <n v="520"/>
        <n v="738"/>
        <n v="317"/>
        <n v="785"/>
        <n v="15"/>
        <n v="29000"/>
        <n v="26350"/>
        <n v="135"/>
        <n v="87252"/>
        <n v="12360"/>
        <n v="250000"/>
        <n v="190"/>
        <n v="450"/>
        <n v="125"/>
        <n v="89.91"/>
        <n v="130000"/>
        <n v="80"/>
        <n v="1380"/>
        <n v="170"/>
        <n v="1570"/>
        <n v="850"/>
        <n v="320"/>
        <n v="220"/>
        <n v="1019"/>
        <n v="1050"/>
        <n v="85"/>
        <n v="40000"/>
        <n v="560.04999999999995"/>
        <n v="270"/>
        <n v="16000"/>
        <n v="2575"/>
        <n v="730"/>
        <n v="560"/>
        <n v="1536"/>
        <n v="390"/>
        <n v="18800"/>
        <n v="64820"/>
        <n v="32000"/>
        <n v="552"/>
        <n v="-20000"/>
        <n v="2730"/>
        <n v="180"/>
        <n v="14000"/>
        <n v="22000"/>
        <n v="4400"/>
        <n v="760"/>
        <n v="25"/>
        <n v="704"/>
        <n v="140"/>
        <n v="6951"/>
        <n v="2860"/>
        <n v="927"/>
        <n v="184"/>
        <n v="117"/>
        <n v="80000"/>
        <n v="967"/>
        <n v="16"/>
        <n v="28"/>
        <n v="18"/>
        <n v="504"/>
        <n v="165"/>
        <n v="1430"/>
        <n v="75"/>
        <n v="6200"/>
        <n v="740"/>
        <n v="276"/>
        <n v="145"/>
        <n v="690"/>
        <n v="975"/>
        <n v="4073"/>
        <n v="1900"/>
        <n v="130"/>
        <n v="630"/>
        <n v="6900"/>
        <n v="46249.440000000002"/>
        <n v="-63828"/>
        <n v="2600"/>
        <n v="415.44000000000005"/>
        <n v="13965"/>
        <n v="2788.58"/>
        <n v="290000"/>
        <n v="1384.56"/>
        <n v="4311.42"/>
        <n v="27000"/>
        <n v="5300"/>
        <n v="184.64"/>
        <n v="5985"/>
        <n v="313.42000000000007"/>
        <n v="750"/>
        <n v="615.36"/>
        <n v="2186.58"/>
        <n v="1140"/>
        <n v="24"/>
        <n v="1650"/>
        <n v="620"/>
        <n v="2700"/>
        <n v="640"/>
        <n v="10675"/>
        <n v="3023"/>
        <n v="37000"/>
        <n v="489"/>
        <n v="106"/>
        <n v="92"/>
        <n v="113"/>
        <n v="20"/>
        <n v="95000"/>
        <n v="785.4"/>
        <n v="4580"/>
        <n v="3477"/>
        <n v="51000"/>
        <n v="230"/>
        <n v="684"/>
        <n v="4824"/>
        <n v="2275"/>
        <n v="10"/>
        <n v="40"/>
        <n v="741"/>
        <n v="5940"/>
        <n v="1320"/>
        <n v="11000"/>
        <n v="35000"/>
        <n v="115000"/>
        <n v="37894"/>
        <n v="986"/>
        <n v="1420"/>
        <n v="922"/>
        <n v="940"/>
        <n v="385"/>
        <n v="60000"/>
        <n v="70525"/>
        <n v="8500"/>
        <n v="7036"/>
        <n v="22971"/>
        <n v="87579"/>
        <n v="-48048"/>
        <n v="-2940"/>
        <n v="2750"/>
        <n v="3075"/>
        <n v="1925"/>
        <n v="17000"/>
        <n v="627"/>
        <n v="64104.399999999994"/>
        <n v="-13104"/>
        <n v="-190183"/>
        <n v="4540"/>
        <n v="2450"/>
        <n v="2110"/>
        <n v="37152"/>
        <n v="3100"/>
        <n v="56000"/>
        <n v="42000"/>
        <n v="576"/>
        <n v="352"/>
        <n v="2300"/>
        <n v="216"/>
        <n v="8300"/>
        <n v="3800"/>
        <n v="8368"/>
        <n v="1632"/>
        <n v="45500"/>
        <n v="110000"/>
        <n v="51600"/>
        <n v="4270"/>
        <n v="17113"/>
        <n v="-17113"/>
        <n v="174"/>
        <n v="76"/>
        <n v="19535"/>
        <n v="1850"/>
        <n v="2060"/>
        <n v="4150"/>
        <n v="2760"/>
        <n v="4100"/>
        <n v="4300"/>
        <n v="654"/>
        <n v="296"/>
        <n v="400000"/>
        <n v="-200000"/>
        <n v="24012"/>
        <n v="-2200"/>
        <n v="-12000"/>
        <n v="1350"/>
        <n v="35500"/>
        <n v="9500"/>
        <n v="13920"/>
        <n v="42340"/>
        <n v="1040"/>
        <n v="1540"/>
        <n v="5220"/>
        <n v="-21410.4399999999"/>
        <n v="-592050"/>
        <n v="1980"/>
        <n v="3840"/>
        <n v="19000"/>
        <n v="2955"/>
        <n v="2820"/>
        <n v="147600"/>
        <n v="-147600"/>
        <n v="26000"/>
        <n v="22524"/>
        <n v="-22524"/>
        <n v="9100"/>
        <n v="5600"/>
        <n v="1760"/>
        <n v="67609"/>
        <n v="-67609"/>
        <n v="7440"/>
        <n v="18500"/>
        <n v="816"/>
        <n v="-83233"/>
        <n v="-988"/>
      </sharedItems>
    </cacheField>
    <cacheField name="Märkused" numFmtId="0">
      <sharedItems containsBlank="1" containsMixedTypes="1" containsNumber="1" containsInteger="1" minValue="5273878" maxValue="5273878"/>
    </cacheField>
    <cacheField name="Konto" numFmtId="0">
      <sharedItems containsSemiMixedTypes="0" containsString="0" containsNumber="1" containsInteger="1" minValue="352" maxValue="413899" count="50">
        <n v="5500"/>
        <n v="5540"/>
        <n v="5504"/>
        <n v="5513"/>
        <n v="5511"/>
        <n v="5514"/>
        <n v="4528"/>
        <n v="5503"/>
        <n v="5515"/>
        <n v="5522"/>
        <n v="5523"/>
        <n v="3030"/>
        <n v="1551"/>
        <n v="1564"/>
        <n v="35200"/>
        <n v="35201"/>
        <n v="5532"/>
        <n v="608"/>
        <n v="208168"/>
        <n v="6501"/>
        <n v="655"/>
        <n v="25852"/>
        <n v="5525"/>
        <n v="45008"/>
        <n v="5512"/>
        <n v="45028"/>
        <n v="20385"/>
        <n v="601"/>
        <n v="1550"/>
        <n v="4500"/>
        <n v="5521"/>
        <n v="5524"/>
        <n v="32202"/>
        <n v="4134"/>
        <n v="500"/>
        <n v="41337"/>
        <n v="41339"/>
        <n v="41332"/>
        <n v="4137"/>
        <n v="5526"/>
        <n v="41380"/>
        <n v="3224"/>
        <n v="413899"/>
        <n v="41389"/>
        <n v="41309"/>
        <n v="41300"/>
        <n v="41329"/>
        <n v="4131"/>
        <n v="5502" u="1"/>
        <n v="352" u="1"/>
      </sharedItems>
    </cacheField>
    <cacheField name="Konto nimetus" numFmtId="0">
      <sharedItems/>
    </cacheField>
    <cacheField name="Tulu/kulu liik2" numFmtId="0">
      <sharedItems containsSemiMixedTypes="0" containsString="0" containsNumber="1" containsInteger="1" minValue="15" maxValue="35201"/>
    </cacheField>
    <cacheField name="Konto grupp" numFmtId="0">
      <sharedItems count="13">
        <s v="55"/>
        <s v="45"/>
        <s v="30"/>
        <s v="15"/>
        <s v="35"/>
        <s v="60"/>
        <s v="20"/>
        <s v="65"/>
        <s v="25"/>
        <s v="32"/>
        <s v="41"/>
        <s v="50"/>
        <s v="" u="1"/>
      </sharedItems>
    </cacheField>
    <cacheField name="Kontode koondnimetus" numFmtId="0">
      <sharedItems count="17">
        <s v="Muud tegevuskulud"/>
        <s v="Antavad toetused tegevuskuludeks"/>
        <s v="Maksutulud"/>
        <s v="Põhivara soetus (-)"/>
        <s v="Saadavad toetused tegevuskuludeks"/>
        <s v="Kohustuste tasumine (-)"/>
        <s v="Finantskulud (-)"/>
        <s v="Finantstulud (+)"/>
        <s v="Kohustuste võtmine (+)"/>
        <s v="Põhivara soetuseks antav sihtfinantseerimine (-)"/>
        <s v="Põhivara soetuseks saadav sihtfinantseerimine (+)"/>
        <s v="Tulud kaupade ja teenuste müügist"/>
        <s v="Mittesihtotstarbelised toetused" u="1"/>
        <s v="Põhivara soetamiseks antav sihtfinantseerimine (-)" u="1"/>
        <s v="Põhivara soetamiseks saadav sihtfinantseerimine (+)" u="1"/>
        <s v="Muud saadud toetused tegevuskuludeks" u="1"/>
        <e v="#N/A" u="1"/>
      </sharedItems>
    </cacheField>
    <cacheField name="Kontode alanimetus" numFmtId="0">
      <sharedItems containsMixedTypes="1" containsNumber="1" containsInteger="1" minValue="0" maxValue="0" count="18">
        <s v="Majandamiskulud"/>
        <s v="Mittesihtotstarbelised toetused"/>
        <s v="Maamaks"/>
        <s v="Põhivara soetus (-)"/>
        <s v="Tasandusfond"/>
        <s v="Toetusfond"/>
        <s v="Muud kulud"/>
        <s v="Kohustuste tasumine (-)"/>
        <s v="Finantskulud (-)"/>
        <s v="Finantstulud (+)"/>
        <s v="Kohustuste võtmine (+)"/>
        <s v="Sihtotstarbelised toetused tegevuskuludeks"/>
        <s v="Põhivara soetuseks antav sihtfinantseerimine (-)"/>
        <s v="Põhivara soetuseks saadav sihtfinantseerimine (+)"/>
        <s v="Tulud kaupade ja teenuste müügist"/>
        <s v="Sotsiaalabitoetused ja muud toetused füüsilistele isikutele"/>
        <s v="Tööjõukulud"/>
        <n v="0" u="1"/>
      </sharedItems>
    </cacheField>
    <cacheField name="Tulu/kulu liigi grupp" numFmtId="0">
      <sharedItems count="5">
        <s v="Põhitegevuse kulu"/>
        <s v="Põhitegevuse tulu"/>
        <s v="Investeerimistegevus"/>
        <s v="Finantseerimistegevus"/>
        <e v="#N/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edBy="INNA" refreshedDate="43797.53772349537" createdVersion="5" refreshedVersion="5" minRefreshableVersion="3" recordCount="407">
  <cacheSource type="worksheet">
    <worksheetSource name="Table1"/>
  </cacheSource>
  <cacheFields count="17">
    <cacheField name="Valdkond" numFmtId="0">
      <sharedItems count="7">
        <s v="08"/>
        <s v="09"/>
        <s v="10"/>
        <s v="01"/>
        <s v="04"/>
        <s v="06"/>
        <s v="03"/>
      </sharedItems>
    </cacheField>
    <cacheField name="Tegevusala" numFmtId="0">
      <sharedItems count="59">
        <s v="0820103         "/>
        <s v="0921203         "/>
        <s v="0911007         "/>
        <s v="1020004         "/>
        <s v="01112           "/>
        <s v="0810202         "/>
        <s v="0820106         "/>
        <s v="0810203         "/>
        <s v="1020101         "/>
        <s v="10900           "/>
        <s v="0810704"/>
        <s v="0810701         "/>
        <s v="01600           "/>
        <s v="09600           "/>
        <s v="01111           "/>
        <s v="04900           "/>
        <s v="0660501         "/>
        <s v="0660502         "/>
        <s v="0660503         "/>
        <s v="0660504         "/>
        <s v="0660505         "/>
        <s v="0660507         "/>
        <s v="0660508         "/>
        <s v="0820101         "/>
        <s v="0820102         "/>
        <s v="0820105         "/>
        <s v="0820205         "/>
        <s v="0820207         "/>
        <s v="0911001         "/>
        <s v="0911002         "/>
        <s v="0911003         "/>
        <s v="0911005         "/>
        <s v="0921205         "/>
        <s v="0921207         "/>
        <s v="0980003         "/>
        <s v="09510           "/>
        <s v="0820206         "/>
        <s v="1020001         "/>
        <s v="1020002         "/>
        <s v="0820104         "/>
        <s v="1040001         "/>
        <s v="0921204         "/>
        <s v="0911004         "/>
        <s v="0820203         "/>
        <s v="03200           "/>
        <s v="04600           "/>
        <s v="08600           "/>
        <s v="0820201         "/>
        <s v="0820204         "/>
        <s v="0820202         "/>
        <s v="0960201         "/>
        <s v="0911006         "/>
        <s v="0921201         "/>
        <s v="0921202         "/>
        <s v="0660506         "/>
        <s v="0820301"/>
        <s v="0921301         "/>
        <s v="0980004"/>
        <s v="09800           " u="1"/>
      </sharedItems>
    </cacheField>
    <cacheField name="Tegevusala nimetus2" numFmtId="0">
      <sharedItems count="62">
        <s v=" Roela Raamatukogu"/>
        <s v=" Roela kool"/>
        <s v=" Roela Lasteaed"/>
        <s v=" Vinni Päevakeskus"/>
        <s v=" Valla- ja linnavalitsus"/>
        <s v=" Muuga Spordihoone"/>
        <s v=" Laekvere Raamatukogu"/>
        <s v=" Staadion"/>
        <s v=" Hooldajad"/>
        <s v=" Muu sotsiaalne kaitse, sh sotsiaalse kaitse haldus"/>
        <s v=" Lastelaagrid"/>
        <s v=" Noorsootöö haldus"/>
        <s v=" Muud üldised valitsussektori teenused"/>
        <s v=" Koolitransport"/>
        <s v=" Valla- ja linnavolikogu"/>
        <s v=" Muu majandus (sh majanduse haldus)"/>
        <s v="Laekvere halduspiirkond"/>
        <s v=" Rägavere halduspiirkond"/>
        <s v=" Roela halduspiirkond"/>
        <s v=" Tudu halduspiirkond"/>
        <s v=" Viru Jaagupi halduspiirkond"/>
        <s v=" Saunad"/>
        <s v=" Kalmistud"/>
        <s v=" Vinni Raamatukogu"/>
        <s v=" Viru-Jaagupi Raamatukogu"/>
        <s v=" Ulvi Raamatukogu"/>
        <s v=" Laekvere Rahvamaja"/>
        <s v=" Ulvi Klubi"/>
        <s v=" Vinni Lasteaed"/>
        <s v=" Pajusti Lasteaed"/>
        <s v=" Kulina Lasteaed"/>
        <s v=" Ulvi Lasteaed"/>
        <s v=" Vinni pajusti Gümnaasium"/>
        <s v=" Põlula kool"/>
        <s v=" Haldus"/>
        <s v=" Noorte huviharidus ja huvitegevus"/>
        <s v=" Venevere Seltsimaja"/>
        <s v=" Tammiku Kodu"/>
        <s v=" Ulvi Hooldekodu"/>
        <s v=" Tudu Raamatukogu"/>
        <s v=" Vinni Perekodu"/>
        <s v=" Tudu kool"/>
        <s v=" Tudu Lasteaed"/>
        <s v=" Roela Rahvamaja"/>
        <s v=" Päästeteenused"/>
        <s v=" Side"/>
        <s v=" Muu vaba aeg, kultuur, religioon, sh haldus"/>
        <s v=" Kadila Seltsimaja"/>
        <s v=" Tudu Rahvamaja"/>
        <s v=" Pajusti klubi"/>
        <s v=" Roela Õpilaskodu"/>
        <s v=" Laekvere Lasteaed"/>
        <s v=" Muuga-laekvere kool-Laekvere õppehoone"/>
        <s v=" Muuga Laekvere kool-Muuga õppehoone"/>
        <s v=" Vinni-Pajusti halduspiirkond"/>
        <s v="Vinni Vallamuuseum"/>
        <s v=" Halduse tagatavad kulud"/>
        <s v=" Laekvere halduspiirkond" u="1"/>
        <s v=" Laekvere Rahva Maja" u="1"/>
        <s v=" Muu haridus, sh hariduse haldus" u="1"/>
        <s v=" Muuga-laekvere Põhikool-Laekvere õppehoone" u="1"/>
        <s v=" Muuga Laekvere Põhikool-Muuga õppehoone" u="1"/>
      </sharedItems>
    </cacheField>
    <cacheField name="Tegevusala alanimetus" numFmtId="0">
      <sharedItems count="28">
        <s v="Raamatukogud"/>
        <s v="Põhihariduse otsekulud"/>
        <s v="Alusharidus"/>
        <s v="Eakate sotsiaalhoolekande asutused"/>
        <s v="Valla- ja linnavalitsus"/>
        <s v="Sport"/>
        <s v="Muu eakate sotsiaalne kaitse"/>
        <s v="Muu sotsiaalne kaitse, sh sotsiaalse kaitse haldus"/>
        <s v="Noorsootöö ja noortekeskused"/>
        <s v="Muud üldised valitsussektori teenused"/>
        <s v="Koolitransport"/>
        <s v="Valla- ja linnavolikogu"/>
        <s v="Muu majandus (sh majanduse haldus)"/>
        <s v="Muu elamu- ja kommunaalmajanduse tegevus"/>
        <s v="Rahvakultuur"/>
        <s v="Muu haridus, sh hariduse haldus"/>
        <s v="Noorte huviharidus ja huvitegevus"/>
        <s v="Laste ja noorte sotsiaalhoolekande asutused"/>
        <s v="Päästeteenused"/>
        <s v="Side"/>
        <s v="Muu vaba aeg, kultuur, religioon, sh haldus"/>
        <s v="Öömaja"/>
        <s v="Muuseumid"/>
        <s v="Üldkeskhariduse otsekulud"/>
        <s v="Haridus" u="1"/>
        <s v="Muud elamu- ja kommunaalmajanduse tegevus" u="1"/>
        <s v="Laste ja noorte sotsiaalhoolekandeasutused" u="1"/>
        <s v="Eakate sotsiaalhoolekandeasutused" u="1"/>
      </sharedItems>
    </cacheField>
    <cacheField name="Tegevusala koondnimetus" numFmtId="0">
      <sharedItems count="7">
        <s v="Vabaaeg, kultuur ja religioon"/>
        <s v="Haridus"/>
        <s v="Sotsiaalne kaitse"/>
        <s v="Üldised valitsussektori teenused"/>
        <s v="Majandus"/>
        <s v="Elamu- ja kommunaalmajandus"/>
        <s v="Avalik kord ja julgeolek"/>
      </sharedItems>
    </cacheField>
    <cacheField name="Eelarve eest vastutav" numFmtId="0">
      <sharedItems/>
    </cacheField>
    <cacheField name="Ametikoha, koosseisukoha nimetus" numFmtId="0">
      <sharedItems/>
    </cacheField>
    <cacheField name="Koosseisu- kohtade arv aastas/ tunnid aastas" numFmtId="0">
      <sharedItems containsString="0" containsBlank="1" containsNumber="1" minValue="0" maxValue="990"/>
    </cacheField>
    <cacheField name="ühik" numFmtId="0">
      <sharedItems containsBlank="1"/>
    </cacheField>
    <cacheField name="Palgamäär" numFmtId="0">
      <sharedItems containsString="0" containsBlank="1" containsNumber="1" minValue="3.21" maxValue="470852.02"/>
    </cacheField>
    <cacheField name="Töötasu/kuus" numFmtId="0">
      <sharedItems containsSemiMixedTypes="0" containsString="0" containsNumber="1" minValue="0" maxValue="470852.02"/>
    </cacheField>
    <cacheField name="Ühik2" numFmtId="0">
      <sharedItems containsString="0" containsBlank="1" containsNumber="1" minValue="1" maxValue="56"/>
    </cacheField>
    <cacheField name="Lisatasu/ aastas/kuus" numFmtId="0">
      <sharedItems containsString="0" containsBlank="1" containsNumber="1" containsInteger="1" minValue="117" maxValue="7842"/>
    </cacheField>
    <cacheField name="2020. EA " numFmtId="4">
      <sharedItems containsSemiMixedTypes="0" containsString="0" containsNumber="1" minValue="0" maxValue="470852.02"/>
    </cacheField>
    <cacheField name="Maksud" numFmtId="4">
      <sharedItems containsSemiMixedTypes="0" containsString="0" containsNumber="1" minValue="0" maxValue="159147.98276000001"/>
    </cacheField>
    <cacheField name="Märkused" numFmtId="0">
      <sharedItems containsBlank="1"/>
    </cacheField>
    <cacheField name="Personalikulud" numFmtId="0" formula="'2020. EA ' +Maksud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r:id="rId1" refreshedBy="INNA" refreshedDate="43810.371696643517" createdVersion="5" refreshedVersion="5" minRefreshableVersion="3" recordCount="27">
  <cacheSource type="worksheet">
    <worksheetSource name="Table11"/>
  </cacheSource>
  <cacheFields count="16">
    <cacheField name="Valdkond" numFmtId="0">
      <sharedItems count="6">
        <s v="01"/>
        <s v="04"/>
        <s v="06"/>
        <s v="08"/>
        <s v="09"/>
        <s v="10"/>
      </sharedItems>
    </cacheField>
    <cacheField name="Tegevusala" numFmtId="0">
      <sharedItems/>
    </cacheField>
    <cacheField name="Tegevusala nimetus2" numFmtId="0">
      <sharedItems/>
    </cacheField>
    <cacheField name="Tegevusala alanimetus" numFmtId="0">
      <sharedItems/>
    </cacheField>
    <cacheField name="Tegevusala koondnimetus" numFmtId="0">
      <sharedItems/>
    </cacheField>
    <cacheField name="Eelarve eest vastutav" numFmtId="0">
      <sharedItems/>
    </cacheField>
    <cacheField name="Tegevuse kirjeldus" numFmtId="0">
      <sharedItems count="28">
        <s v="Vallamaja küttesüsteem"/>
        <s v="Vinni-Pajusti avaliku ruumi arendamine (Kirjandustammik, vaateplatvorm, VPG ala)"/>
        <s v="Avalike mänguväljakute ja sportimispaikade rajamine"/>
        <s v="Valla üldplaneeringu koostamine"/>
        <s v="Kaasav eelarve"/>
        <s v="Ettevõtlust/turismi toetava taristu arendamine, sh kiire internetiühenduse leviku toetamine valla territooriumil"/>
        <s v="Alevike kanalisatsioon"/>
        <s v="ÜVK arendamise kava investeeringute kaasrahastamine"/>
        <s v="Tänavalgustuse rekonstrueerimine"/>
        <s v="Laekvere kompostimisväljaku rajamine"/>
        <s v="Laekvere kergliiklustee"/>
        <s v="Viru-Jaagupi – Kannastiku kergliiklustee"/>
        <s v="Viru-Jaagupi raamatukogu küttesüsteemi üleviimine pelletküttele"/>
        <s v="Pajusti klubi katus"/>
        <s v="Laekvere rahvamaja keldrisse lasketiiru rajamine"/>
        <s v="Laekvere rahvamaja, soojustuse projekteerimine ja noortetoa ventilatsioon"/>
        <s v="Raudteepärandi projektis osalemine"/>
        <s v="Pajusti lasteaia rühmaruumide remont"/>
        <s v="Laekvere koolimaja katuse vahetus, fassaadi remont"/>
        <s v="Roela kool-küttesüsteem ja fassaad"/>
        <s v="Tudu kooli küttesüsteemi üleviimine pelletküttele"/>
        <s v="Vinni-Pajusti Gümnaasiumi küttesüsteemi rekonstrueerimine"/>
        <s v="Lasteaedade ja koolide õues õppetingimuste loomine"/>
        <s v="Ulvi kodu rekonstrueerimine"/>
        <s v="Ulvi teeninduskeskuse / arstipunkti soojustamine"/>
        <s v="Laekvere Rahvamaja, energiatõhusustööd" u="1"/>
        <s v="Viru-Jaagupi rahvaraamatukogu küttesüsteemi üleviimine pelletküttele" u="1"/>
        <s v="Muuga-Laekvere Kooli Laekvere koolimaja katuse vahetus, fassaadi remont" u="1"/>
      </sharedItems>
    </cacheField>
    <cacheField name="2020. EA " numFmtId="4">
      <sharedItems containsSemiMixedTypes="0" containsString="0" containsNumber="1" containsInteger="1" minValue="5000" maxValue="470000"/>
    </cacheField>
    <cacheField name="Märkused" numFmtId="4">
      <sharedItems containsBlank="1"/>
    </cacheField>
    <cacheField name="Konto" numFmtId="0">
      <sharedItems containsSemiMixedTypes="0" containsString="0" containsNumber="1" containsInteger="1" minValue="1550" maxValue="1564"/>
    </cacheField>
    <cacheField name="Konto nimetus" numFmtId="0">
      <sharedItems/>
    </cacheField>
    <cacheField name="Tulu/kulu liik2" numFmtId="0">
      <sharedItems containsSemiMixedTypes="0" containsString="0" containsNumber="1" containsInteger="1" minValue="15" maxValue="15"/>
    </cacheField>
    <cacheField name="Konto grupp" numFmtId="0">
      <sharedItems/>
    </cacheField>
    <cacheField name="Kontode koondnimetus" numFmtId="0">
      <sharedItems/>
    </cacheField>
    <cacheField name="Kontode alanimetus" numFmtId="0">
      <sharedItems/>
    </cacheField>
    <cacheField name="Tulu/kulu liigi grupp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r:id="rId1" refreshedBy="INNA" refreshedDate="43812.628449305557" createdVersion="5" refreshedVersion="5" minRefreshableVersion="3" recordCount="1227">
  <cacheSource type="worksheet">
    <worksheetSource ref="A1:P1228" sheet="Majandamiskulud, toetused"/>
  </cacheSource>
  <cacheFields count="16">
    <cacheField name="Valdkond" numFmtId="0">
      <sharedItems count="11">
        <s v="01"/>
        <s v="02"/>
        <s v="03"/>
        <s v="04"/>
        <s v="05"/>
        <s v="06"/>
        <s v="07"/>
        <s v="08"/>
        <s v="09"/>
        <s v="10"/>
        <s v="Total" u="1"/>
      </sharedItems>
    </cacheField>
    <cacheField name="Tegevusala" numFmtId="0">
      <sharedItems containsBlank="1" count="107">
        <s v="01111           "/>
        <s v="01112           "/>
        <s v="01114           "/>
        <s v="01800           "/>
        <s v="02500           "/>
        <s v="03200           "/>
        <s v="04510           "/>
        <s v="04600           "/>
        <s v="04900           "/>
        <s v="05100           "/>
        <s v="05600           "/>
        <s v="06400           "/>
        <s v="0660501         "/>
        <s v="0660502         "/>
        <s v="0660503         "/>
        <s v="0660504         "/>
        <s v="0660505         "/>
        <s v="0660506         "/>
        <s v="0660507         "/>
        <s v="0660508         "/>
        <s v="0660509         "/>
        <s v="07600           "/>
        <s v="0810201         "/>
        <s v="0810202         "/>
        <s v="0810203         "/>
        <s v="0810204         "/>
        <s v="0810205         "/>
        <s v="0810207         "/>
        <s v="0810208"/>
        <s v="0810701         "/>
        <s v="0810703         "/>
        <s v="0810704"/>
        <s v="0810705"/>
        <s v="0810903         "/>
        <s v="0810904         "/>
        <s v="0810905         "/>
        <s v="0810907         "/>
        <s v="0810908         "/>
        <s v="0820101         "/>
        <s v="0820102         "/>
        <s v="0820103         "/>
        <s v="0820104         "/>
        <s v="0820105         "/>
        <s v="0820106         "/>
        <s v="0820107         "/>
        <s v="0820108         "/>
        <s v="0820201         "/>
        <s v="0820202         "/>
        <s v="0820203         "/>
        <s v="0820205         "/>
        <s v="0820206         "/>
        <s v="0820207         "/>
        <s v="0820301"/>
        <s v="08300           "/>
        <s v="08600           "/>
        <s v="0911001         "/>
        <s v="0911002         "/>
        <s v="0911003         "/>
        <s v="0911004         "/>
        <s v="0911005         "/>
        <s v="0911006         "/>
        <s v="0911007         "/>
        <s v="0911008         "/>
        <s v="0921201         "/>
        <s v="0921202         "/>
        <s v="0921203         "/>
        <s v="0921204         "/>
        <s v="0921205         "/>
        <s v="0921206         "/>
        <s v="0921207         "/>
        <s v="0921302         "/>
        <s v="09510           "/>
        <s v="09600           "/>
        <s v="0960201         "/>
        <s v="0980002         "/>
        <s v="0980003         "/>
        <s v="0980004"/>
        <s v="10110"/>
        <s v="10120           "/>
        <s v="1012101         "/>
        <s v="1012102         "/>
        <s v="1012103         "/>
        <s v="1012104         "/>
        <s v="1012105         "/>
        <s v="101212          "/>
        <s v="1020001         "/>
        <s v="1020002         "/>
        <s v="1020003         "/>
        <s v="1020004         "/>
        <s v="1020101         "/>
        <s v="1020102         "/>
        <s v="1020103         "/>
        <s v="1020104"/>
        <s v="1040001         "/>
        <s v="1040002         "/>
        <s v="1040202         "/>
        <s v="1040203         "/>
        <s v="1040204         "/>
        <s v="1040205         "/>
        <s v="1040207         "/>
        <s v="1040208         "/>
        <s v="10500           "/>
        <s v="10600           "/>
        <s v="10701           "/>
        <s v="10702           "/>
        <s v="10900           "/>
        <m u="1"/>
      </sharedItems>
    </cacheField>
    <cacheField name="Tegevusala nimetus2" numFmtId="0">
      <sharedItems containsBlank="1" count="102">
        <s v=" Valla- ja linnavolikogu"/>
        <s v=" Valla- ja linnavalitsus"/>
        <s v=" Kohaliku omavalitsuse üksuse reservfond"/>
        <s v=" Üldiseloomuga ülekanded valitsussektoris"/>
        <s v=" Muu riigikaitse"/>
        <s v=" Päästeteenused"/>
        <s v="Maanteetransport"/>
        <s v=" Side"/>
        <s v=" Muu majandus (sh majanduse haldus)"/>
        <s v=" Jäätmekäitlus"/>
        <s v="Muu keskkonnakaitse (sh keskkonnakaitse haldus)"/>
        <s v="Tänavavalgustus"/>
        <s v="Laekvere halduspiirkond"/>
        <s v=" Rägavere halduspiirkond"/>
        <s v=" Roela halduspiirkond"/>
        <s v=" Tudu halduspiirkond"/>
        <s v=" Viru Jaagupi halduspiirkond"/>
        <s v=" Vinni-Pajusti halduspiirkond"/>
        <s v=" Saunad"/>
        <s v=" Kalmistud"/>
        <s v=" Hulkuvad loomad"/>
        <s v=" Muu tervishoid, sh tervishoiu haldamine"/>
        <s v=" Vinni Spordikompleks"/>
        <s v=" Muuga Spordihoone"/>
        <s v=" Staadion"/>
        <s v=" Toetused sportlastele"/>
        <s v=" Üritused"/>
        <s v=" Tervise edendamine"/>
        <s v=" Spordiseltside- ja klubide toetused MTÜ"/>
        <s v=" Noorsootöö haldus"/>
        <s v=" Projektide kaasfinantseerimine"/>
        <s v=" Lastelaagrid"/>
        <s v=" Vinni Valla Noored MTÜ"/>
        <s v=" Valla üritused"/>
        <s v=" Toetused MTÜ-le"/>
        <s v=" Kergliiklusteed"/>
        <s v=" Vilde kirjanduspreemia"/>
        <s v="Kultuuri projektide kaasfinantseerimised"/>
        <s v=" Vinni Raamatukogu"/>
        <s v=" Viru-Jaagupi Raamatukogu"/>
        <s v=" Roela Raamatukogu"/>
        <s v=" Tudu Raamatukogu"/>
        <s v=" Ulvi Raamatukogu"/>
        <s v=" Laekvere Raamatukogu"/>
        <s v=" Muuga Raamatukogu"/>
        <s v=" Venevere Raamatukogu"/>
        <s v=" Kadila Seltsimaja"/>
        <s v=" Pajusti klubi"/>
        <s v=" Roela Rahvamaja"/>
        <s v=" Laekvere Rahvamaja"/>
        <s v=" Venevere Seltsimaja"/>
        <s v=" Ulvi Klubi"/>
        <s v="Vinni Vallamuuseum"/>
        <s v=" Ringhäälingu- ja kirjastamisteenused"/>
        <s v=" Muu vaba aeg, kultuur, religioon, sh haldus"/>
        <s v=" Vinni Lasteaed"/>
        <s v=" Pajusti Lasteaed"/>
        <s v=" Kulina Lasteaed"/>
        <s v=" Tudu Lasteaed"/>
        <s v=" Ulvi Lasteaed"/>
        <s v=" Laekvere Lasteaed"/>
        <s v=" Roela Lasteaed"/>
        <s v=" Kohatasud"/>
        <s v=" Muuga-laekvere kool-Laekvere õppehoone"/>
        <s v=" Muuga Laekvere kool-Muuga õppehoone"/>
        <s v=" Roela kool"/>
        <s v=" Tudu kool"/>
        <s v=" Vinni pajusti Gümnaasium"/>
        <s v=" Põlula kool"/>
        <s v=" Noorte huviharidus ja huvitegevus"/>
        <s v=" Koolitransport"/>
        <s v=" Roela Õpilaskodu"/>
        <s v=" Haldus"/>
        <s v=" Halduse tagatavad kulud"/>
        <s v=" Haigete sotsiaalne kaitse"/>
        <s v=" Puuetega inimeste sotsiaalhoolekandeasutused"/>
        <s v=" Ravitoetused puuetega inimestele"/>
        <s v=" transport"/>
        <s v=" Hooldajad"/>
        <s v=" Muud"/>
        <s v=" Erivajadustega inimeste tugiteenus"/>
        <s v=" Hooldajatoetused"/>
        <s v=" Tammiku Kodu"/>
        <s v=" Ulvi Hooldekodu"/>
        <s v=" Muud asutused"/>
        <s v=" Vinni Päevakeskus"/>
        <s v=" Eakate toetused"/>
        <s v=" Juubeli toetused"/>
        <s v=" Täiendav ravimitoetus"/>
        <s v=" Vinni Perekodu"/>
        <s v=" Matusetoetus"/>
        <s v=" Ühekordsed toetused"/>
        <s v=" Ravitoetused perekondadele, lastele"/>
        <s v=" Sünnitoetused"/>
        <s v=" Tugiisikud (perekondade ja laste)"/>
        <s v=" Muud toetused"/>
        <s v=" Töötute sotsiaalne kaitse"/>
        <s v=" Eluasemeteenused sotsiaalsetele riskirühmadele"/>
        <s v=" Riiklik toimetulekutoetus"/>
        <s v=" Muu sotsiaalsete riskirühmade kaitse"/>
        <s v=" Muu sotsiaalne kaitse, sh sotsiaalse kaitse haldus"/>
        <m u="1"/>
      </sharedItems>
    </cacheField>
    <cacheField name="Tegevusala alanimetus" numFmtId="0">
      <sharedItems/>
    </cacheField>
    <cacheField name="Tegevusala koondnimetus" numFmtId="0">
      <sharedItems/>
    </cacheField>
    <cacheField name="Eelarve eest vastutav" numFmtId="0">
      <sharedItems/>
    </cacheField>
    <cacheField name="Tegevuse kirjeldus" numFmtId="0">
      <sharedItems/>
    </cacheField>
    <cacheField name="2020. EA " numFmtId="4">
      <sharedItems containsString="0" containsBlank="1" containsNumber="1" minValue="-21410.4399999999" maxValue="486305"/>
    </cacheField>
    <cacheField name="Märkused" numFmtId="0">
      <sharedItems containsBlank="1" containsMixedTypes="1" containsNumber="1" containsInteger="1" minValue="5273878" maxValue="5273878"/>
    </cacheField>
    <cacheField name="Konto" numFmtId="0">
      <sharedItems containsSemiMixedTypes="0" containsString="0" containsNumber="1" containsInteger="1" minValue="601" maxValue="413899"/>
    </cacheField>
    <cacheField name="Konto nimetus" numFmtId="0">
      <sharedItems/>
    </cacheField>
    <cacheField name="Tulu/kulu liik2" numFmtId="0">
      <sharedItems containsSemiMixedTypes="0" containsString="0" containsNumber="1" containsInteger="1" minValue="55" maxValue="4500"/>
    </cacheField>
    <cacheField name="Konto grupp" numFmtId="0">
      <sharedItems/>
    </cacheField>
    <cacheField name="Kontode koondnimetus" numFmtId="0">
      <sharedItems/>
    </cacheField>
    <cacheField name="Kontode alanimetus" numFmtId="0">
      <sharedItems containsBlank="1" count="6">
        <s v="Majandamiskulud"/>
        <s v="Mittesihtotstarbelised toetused"/>
        <s v="Muud kulud"/>
        <s v="Sihtotstarbelised toetused tegevuskuludeks"/>
        <s v="Sotsiaalabitoetused ja muud toetused füüsilistele isikutele"/>
        <m u="1"/>
      </sharedItems>
    </cacheField>
    <cacheField name="Tulu/kulu liigi grupp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r:id="rId1" refreshedBy="INNA" refreshedDate="43812.634445023148" createdVersion="5" refreshedVersion="5" minRefreshableVersion="3" recordCount="410">
  <cacheSource type="worksheet">
    <worksheetSource name="Table110"/>
  </cacheSource>
  <cacheFields count="17">
    <cacheField name="Valdkond" numFmtId="0">
      <sharedItems count="7">
        <s v="08"/>
        <s v="09"/>
        <s v="10"/>
        <s v="01"/>
        <s v="04"/>
        <s v="06"/>
        <s v="03"/>
      </sharedItems>
    </cacheField>
    <cacheField name="Tegevusala" numFmtId="0">
      <sharedItems count="61">
        <s v="0820103         "/>
        <s v="0921203         "/>
        <s v="0911007         "/>
        <s v="1020004         "/>
        <s v="01112           "/>
        <s v="0810202         "/>
        <s v="0820106         "/>
        <s v="0810203         "/>
        <s v="1020101         "/>
        <s v="10900           "/>
        <s v="0810704"/>
        <s v="0810701         "/>
        <s v="01600           "/>
        <s v="09600           "/>
        <s v="01111           "/>
        <s v="04900           "/>
        <s v="0660501         "/>
        <s v="0660502         "/>
        <s v="0660503         "/>
        <s v="0660504         "/>
        <s v="0660505         "/>
        <s v="0660507         "/>
        <s v="0660508         "/>
        <s v="0820101         "/>
        <s v="0820102         "/>
        <s v="0820105         "/>
        <s v="0820205         "/>
        <s v="0820207         "/>
        <s v="0911001         "/>
        <s v="0911002         "/>
        <s v="0911003         "/>
        <s v="0911005         "/>
        <s v="0921205         "/>
        <s v="0921207         "/>
        <s v="0980003         "/>
        <s v="09510           "/>
        <s v="0820206         "/>
        <s v="1020001         "/>
        <s v="1020002         "/>
        <s v="0820104         "/>
        <s v="1040001         "/>
        <s v="0921204         "/>
        <s v="0911004         "/>
        <s v="0820203         "/>
        <s v="03200           "/>
        <s v="04600           "/>
        <s v="08600           "/>
        <s v="0820201         "/>
        <s v="0820204         "/>
        <s v="0820202         "/>
        <s v="0960201         "/>
        <s v="0911006         "/>
        <s v="0921201         "/>
        <s v="0921202         "/>
        <s v="0660506         "/>
        <s v="0820301"/>
        <s v="0921301         "/>
        <s v="0980004"/>
        <s v="101212          "/>
        <s v="1012106         "/>
        <s v="10120           "/>
      </sharedItems>
    </cacheField>
    <cacheField name="Tegevusala nimetus2" numFmtId="0">
      <sharedItems count="60">
        <s v=" Roela Raamatukogu"/>
        <s v=" Roela kool"/>
        <s v=" Roela Lasteaed"/>
        <s v=" Vinni Päevakeskus"/>
        <s v=" Valla- ja linnavalitsus"/>
        <s v=" Muuga Spordihoone"/>
        <s v=" Laekvere Raamatukogu"/>
        <s v=" Staadion"/>
        <s v=" Hooldajad"/>
        <s v=" Muu sotsiaalne kaitse, sh sotsiaalse kaitse haldus"/>
        <s v=" Lastelaagrid"/>
        <s v=" Noorsootöö haldus"/>
        <s v=" Muud üldised valitsussektori teenused"/>
        <s v=" Koolitransport"/>
        <s v=" Valla- ja linnavolikogu"/>
        <s v=" Muu majandus (sh majanduse haldus)"/>
        <s v="Laekvere halduspiirkond"/>
        <s v=" Rägavere halduspiirkond"/>
        <s v=" Roela halduspiirkond"/>
        <s v=" Tudu halduspiirkond"/>
        <s v=" Viru Jaagupi halduspiirkond"/>
        <s v=" Saunad"/>
        <s v=" Kalmistud"/>
        <s v=" Vinni Raamatukogu"/>
        <s v=" Viru-Jaagupi Raamatukogu"/>
        <s v=" Ulvi Raamatukogu"/>
        <s v=" Laekvere Rahvamaja"/>
        <s v=" Ulvi Klubi"/>
        <s v=" Vinni Lasteaed"/>
        <s v=" Pajusti Lasteaed"/>
        <s v=" Kulina Lasteaed"/>
        <s v=" Ulvi Lasteaed"/>
        <s v=" Vinni pajusti Gümnaasium"/>
        <s v=" Põlula kool"/>
        <s v=" Haldus"/>
        <s v=" Noorte huviharidus ja huvitegevus"/>
        <s v=" Venevere Seltsimaja"/>
        <s v=" Tammiku Kodu"/>
        <s v=" Ulvi Hooldekodu"/>
        <s v=" Tudu Raamatukogu"/>
        <s v=" Vinni Perekodu"/>
        <s v=" Tudu kool"/>
        <s v=" Tudu Lasteaed"/>
        <s v=" Roela Rahvamaja"/>
        <s v=" Päästeteenused"/>
        <s v=" Side"/>
        <s v=" Muu vaba aeg, kultuur, religioon, sh haldus"/>
        <s v=" Kadila Seltsimaja"/>
        <s v=" Tudu Rahvamaja"/>
        <s v=" Pajusti klubi"/>
        <s v=" Roela Õpilaskodu"/>
        <s v=" Laekvere Lasteaed"/>
        <s v=" Muuga-laekvere kool-Laekvere õppehoone"/>
        <s v=" Muuga Laekvere kool-Muuga õppehoone"/>
        <s v=" Vinni-Pajusti halduspiirkond"/>
        <s v="Vinni Vallamuuseum"/>
        <s v=" Halduse tagatavad kulud"/>
        <s v=" Hooldajatoetused"/>
        <s v=" Tugiisikud puuetega inimestele"/>
        <s v=" Puuetega inimeste sotsiaalhoolekandeasutused"/>
      </sharedItems>
    </cacheField>
    <cacheField name="Tegevusala alanimetus" numFmtId="0">
      <sharedItems count="26">
        <s v="Raamatukogud"/>
        <s v="Põhihariduse otsekulud"/>
        <s v="Alusharidus"/>
        <s v="Eakate sotsiaalhoolekande asutused"/>
        <s v="Valla- ja linnavalitsus"/>
        <s v="Sport"/>
        <s v="Muu eakate sotsiaalne kaitse"/>
        <s v="Muu sotsiaalne kaitse, sh sotsiaalse kaitse haldus"/>
        <s v="Noorsootöö ja noortekeskused"/>
        <s v="Muud üldised valitsussektori teenused"/>
        <s v="Koolitransport"/>
        <s v="Valla- ja linnavolikogu"/>
        <s v="Muu majandus (sh majanduse haldus)"/>
        <s v="Muu elamu- ja kommunaalmajanduse tegevus"/>
        <s v="Rahvakultuur"/>
        <s v="Muu haridus, sh hariduse haldus"/>
        <s v="Noorte huviharidus ja huvitegevus"/>
        <s v="Laste ja noorte sotsiaalhoolekande asutused"/>
        <s v="Päästeteenused"/>
        <s v="Side"/>
        <s v="Muu vaba aeg, kultuur, religioon, sh haldus"/>
        <s v="Öömaja"/>
        <s v="Muuseumid"/>
        <s v="Üldkeskhariduse otsekulud"/>
        <s v="Muu puuetega inimeste sotsiaalne kaitse"/>
        <s v="Puuetega inimeste sotsiaalhoolekandeasutused"/>
      </sharedItems>
    </cacheField>
    <cacheField name="Tegevusala koondnimetus" numFmtId="0">
      <sharedItems/>
    </cacheField>
    <cacheField name="Eelarve eest vastutav" numFmtId="0">
      <sharedItems/>
    </cacheField>
    <cacheField name="Ametikoha, koosseisukoha nimetus" numFmtId="0">
      <sharedItems/>
    </cacheField>
    <cacheField name="Koosseisu- kohtade arv aastas/ tunnid aastas" numFmtId="0">
      <sharedItems containsString="0" containsBlank="1" containsNumber="1" minValue="0" maxValue="990"/>
    </cacheField>
    <cacheField name="ühik" numFmtId="0">
      <sharedItems containsBlank="1"/>
    </cacheField>
    <cacheField name="Palgamäär" numFmtId="0">
      <sharedItems containsString="0" containsBlank="1" containsNumber="1" minValue="3.21" maxValue="470852.02"/>
    </cacheField>
    <cacheField name="Töötasu/kuus" numFmtId="0">
      <sharedItems containsSemiMixedTypes="0" containsString="0" containsNumber="1" minValue="0" maxValue="470852.02"/>
    </cacheField>
    <cacheField name="Ühik2" numFmtId="0">
      <sharedItems containsString="0" containsBlank="1" containsNumber="1" minValue="1" maxValue="56"/>
    </cacheField>
    <cacheField name="Lisatasu/ aastas/kuus" numFmtId="0">
      <sharedItems containsString="0" containsBlank="1" containsNumber="1" containsInteger="1" minValue="117" maxValue="7842"/>
    </cacheField>
    <cacheField name="2020. EA " numFmtId="4">
      <sharedItems containsSemiMixedTypes="0" containsString="0" containsNumber="1" minValue="0" maxValue="470852.02"/>
    </cacheField>
    <cacheField name="Maksud" numFmtId="4">
      <sharedItems containsSemiMixedTypes="0" containsString="0" containsNumber="1" minValue="0" maxValue="159147.98276000001"/>
    </cacheField>
    <cacheField name="Märkused" numFmtId="0">
      <sharedItems containsBlank="1"/>
    </cacheField>
    <cacheField name="Personalikulud" numFmtId="0" formula="'2020. EA ' +Maksud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1">
  <r>
    <s v="08"/>
    <x v="0"/>
    <x v="0"/>
    <s v="Raamatukogud"/>
    <s v="Vabaaeg, kultuur ja religioon"/>
    <s v="Laekvere raamatukogu"/>
    <s v="bürootarbed, auhinnad-kingitused, telefon jne"/>
    <n v="300"/>
    <m/>
    <n v="5500"/>
    <s v="Administreerimiskulud"/>
    <n v="55"/>
    <s v="55"/>
    <s v="Muud tegevuskulud"/>
    <s v="Majandamiskulud"/>
    <s v="Põhitegevuse kulu"/>
  </r>
  <r>
    <s v="08"/>
    <x v="0"/>
    <x v="0"/>
    <s v="Raamatukogud"/>
    <s v="Vabaaeg, kultuur ja religioon"/>
    <s v="Laekvere raamatukogu"/>
    <s v="Urrami hooldus ja arendus"/>
    <n v="250"/>
    <m/>
    <n v="5514"/>
    <s v="Info- ja kommunikatsioonitehnoliigised kulud"/>
    <n v="55"/>
    <s v="55"/>
    <s v="Muud tegevuskulud"/>
    <s v="Majandamiskulud"/>
    <s v="Põhitegevuse kulu"/>
  </r>
  <r>
    <s v="08"/>
    <x v="0"/>
    <x v="0"/>
    <s v="Raamatukogud"/>
    <s v="Vabaaeg, kultuur ja religioon"/>
    <s v="Laekvere raamatukogu"/>
    <s v="korstnapühkimisteenus"/>
    <n v="200"/>
    <m/>
    <n v="5511"/>
    <s v="Kinnistute, hoonete ja ruumide majandamiskulud"/>
    <n v="55"/>
    <s v="55"/>
    <s v="Muud tegevuskulud"/>
    <s v="Majandamiskulud"/>
    <s v="Põhitegevuse kulu"/>
  </r>
  <r>
    <s v="08"/>
    <x v="0"/>
    <x v="0"/>
    <s v="Raamatukogud"/>
    <s v="Vabaaeg, kultuur ja religioon"/>
    <s v="Laekvere raamatukogu"/>
    <s v="puhastus- ja korrashoiuvahendid"/>
    <n v="100"/>
    <m/>
    <n v="5511"/>
    <s v="Kinnistute, hoonete ja ruumide majandamiskulud"/>
    <n v="55"/>
    <s v="55"/>
    <s v="Muud tegevuskulud"/>
    <s v="Majandamiskulud"/>
    <s v="Põhitegevuse kulu"/>
  </r>
  <r>
    <s v="08"/>
    <x v="0"/>
    <x v="0"/>
    <s v="Raamatukogud"/>
    <s v="Vabaaeg, kultuur ja religioon"/>
    <s v="Laekvere raamatukogu"/>
    <s v="Raamatukogupäevade üritused, TÕN üritused "/>
    <n v="200"/>
    <m/>
    <n v="5525"/>
    <s v="Kommunikatsiooni-, kultuuri- ja vaba aja sisustamise kulud"/>
    <n v="55"/>
    <s v="55"/>
    <s v="Muud tegevuskulud"/>
    <s v="Majandamiskulud"/>
    <s v="Põhitegevuse kulu"/>
  </r>
  <r>
    <s v="08"/>
    <x v="0"/>
    <x v="0"/>
    <s v="Raamatukogud"/>
    <s v="Vabaaeg, kultuur ja religioon"/>
    <s v="Laekvere raamatukogu"/>
    <s v="Teavikud"/>
    <n v="2500"/>
    <m/>
    <n v="5523"/>
    <s v="Teavikud ja kunstiesemed"/>
    <n v="55"/>
    <s v="55"/>
    <s v="Muud tegevuskulud"/>
    <s v="Majandamiskulud"/>
    <s v="Põhitegevuse kulu"/>
  </r>
  <r>
    <s v="08"/>
    <x v="0"/>
    <x v="0"/>
    <s v="Raamatukogud"/>
    <s v="Vabaaeg, kultuur ja religioon"/>
    <s v="Laekvere raamatukogu"/>
    <s v="perioodika "/>
    <n v="1300"/>
    <m/>
    <n v="5500"/>
    <s v="Administreerimiskulud"/>
    <n v="55"/>
    <s v="55"/>
    <s v="Muud tegevuskulud"/>
    <s v="Majandamiskulud"/>
    <s v="Põhitegevuse kulu"/>
  </r>
  <r>
    <s v="08"/>
    <x v="1"/>
    <x v="1"/>
    <s v="Raamatukogud"/>
    <s v="Vabaaeg, kultuur ja religioon"/>
    <s v="Laekvere raamatukogu"/>
    <s v="bürootarbed, auhinnad-kingitused, telefon jne"/>
    <n v="500"/>
    <m/>
    <n v="5500"/>
    <s v="Administreerimiskulud"/>
    <n v="55"/>
    <s v="55"/>
    <s v="Muud tegevuskulud"/>
    <s v="Majandamiskulud"/>
    <s v="Põhitegevuse kulu"/>
  </r>
  <r>
    <s v="08"/>
    <x v="1"/>
    <x v="1"/>
    <s v="Raamatukogud"/>
    <s v="Vabaaeg, kultuur ja religioon"/>
    <s v="Laekvere raamatukogu"/>
    <s v="Luminor liising Muuga 2 arvutit "/>
    <n v="1200"/>
    <m/>
    <n v="5514"/>
    <s v="Info- ja kommunikatsioonitehnoliigised kulud"/>
    <n v="55"/>
    <s v="55"/>
    <s v="Muud tegevuskulud"/>
    <s v="Majandamiskulud"/>
    <s v="Põhitegevuse kulu"/>
  </r>
  <r>
    <s v="08"/>
    <x v="1"/>
    <x v="1"/>
    <s v="Raamatukogud"/>
    <s v="Vabaaeg, kultuur ja religioon"/>
    <s v="Laekvere raamatukogu"/>
    <s v="Urrami hooldus ja arendus"/>
    <n v="250"/>
    <m/>
    <n v="5514"/>
    <s v="Info- ja kommunikatsioonitehnoliigised kulud"/>
    <n v="55"/>
    <s v="55"/>
    <s v="Muud tegevuskulud"/>
    <s v="Majandamiskulud"/>
    <s v="Põhitegevuse kulu"/>
  </r>
  <r>
    <s v="08"/>
    <x v="1"/>
    <x v="1"/>
    <s v="Raamatukogud"/>
    <s v="Vabaaeg, kultuur ja religioon"/>
    <s v="Laekvere raamatukogu"/>
    <s v="korstnapühkimisteenus"/>
    <n v="200"/>
    <m/>
    <n v="5511"/>
    <s v="Kinnistute, hoonete ja ruumide majandamiskulud"/>
    <n v="55"/>
    <s v="55"/>
    <s v="Muud tegevuskulud"/>
    <s v="Majandamiskulud"/>
    <s v="Põhitegevuse kulu"/>
  </r>
  <r>
    <s v="08"/>
    <x v="1"/>
    <x v="1"/>
    <s v="Raamatukogud"/>
    <s v="Vabaaeg, kultuur ja religioon"/>
    <s v="Laekvere raamatukogu"/>
    <s v="puhastus- ja korrashoiuvahendid"/>
    <n v="250"/>
    <m/>
    <n v="5511"/>
    <s v="Kinnistute, hoonete ja ruumide majandamiskulud"/>
    <n v="55"/>
    <s v="55"/>
    <s v="Muud tegevuskulud"/>
    <s v="Majandamiskulud"/>
    <s v="Põhitegevuse kulu"/>
  </r>
  <r>
    <s v="08"/>
    <x v="1"/>
    <x v="1"/>
    <s v="Raamatukogud"/>
    <s v="Vabaaeg, kultuur ja religioon"/>
    <s v="Laekvere raamatukogu"/>
    <s v="Raamatukogupäevade üritused, TÕN üritused "/>
    <n v="150"/>
    <m/>
    <n v="5525"/>
    <s v="Kommunikatsiooni-, kultuuri- ja vaba aja sisustamise kulud"/>
    <n v="55"/>
    <s v="55"/>
    <s v="Muud tegevuskulud"/>
    <s v="Majandamiskulud"/>
    <s v="Põhitegevuse kulu"/>
  </r>
  <r>
    <s v="08"/>
    <x v="1"/>
    <x v="1"/>
    <s v="Raamatukogud"/>
    <s v="Vabaaeg, kultuur ja religioon"/>
    <s v="Laekvere raamatukogu"/>
    <s v="Raamatukoguöö märts-aprill Muugas "/>
    <n v="250"/>
    <m/>
    <n v="5525"/>
    <s v="Kommunikatsiooni-, kultuuri- ja vaba aja sisustamise kulud"/>
    <n v="55"/>
    <s v="55"/>
    <s v="Muud tegevuskulud"/>
    <s v="Majandamiskulud"/>
    <s v="Põhitegevuse kulu"/>
  </r>
  <r>
    <s v="08"/>
    <x v="1"/>
    <x v="1"/>
    <s v="Raamatukogud"/>
    <s v="Vabaaeg, kultuur ja religioon"/>
    <s v="Laekvere raamatukogu"/>
    <s v="Kohtumised kirjanikuga rahvusvahelise lasteraamatupäeva tähistamiseks aprillis nii Muugas kui Laekveres"/>
    <n v="250"/>
    <m/>
    <n v="5525"/>
    <s v="Kommunikatsiooni-, kultuuri- ja vaba aja sisustamise kulud"/>
    <n v="55"/>
    <s v="55"/>
    <s v="Muud tegevuskulud"/>
    <s v="Majandamiskulud"/>
    <s v="Põhitegevuse kulu"/>
  </r>
  <r>
    <s v="08"/>
    <x v="1"/>
    <x v="1"/>
    <s v="Raamatukogud"/>
    <s v="Vabaaeg, kultuur ja religioon"/>
    <s v="Laekvere raamatukogu"/>
    <s v="Teavikud"/>
    <n v="4500"/>
    <m/>
    <n v="5523"/>
    <s v="Teavikud ja kunstiesemed"/>
    <n v="55"/>
    <s v="55"/>
    <s v="Muud tegevuskulud"/>
    <s v="Majandamiskulud"/>
    <s v="Põhitegevuse kulu"/>
  </r>
  <r>
    <s v="08"/>
    <x v="1"/>
    <x v="1"/>
    <s v="Raamatukogud"/>
    <s v="Vabaaeg, kultuur ja religioon"/>
    <s v="Laekvere raamatukogu"/>
    <s v="perioodika "/>
    <n v="1700"/>
    <m/>
    <n v="5500"/>
    <s v="Administreerimiskulud"/>
    <n v="55"/>
    <s v="55"/>
    <s v="Muud tegevuskulud"/>
    <s v="Majandamiskulud"/>
    <s v="Põhitegevuse kulu"/>
  </r>
  <r>
    <s v="08"/>
    <x v="2"/>
    <x v="2"/>
    <s v="Raamatukogud"/>
    <s v="Vabaaeg, kultuur ja religioon"/>
    <s v="Laekvere raamatukogu"/>
    <s v="remondi- ja hooldusteenused"/>
    <n v="1050"/>
    <m/>
    <n v="5514"/>
    <s v="Info- ja kommunikatsioonitehnoliigised kulud"/>
    <n v="55"/>
    <s v="55"/>
    <s v="Muud tegevuskulud"/>
    <s v="Majandamiskulud"/>
    <s v="Põhitegevuse kulu"/>
  </r>
  <r>
    <s v="08"/>
    <x v="2"/>
    <x v="2"/>
    <s v="Raamatukogud"/>
    <s v="Vabaaeg, kultuur ja religioon"/>
    <s v="Laekvere raamatukogu"/>
    <s v="Urrami hooldus ja arendus"/>
    <n v="250"/>
    <m/>
    <n v="5514"/>
    <s v="Info- ja kommunikatsioonitehnoliigised kulud"/>
    <n v="55"/>
    <s v="55"/>
    <s v="Muud tegevuskulud"/>
    <s v="Majandamiskulud"/>
    <s v="Põhitegevuse kulu"/>
  </r>
  <r>
    <s v="08"/>
    <x v="2"/>
    <x v="2"/>
    <s v="Raamatukogud"/>
    <s v="Vabaaeg, kultuur ja religioon"/>
    <s v="Laekvere raamatukogu"/>
    <s v="puhastus- ja korrashoiuvahendid"/>
    <n v="250"/>
    <m/>
    <n v="5511"/>
    <s v="Kinnistute, hoonete ja ruumide majandamiskulud"/>
    <n v="55"/>
    <s v="55"/>
    <s v="Muud tegevuskulud"/>
    <s v="Majandamiskulud"/>
    <s v="Põhitegevuse kulu"/>
  </r>
  <r>
    <s v="08"/>
    <x v="2"/>
    <x v="2"/>
    <s v="Raamatukogud"/>
    <s v="Vabaaeg, kultuur ja religioon"/>
    <s v="Laekvere raamatukogu"/>
    <s v="muud planeerimata üritused"/>
    <n v="200"/>
    <m/>
    <n v="5525"/>
    <s v="Kommunikatsiooni-, kultuuri- ja vaba aja sisustamise kulud"/>
    <n v="55"/>
    <s v="55"/>
    <s v="Muud tegevuskulud"/>
    <s v="Majandamiskulud"/>
    <s v="Põhitegevuse kulu"/>
  </r>
  <r>
    <s v="08"/>
    <x v="2"/>
    <x v="2"/>
    <s v="Raamatukogud"/>
    <s v="Vabaaeg, kultuur ja religioon"/>
    <s v="Laekvere raamatukogu"/>
    <s v="Karneval Muuga mõisas novembris Muuga- Laekvere Kooli algklasside lastele "/>
    <n v="150"/>
    <m/>
    <n v="5525"/>
    <s v="Kommunikatsiooni-, kultuuri- ja vaba aja sisustamise kulud"/>
    <n v="55"/>
    <s v="55"/>
    <s v="Muud tegevuskulud"/>
    <s v="Majandamiskulud"/>
    <s v="Põhitegevuse kulu"/>
  </r>
  <r>
    <s v="08"/>
    <x v="2"/>
    <x v="2"/>
    <s v="Raamatukogud"/>
    <s v="Vabaaeg, kultuur ja religioon"/>
    <s v="Laekvere raamatukogu"/>
    <s v="Raamatukogupäevade üritused, TÕN üritused "/>
    <n v="150"/>
    <m/>
    <n v="5525"/>
    <s v="Kommunikatsiooni-, kultuuri- ja vaba aja sisustamise kulud"/>
    <n v="55"/>
    <s v="55"/>
    <s v="Muud tegevuskulud"/>
    <s v="Majandamiskulud"/>
    <s v="Põhitegevuse kulu"/>
  </r>
  <r>
    <s v="08"/>
    <x v="2"/>
    <x v="2"/>
    <s v="Raamatukogud"/>
    <s v="Vabaaeg, kultuur ja religioon"/>
    <s v="Laekvere raamatukogu"/>
    <s v="Eduard Vilde 155. sünniaastapäeva tähistamine- Simuna kihelkonnakoolide ja Vinni valla õpilaste reisijuttude kirjutamise konkurss, konkursi lõpuüritus"/>
    <n v="400"/>
    <m/>
    <n v="5525"/>
    <s v="Kommunikatsiooni-, kultuuri- ja vaba aja sisustamise kulud"/>
    <n v="55"/>
    <s v="55"/>
    <s v="Muud tegevuskulud"/>
    <s v="Majandamiskulud"/>
    <s v="Põhitegevuse kulu"/>
  </r>
  <r>
    <s v="08"/>
    <x v="2"/>
    <x v="2"/>
    <s v="Raamatukogud"/>
    <s v="Vabaaeg, kultuur ja religioon"/>
    <s v="Laekvere raamatukogu"/>
    <s v="Kohtumised kirjanikuga rahvusvahelise lasteraamatupäeva tähistamiseks aprillis nii Muugas kui Laekveres"/>
    <n v="250"/>
    <m/>
    <n v="5525"/>
    <s v="Kommunikatsiooni-, kultuuri- ja vaba aja sisustamise kulud"/>
    <n v="55"/>
    <s v="55"/>
    <s v="Muud tegevuskulud"/>
    <s v="Majandamiskulud"/>
    <s v="Põhitegevuse kulu"/>
  </r>
  <r>
    <s v="08"/>
    <x v="2"/>
    <x v="2"/>
    <s v="Raamatukogud"/>
    <s v="Vabaaeg, kultuur ja religioon"/>
    <s v="Laekvere raamatukogu"/>
    <s v="Teavikud"/>
    <n v="6500"/>
    <m/>
    <n v="5523"/>
    <s v="Teavikud ja kunstiesemed"/>
    <n v="55"/>
    <s v="55"/>
    <s v="Muud tegevuskulud"/>
    <s v="Majandamiskulud"/>
    <s v="Põhitegevuse kulu"/>
  </r>
  <r>
    <s v="08"/>
    <x v="2"/>
    <x v="2"/>
    <s v="Raamatukogud"/>
    <s v="Vabaaeg, kultuur ja religioon"/>
    <s v="Laekvere raamatukogu"/>
    <s v="esmaabivahendid, prillihüvitis, gripivaktsiin, tervisekontroll"/>
    <n v="500"/>
    <m/>
    <n v="5522"/>
    <s v="Meditsiinikulud ja hügieenitarbed"/>
    <n v="55"/>
    <s v="55"/>
    <s v="Muud tegevuskulud"/>
    <s v="Majandamiskulud"/>
    <s v="Põhitegevuse kulu"/>
  </r>
  <r>
    <s v="08"/>
    <x v="2"/>
    <x v="2"/>
    <s v="Raamatukogud"/>
    <s v="Vabaaeg, kultuur ja religioon"/>
    <s v="Laekvere raamatukogu"/>
    <s v="Inventar"/>
    <n v="1019"/>
    <s v="Konkreetselt planeerimata, võib tekkida vajadus riiulitele. Muugas võiks remontida olemasoleva nurgadiivani ( riidevahetus)"/>
    <n v="5515"/>
    <s v="Inventari kulud, v.a infotehnoloogia ja kaitseotstarbelised kulud"/>
    <n v="55"/>
    <s v="55"/>
    <s v="Muud tegevuskulud"/>
    <s v="Majandamiskulud"/>
    <s v="Põhitegevuse kulu"/>
  </r>
  <r>
    <s v="08"/>
    <x v="2"/>
    <x v="2"/>
    <s v="Raamatukogud"/>
    <s v="Vabaaeg, kultuur ja religioon"/>
    <s v="Laekvere raamatukogu"/>
    <s v="Isiklikus sõiduauto komp."/>
    <n v="1000"/>
    <m/>
    <n v="5513"/>
    <s v="Sõidukite ülalpidamise kulud"/>
    <n v="55"/>
    <s v="55"/>
    <s v="Muud tegevuskulud"/>
    <s v="Majandamiskulud"/>
    <s v="Põhitegevuse kulu"/>
  </r>
  <r>
    <s v="08"/>
    <x v="2"/>
    <x v="2"/>
    <s v="Raamatukogud"/>
    <s v="Vabaaeg, kultuur ja religioon"/>
    <s v="Laekvere raamatukogu"/>
    <s v="Koolitused"/>
    <n v="1000"/>
    <m/>
    <n v="5504"/>
    <s v="Koolituskulud"/>
    <n v="55"/>
    <s v="55"/>
    <s v="Muud tegevuskulud"/>
    <s v="Majandamiskulud"/>
    <s v="Põhitegevuse kulu"/>
  </r>
  <r>
    <s v="08"/>
    <x v="2"/>
    <x v="2"/>
    <s v="Raamatukogud"/>
    <s v="Vabaaeg, kultuur ja religioon"/>
    <s v="Laekvere raamatukogu"/>
    <s v="perioodika "/>
    <n v="2000"/>
    <m/>
    <n v="5500"/>
    <s v="Administreerimiskulud"/>
    <n v="55"/>
    <s v="55"/>
    <s v="Muud tegevuskulud"/>
    <s v="Majandamiskulud"/>
    <s v="Põhitegevuse kulu"/>
  </r>
  <r>
    <s v="08"/>
    <x v="2"/>
    <x v="2"/>
    <s v="Raamatukogud"/>
    <s v="Vabaaeg, kultuur ja religioon"/>
    <s v="Laekvere raamatukogu"/>
    <s v="bürootarbed, auhinnad-kingitused, telefon jne"/>
    <n v="500"/>
    <m/>
    <n v="5500"/>
    <s v="Administreerimiskulud"/>
    <n v="55"/>
    <s v="55"/>
    <s v="Muud tegevuskulud"/>
    <s v="Majandamiskulud"/>
    <s v="Põhitegevuse kulu"/>
  </r>
  <r>
    <s v="08"/>
    <x v="3"/>
    <x v="3"/>
    <s v="Raamatukogud"/>
    <s v="Vabaaeg, kultuur ja religioon"/>
    <s v="Ulvi raamatukogu"/>
    <s v="uus tööarvuti"/>
    <n v="850"/>
    <s v="arvuti vajab väljavahetamist"/>
    <n v="5514"/>
    <s v="Info- ja kommunikatsioonitehnoliigised kulud"/>
    <n v="55"/>
    <s v="55"/>
    <s v="Muud tegevuskulud"/>
    <s v="Majandamiskulud"/>
    <s v="Põhitegevuse kulu"/>
  </r>
  <r>
    <s v="08"/>
    <x v="3"/>
    <x v="3"/>
    <s v="Raamatukogud"/>
    <s v="Vabaaeg, kultuur ja religioon"/>
    <s v="Ulvi raamatukogu"/>
    <s v="raamatukogu tööprogramm"/>
    <n v="240"/>
    <s v="Urram"/>
    <n v="5514"/>
    <s v="Info- ja kommunikatsioonitehnoliigised kulud"/>
    <n v="55"/>
    <s v="55"/>
    <s v="Muud tegevuskulud"/>
    <s v="Majandamiskulud"/>
    <s v="Põhitegevuse kulu"/>
  </r>
  <r>
    <s v="08"/>
    <x v="3"/>
    <x v="3"/>
    <s v="Raamatukogud"/>
    <s v="Vabaaeg, kultuur ja religioon"/>
    <s v="Ulvi raamatukogu"/>
    <s v="teemaõhtud/hommikud, laste lugemistunnid/raamatukogutunnid; 2 korda aastas suurürutus-märts-emakeelepäev, okt-raamatukogunädal"/>
    <n v="500"/>
    <m/>
    <n v="5525"/>
    <s v="Kommunikatsiooni-, kultuuri- ja vaba aja sisustamise kulud"/>
    <n v="55"/>
    <s v="55"/>
    <s v="Muud tegevuskulud"/>
    <s v="Majandamiskulud"/>
    <s v="Põhitegevuse kulu"/>
  </r>
  <r>
    <s v="08"/>
    <x v="3"/>
    <x v="3"/>
    <s v="Raamatukogud"/>
    <s v="Vabaaeg, kultuur ja religioon"/>
    <s v="Ulvi raamatukogu"/>
    <s v="Teavikud"/>
    <n v="3200"/>
    <m/>
    <n v="5523"/>
    <s v="Teavikud ja kunstiesemed"/>
    <n v="55"/>
    <s v="55"/>
    <s v="Muud tegevuskulud"/>
    <s v="Majandamiskulud"/>
    <s v="Põhitegevuse kulu"/>
  </r>
  <r>
    <s v="08"/>
    <x v="3"/>
    <x v="3"/>
    <s v="Raamatukogud"/>
    <s v="Vabaaeg, kultuur ja religioon"/>
    <s v="Ulvi raamatukogu"/>
    <s v="prillid"/>
    <n v="100"/>
    <m/>
    <n v="5522"/>
    <s v="Meditsiinikulud ja hügieenitarbed"/>
    <n v="55"/>
    <s v="55"/>
    <s v="Muud tegevuskulud"/>
    <s v="Majandamiskulud"/>
    <s v="Põhitegevuse kulu"/>
  </r>
  <r>
    <s v="08"/>
    <x v="3"/>
    <x v="3"/>
    <s v="Raamatukogud"/>
    <s v="Vabaaeg, kultuur ja religioon"/>
    <s v="Ulvi raamatukogu"/>
    <s v="Isikliku sõiduauto komp."/>
    <n v="220"/>
    <s v="teavikute transport Rakverest, kojuteenindus, tööga seotud koosolekutest, koolitustest osavõtt"/>
    <n v="5513"/>
    <s v="Sõidukite ülalpidamise kulud"/>
    <n v="55"/>
    <s v="55"/>
    <s v="Muud tegevuskulud"/>
    <s v="Majandamiskulud"/>
    <s v="Põhitegevuse kulu"/>
  </r>
  <r>
    <s v="08"/>
    <x v="3"/>
    <x v="3"/>
    <s v="Raamatukogud"/>
    <s v="Vabaaeg, kultuur ja religioon"/>
    <s v="Ulvi raamatukogu"/>
    <s v="Koolitused"/>
    <n v="350"/>
    <s v="Erinevad koolitused,seminarid sh maakonna keskraamatukogu korraldatud; Maaraamatukogude suveseminar Saaremaal; Õppereis Soome"/>
    <n v="5504"/>
    <s v="Koolituskulud"/>
    <n v="55"/>
    <s v="55"/>
    <s v="Muud tegevuskulud"/>
    <s v="Majandamiskulud"/>
    <s v="Põhitegevuse kulu"/>
  </r>
  <r>
    <s v="08"/>
    <x v="3"/>
    <x v="3"/>
    <s v="Raamatukogud"/>
    <s v="Vabaaeg, kultuur ja religioon"/>
    <s v="Ulvi raamatukogu"/>
    <s v="perioodika"/>
    <n v="1200"/>
    <s v="ajalehed,ajakirjad-tellimine 1 kord aastas- novembris"/>
    <n v="5500"/>
    <s v="Administreerimiskulud"/>
    <n v="55"/>
    <s v="55"/>
    <s v="Muud tegevuskulud"/>
    <s v="Majandamiskulud"/>
    <s v="Põhitegevuse kulu"/>
  </r>
  <r>
    <s v="08"/>
    <x v="3"/>
    <x v="3"/>
    <s v="Raamatukogud"/>
    <s v="Vabaaeg, kultuur ja religioon"/>
    <s v="Ulvi raamatukogu"/>
    <s v="kantseleikaup"/>
    <n v="500"/>
    <s v="paber, tahm, raamatukiled, vöötkoodid"/>
    <n v="5500"/>
    <s v="Administreerimiskulud"/>
    <n v="55"/>
    <s v="55"/>
    <s v="Muud tegevuskulud"/>
    <s v="Majandamiskulud"/>
    <s v="Põhitegevuse kulu"/>
  </r>
  <r>
    <s v="08"/>
    <x v="3"/>
    <x v="3"/>
    <s v="Raamatukogud"/>
    <s v="Vabaaeg, kultuur ja religioon"/>
    <s v="Ulvi raamatukogu"/>
    <s v="Telefon, Internet"/>
    <n v="320"/>
    <s v="Interneti püsiühendus, lauatelefon"/>
    <n v="5500"/>
    <s v="Administreerimiskulud"/>
    <n v="55"/>
    <s v="55"/>
    <s v="Muud tegevuskulud"/>
    <s v="Majandamiskulud"/>
    <s v="Põhitegevuse kulu"/>
  </r>
  <r>
    <s v="08"/>
    <x v="3"/>
    <x v="3"/>
    <s v="Raamatukogud"/>
    <s v="Vabaaeg, kultuur ja religioon"/>
    <s v="Ulvi raamatukogu"/>
    <s v="Ulvi mõisamaja turvafirma lepingutasu, korrastusvahendid, puhastusvahendid, paber"/>
    <n v="400"/>
    <m/>
    <n v="5511"/>
    <s v="Kinnistute, hoonete ja ruumide majandamiskulud"/>
    <n v="55"/>
    <s v="55"/>
    <s v="Muud tegevuskulud"/>
    <s v="Majandamiskulud"/>
    <s v="Põhitegevuse kulu"/>
  </r>
  <r>
    <s v="08"/>
    <x v="4"/>
    <x v="4"/>
    <s v="Raamatukogud"/>
    <s v="Vabaaeg, kultuur ja religioon"/>
    <s v="Tudu raamatukogu"/>
    <s v="Pisiremondid jms"/>
    <n v="850"/>
    <m/>
    <n v="5511"/>
    <s v="Kinnistute, hoonete ja ruumide majandamiskulud"/>
    <n v="55"/>
    <s v="55"/>
    <s v="Muud tegevuskulud"/>
    <s v="Majandamiskulud"/>
    <s v="Põhitegevuse kulu"/>
  </r>
  <r>
    <s v="08"/>
    <x v="4"/>
    <x v="4"/>
    <s v="Raamatukogud"/>
    <s v="Vabaaeg, kultuur ja religioon"/>
    <s v="Tudu raamatukogu"/>
    <s v="Hoone kindlustus"/>
    <n v="150"/>
    <m/>
    <n v="5511"/>
    <s v="Kinnistute, hoonete ja ruumide majandamiskulud"/>
    <n v="55"/>
    <s v="55"/>
    <s v="Muud tegevuskulud"/>
    <s v="Majandamiskulud"/>
    <s v="Põhitegevuse kulu"/>
  </r>
  <r>
    <s v="08"/>
    <x v="4"/>
    <x v="4"/>
    <s v="Raamatukogud"/>
    <s v="Vabaaeg, kultuur ja religioon"/>
    <s v="Tudu raamatukogu"/>
    <s v="Saku Läte"/>
    <n v="135"/>
    <m/>
    <n v="5511"/>
    <s v="Kinnistute, hoonete ja ruumide majandamiskulud"/>
    <n v="55"/>
    <s v="55"/>
    <s v="Muud tegevuskulud"/>
    <s v="Majandamiskulud"/>
    <s v="Põhitegevuse kulu"/>
  </r>
  <r>
    <s v="08"/>
    <x v="4"/>
    <x v="4"/>
    <s v="Raamatukogud"/>
    <s v="Vabaaeg, kultuur ja religioon"/>
    <s v="Tudu raamatukogu"/>
    <s v="urrami programmihooldus 20.- x12 kuud"/>
    <n v="240"/>
    <m/>
    <n v="5514"/>
    <s v="Info- ja kommunikatsioonitehnoliigised kulud"/>
    <n v="55"/>
    <s v="55"/>
    <s v="Muud tegevuskulud"/>
    <s v="Majandamiskulud"/>
    <s v="Põhitegevuse kulu"/>
  </r>
  <r>
    <s v="08"/>
    <x v="4"/>
    <x v="4"/>
    <s v="Raamatukogud"/>
    <s v="Vabaaeg, kultuur ja religioon"/>
    <s v="Tudu raamatukogu"/>
    <s v="kantseleikaup,paber,tahm"/>
    <n v="30"/>
    <m/>
    <n v="5500"/>
    <s v="Administreerimiskulud"/>
    <n v="55"/>
    <s v="55"/>
    <s v="Muud tegevuskulud"/>
    <s v="Majandamiskulud"/>
    <s v="Põhitegevuse kulu"/>
  </r>
  <r>
    <s v="08"/>
    <x v="4"/>
    <x v="4"/>
    <s v="Raamatukogud"/>
    <s v="Vabaaeg, kultuur ja religioon"/>
    <s v="Tudu raamatukogu"/>
    <s v="koolituste plaan"/>
    <n v="30"/>
    <m/>
    <n v="5504"/>
    <s v="Koolituskulud"/>
    <n v="55"/>
    <s v="55"/>
    <s v="Muud tegevuskulud"/>
    <s v="Majandamiskulud"/>
    <s v="Põhitegevuse kulu"/>
  </r>
  <r>
    <s v="08"/>
    <x v="4"/>
    <x v="4"/>
    <s v="Raamatukogud"/>
    <s v="Vabaaeg, kultuur ja religioon"/>
    <s v="Tudu raamatukogu"/>
    <s v="raamatud"/>
    <n v="1570"/>
    <m/>
    <n v="5523"/>
    <s v="Teavikud ja kunstiesemed"/>
    <n v="55"/>
    <s v="55"/>
    <s v="Muud tegevuskulud"/>
    <s v="Majandamiskulud"/>
    <s v="Põhitegevuse kulu"/>
  </r>
  <r>
    <s v="08"/>
    <x v="4"/>
    <x v="4"/>
    <s v="Raamatukogud"/>
    <s v="Vabaaeg, kultuur ja religioon"/>
    <s v="Tudu raamatukogu"/>
    <s v="perioodika"/>
    <n v="500"/>
    <s v="ajakirjade arv jääb samaks nagu 2019.a."/>
    <n v="5500"/>
    <s v="Administreerimiskulud"/>
    <n v="55"/>
    <s v="55"/>
    <s v="Muud tegevuskulud"/>
    <s v="Majandamiskulud"/>
    <s v="Põhitegevuse kulu"/>
  </r>
  <r>
    <s v="08"/>
    <x v="4"/>
    <x v="4"/>
    <s v="Raamatukogud"/>
    <s v="Vabaaeg, kultuur ja religioon"/>
    <s v="Tudu raamatukogu"/>
    <s v="telefon ja internet"/>
    <n v="660"/>
    <s v="tel 3235645 kõned ja kuutasu + interneti kuutasu"/>
    <n v="5500"/>
    <s v="Administreerimiskulud"/>
    <n v="55"/>
    <s v="55"/>
    <s v="Muud tegevuskulud"/>
    <s v="Majandamiskulud"/>
    <s v="Põhitegevuse kulu"/>
  </r>
  <r>
    <s v="08"/>
    <x v="5"/>
    <x v="5"/>
    <s v="Raamatukogud"/>
    <s v="Vabaaeg, kultuur ja religioon"/>
    <s v="Roela Raamatukogu"/>
    <s v="korrashoiuvahendid"/>
    <n v="100"/>
    <s v="wc paber,kätekuivatuspaber"/>
    <n v="5511"/>
    <s v="Kinnistute, hoonete ja ruumide majandamiskulud"/>
    <n v="55"/>
    <s v="55"/>
    <s v="Muud tegevuskulud"/>
    <s v="Majandamiskulud"/>
    <s v="Põhitegevuse kulu"/>
  </r>
  <r>
    <s v="08"/>
    <x v="5"/>
    <x v="5"/>
    <s v="Raamatukogud"/>
    <s v="Vabaaeg, kultuur ja religioon"/>
    <s v="Roela Raamatukogu"/>
    <s v="sanremondi materjalid(pahtel,värv)"/>
    <n v="500"/>
    <m/>
    <n v="5511"/>
    <s v="Kinnistute, hoonete ja ruumide majandamiskulud"/>
    <n v="55"/>
    <s v="55"/>
    <s v="Muud tegevuskulud"/>
    <s v="Majandamiskulud"/>
    <s v="Põhitegevuse kulu"/>
  </r>
  <r>
    <s v="08"/>
    <x v="5"/>
    <x v="5"/>
    <s v="Raamatukogud"/>
    <s v="Vabaaeg, kultuur ja religioon"/>
    <s v="Roela Raamatukogu"/>
    <s v="printer"/>
    <n v="200"/>
    <s v="täiendav vajadus"/>
    <n v="5514"/>
    <s v="Info- ja kommunikatsioonitehnoliigised kulud"/>
    <n v="55"/>
    <s v="55"/>
    <s v="Muud tegevuskulud"/>
    <s v="Majandamiskulud"/>
    <s v="Põhitegevuse kulu"/>
  </r>
  <r>
    <s v="08"/>
    <x v="5"/>
    <x v="5"/>
    <s v="Raamatukogud"/>
    <s v="Vabaaeg, kultuur ja religioon"/>
    <s v="Roela Raamatukogu"/>
    <s v="arvutiprogrammide hooldused"/>
    <n v="240"/>
    <m/>
    <n v="5514"/>
    <s v="Info- ja kommunikatsioonitehnoliigised kulud"/>
    <n v="55"/>
    <s v="55"/>
    <s v="Muud tegevuskulud"/>
    <s v="Majandamiskulud"/>
    <s v="Põhitegevuse kulu"/>
  </r>
  <r>
    <s v="08"/>
    <x v="5"/>
    <x v="5"/>
    <s v="Raamatukogud"/>
    <s v="Vabaaeg, kultuur ja religioon"/>
    <s v="Roela Raamatukogu"/>
    <s v="üritused täiskasvanutele"/>
    <n v="170"/>
    <m/>
    <n v="5525"/>
    <s v="Kommunikatsiooni-, kultuuri- ja vaba aja sisustamise kulud"/>
    <n v="55"/>
    <s v="55"/>
    <s v="Muud tegevuskulud"/>
    <s v="Majandamiskulud"/>
    <s v="Põhitegevuse kulu"/>
  </r>
  <r>
    <s v="08"/>
    <x v="5"/>
    <x v="5"/>
    <s v="Raamatukogud"/>
    <s v="Vabaaeg, kultuur ja religioon"/>
    <s v="Roela Raamatukogu"/>
    <s v="Üritused lastele"/>
    <n v="170"/>
    <m/>
    <n v="5525"/>
    <s v="Kommunikatsiooni-, kultuuri- ja vaba aja sisustamise kulud"/>
    <n v="55"/>
    <s v="55"/>
    <s v="Muud tegevuskulud"/>
    <s v="Majandamiskulud"/>
    <s v="Põhitegevuse kulu"/>
  </r>
  <r>
    <s v="08"/>
    <x v="5"/>
    <x v="5"/>
    <s v="Raamatukogud"/>
    <s v="Vabaaeg, kultuur ja religioon"/>
    <s v="Roela Raamatukogu"/>
    <s v="perioodika"/>
    <n v="1000"/>
    <m/>
    <n v="5500"/>
    <s v="Administreerimiskulud"/>
    <n v="55"/>
    <s v="55"/>
    <s v="Muud tegevuskulud"/>
    <s v="Majandamiskulud"/>
    <s v="Põhitegevuse kulu"/>
  </r>
  <r>
    <s v="08"/>
    <x v="5"/>
    <x v="5"/>
    <s v="Raamatukogud"/>
    <s v="Vabaaeg, kultuur ja religioon"/>
    <s v="Roela Raamatukogu"/>
    <s v="raamatud"/>
    <n v="4000"/>
    <m/>
    <n v="5523"/>
    <s v="Teavikud ja kunstiesemed"/>
    <n v="55"/>
    <s v="55"/>
    <s v="Muud tegevuskulud"/>
    <s v="Majandamiskulud"/>
    <s v="Põhitegevuse kulu"/>
  </r>
  <r>
    <s v="08"/>
    <x v="5"/>
    <x v="5"/>
    <s v="Raamatukogud"/>
    <s v="Vabaaeg, kultuur ja religioon"/>
    <s v="Roela Raamatukogu"/>
    <s v="liigieraldajad"/>
    <n v="200"/>
    <s v="täiendav vajadus"/>
    <n v="5515"/>
    <s v="Inventari kulud, v.a infotehnoloogia ja kaitseotstarbelised kulud"/>
    <n v="55"/>
    <s v="55"/>
    <s v="Muud tegevuskulud"/>
    <s v="Majandamiskulud"/>
    <s v="Põhitegevuse kulu"/>
  </r>
  <r>
    <s v="08"/>
    <x v="5"/>
    <x v="5"/>
    <s v="Raamatukogud"/>
    <s v="Vabaaeg, kultuur ja religioon"/>
    <s v="Roela Raamatukogu"/>
    <s v="diivan"/>
    <n v="150"/>
    <s v="täiendav vajadus"/>
    <n v="5515"/>
    <s v="Inventari kulud, v.a infotehnoloogia ja kaitseotstarbelised kulud"/>
    <n v="55"/>
    <s v="55"/>
    <s v="Muud tegevuskulud"/>
    <s v="Majandamiskulud"/>
    <s v="Põhitegevuse kulu"/>
  </r>
  <r>
    <s v="08"/>
    <x v="5"/>
    <x v="5"/>
    <s v="Raamatukogud"/>
    <s v="Vabaaeg, kultuur ja religioon"/>
    <s v="Roela Raamatukogu"/>
    <s v="Koolituskulud"/>
    <n v="350"/>
    <m/>
    <n v="5504"/>
    <s v="Koolituskulud"/>
    <n v="55"/>
    <s v="55"/>
    <s v="Muud tegevuskulud"/>
    <s v="Majandamiskulud"/>
    <s v="Põhitegevuse kulu"/>
  </r>
  <r>
    <s v="08"/>
    <x v="5"/>
    <x v="5"/>
    <s v="Raamatukogud"/>
    <s v="Vabaaeg, kultuur ja religioon"/>
    <s v="Roela Raamatukogu"/>
    <s v="paber,tahm"/>
    <n v="120"/>
    <m/>
    <n v="5500"/>
    <s v="Administreerimiskulud"/>
    <n v="55"/>
    <s v="55"/>
    <s v="Muud tegevuskulud"/>
    <s v="Majandamiskulud"/>
    <s v="Põhitegevuse kulu"/>
  </r>
  <r>
    <s v="08"/>
    <x v="6"/>
    <x v="6"/>
    <s v="Raamatukogud"/>
    <s v="Vabaaeg, kultuur ja religioon"/>
    <s v="Viru-Jaagupi raamatukogu"/>
    <s v="Lugejaarvuti"/>
    <n v="400"/>
    <s v="raamatukogul ei ole ainsana valla raamatukogudest lugeja toimivat lugejaarvutit, ehkki igal aastal on vajadus eelarvesse märgitud lugeja kasutab vajadusel raamatukogutöötaja tööarvutit"/>
    <n v="5514"/>
    <s v="Info- ja kommunikatsioonitehnoliigised kulud"/>
    <n v="55"/>
    <s v="55"/>
    <s v="Muud tegevuskulud"/>
    <s v="Majandamiskulud"/>
    <s v="Põhitegevuse kulu"/>
  </r>
  <r>
    <s v="08"/>
    <x v="6"/>
    <x v="6"/>
    <s v="Raamatukogud"/>
    <s v="Vabaaeg, kultuur ja religioon"/>
    <s v="Viru-Jaagupi raamatukogu"/>
    <s v="Urrami programmi igakuine hooldustasu 20.-x 12 k"/>
    <n v="240"/>
    <m/>
    <n v="5514"/>
    <s v="Info- ja kommunikatsioonitehnoliigised kulud"/>
    <n v="55"/>
    <s v="55"/>
    <s v="Muud tegevuskulud"/>
    <s v="Majandamiskulud"/>
    <s v="Põhitegevuse kulu"/>
  </r>
  <r>
    <s v="08"/>
    <x v="6"/>
    <x v="6"/>
    <s v="Raamatukogud"/>
    <s v="Vabaaeg, kultuur ja religioon"/>
    <s v="Viru-Jaagupi raamatukogu"/>
    <s v="riiulitele teavikute kohasildid"/>
    <n v="100"/>
    <s v="jäi osadele riiulitele 2019 puudu! s.h.lastefondile)"/>
    <n v="5500"/>
    <s v="Administreerimiskulud"/>
    <n v="55"/>
    <s v="55"/>
    <s v="Muud tegevuskulud"/>
    <s v="Majandamiskulud"/>
    <s v="Põhitegevuse kulu"/>
  </r>
  <r>
    <s v="08"/>
    <x v="6"/>
    <x v="6"/>
    <s v="Raamatukogud"/>
    <s v="Vabaaeg, kultuur ja religioon"/>
    <s v="Viru-Jaagupi raamatukogu"/>
    <s v="planeeritud kultuuriüritused,mida korraldab. raamatukogu koostöös muuseumiga"/>
    <n v="300"/>
    <m/>
    <n v="5525"/>
    <s v="Kommunikatsiooni-, kultuuri- ja vaba aja sisustamise kulud"/>
    <n v="55"/>
    <s v="55"/>
    <s v="Muud tegevuskulud"/>
    <s v="Majandamiskulud"/>
    <s v="Põhitegevuse kulu"/>
  </r>
  <r>
    <s v="08"/>
    <x v="6"/>
    <x v="6"/>
    <s v="Raamatukogud"/>
    <s v="Vabaaeg, kultuur ja religioon"/>
    <s v="Viru-Jaagupi raamatukogu"/>
    <s v="uued raamatud kogusse"/>
    <n v="2000"/>
    <m/>
    <n v="5523"/>
    <s v="Teavikud ja kunstiesemed"/>
    <n v="55"/>
    <s v="55"/>
    <s v="Muud tegevuskulud"/>
    <s v="Majandamiskulud"/>
    <s v="Põhitegevuse kulu"/>
  </r>
  <r>
    <s v="08"/>
    <x v="6"/>
    <x v="6"/>
    <s v="Raamatukogud"/>
    <s v="Vabaaeg, kultuur ja religioon"/>
    <s v="Viru-Jaagupi raamatukogu"/>
    <s v="koolitused"/>
    <n v="50"/>
    <m/>
    <n v="5504"/>
    <s v="Koolituskulud"/>
    <n v="55"/>
    <s v="55"/>
    <s v="Muud tegevuskulud"/>
    <s v="Majandamiskulud"/>
    <s v="Põhitegevuse kulu"/>
  </r>
  <r>
    <s v="08"/>
    <x v="6"/>
    <x v="6"/>
    <s v="Raamatukogud"/>
    <s v="Vabaaeg, kultuur ja religioon"/>
    <s v="Viru-Jaagupi raamatukogu"/>
    <s v="raamatukogu telefon, ajalehed,ajakirjad, print.tahm(ka kultuuriürituste kuulutused)"/>
    <n v="1380"/>
    <m/>
    <n v="5500"/>
    <s v="Administreerimiskulud"/>
    <n v="55"/>
    <s v="55"/>
    <s v="Muud tegevuskulud"/>
    <s v="Majandamiskulud"/>
    <s v="Põhitegevuse kulu"/>
  </r>
  <r>
    <s v="08"/>
    <x v="6"/>
    <x v="6"/>
    <s v="Raamatukogud"/>
    <s v="Vabaaeg, kultuur ja religioon"/>
    <s v="Viru-Jaagupi raamatukogu"/>
    <s v="korrashoiuvahendid(puh.vahendid,prügikotid jne), k.a.muuseumi jaoks"/>
    <n v="80"/>
    <m/>
    <n v="5511"/>
    <s v="Kinnistute, hoonete ja ruumide majandamiskulud"/>
    <n v="55"/>
    <s v="55"/>
    <s v="Muud tegevuskulud"/>
    <s v="Majandamiskulud"/>
    <s v="Põhitegevuse kulu"/>
  </r>
  <r>
    <s v="08"/>
    <x v="6"/>
    <x v="6"/>
    <s v="Raamatukogud"/>
    <s v="Vabaaeg, kultuur ja religioon"/>
    <s v="Ehitusnõunik"/>
    <s v="Viru-Jaagupi rahvaraamatukogu küttesüsteemi üleviimine pelletküttele"/>
    <n v="148000"/>
    <m/>
    <n v="1551"/>
    <s v="Rajatiste ja hoonete soetamine ja renoveerimine"/>
    <n v="15"/>
    <s v="15"/>
    <s v="Põhivara soetus (-)"/>
    <s v="Põhivara soetus (-)"/>
    <s v="Investeerimistegevus"/>
  </r>
  <r>
    <s v="08"/>
    <x v="7"/>
    <x v="7"/>
    <s v="Raamatukogud"/>
    <s v="Vabaaeg, kultuur ja religioon"/>
    <s v="Vinni-Pajusti raamatukogu"/>
    <s v="Tagastuskast raamatukogu välisukse juurde."/>
    <n v="300"/>
    <m/>
    <n v="5515"/>
    <s v="Inventari kulud, v.a infotehnoloogia ja kaitseotstarbelised kulud"/>
    <n v="55"/>
    <s v="55"/>
    <s v="Muud tegevuskulud"/>
    <s v="Majandamiskulud"/>
    <s v="Põhitegevuse kulu"/>
  </r>
  <r>
    <s v="08"/>
    <x v="7"/>
    <x v="7"/>
    <s v="Raamatukogud"/>
    <s v="Vabaaeg, kultuur ja religioon"/>
    <s v="Vinni-Pajusti raamatukogu"/>
    <s v="Lisaruumide san.remont vms renoveerimine"/>
    <n v="5000"/>
    <s v="Rauno"/>
    <n v="5511"/>
    <s v="Kinnistute, hoonete ja ruumide majandamiskulud"/>
    <n v="55"/>
    <s v="55"/>
    <s v="Muud tegevuskulud"/>
    <s v="Majandamiskulud"/>
    <s v="Põhitegevuse kulu"/>
  </r>
  <r>
    <s v="08"/>
    <x v="7"/>
    <x v="7"/>
    <s v="Raamatukogud"/>
    <s v="Vabaaeg, kultuur ja religioon"/>
    <s v="Vinni-Pajusti raamatukogu"/>
    <s v="Värviprinter"/>
    <n v="500"/>
    <m/>
    <n v="5514"/>
    <s v="Info- ja kommunikatsioonitehnoliigised kulud"/>
    <n v="55"/>
    <s v="55"/>
    <s v="Muud tegevuskulud"/>
    <s v="Majandamiskulud"/>
    <s v="Põhitegevuse kulu"/>
  </r>
  <r>
    <s v="08"/>
    <x v="7"/>
    <x v="7"/>
    <s v="Raamatukogud"/>
    <s v="Vabaaeg, kultuur ja religioon"/>
    <s v="Vinni-Pajusti raamatukogu"/>
    <s v="Tarkvara hooldusleping"/>
    <n v="480"/>
    <s v="Kadila + Vinni, programm Urram"/>
    <n v="5514"/>
    <s v="Info- ja kommunikatsioonitehnoliigised kulud"/>
    <n v="55"/>
    <s v="55"/>
    <s v="Muud tegevuskulud"/>
    <s v="Majandamiskulud"/>
    <s v="Põhitegevuse kulu"/>
  </r>
  <r>
    <s v="08"/>
    <x v="7"/>
    <x v="7"/>
    <s v="Raamatukogud"/>
    <s v="Vabaaeg, kultuur ja religioon"/>
    <s v="Vinni-Pajusti raamatukogu"/>
    <s v="Ettenägematud kulud"/>
    <n v="89.91"/>
    <m/>
    <n v="5540"/>
    <s v="Mitmesugused majanduskulud"/>
    <n v="55"/>
    <s v="55"/>
    <s v="Muud tegevuskulud"/>
    <s v="Majandamiskulud"/>
    <s v="Põhitegevuse kulu"/>
  </r>
  <r>
    <s v="08"/>
    <x v="7"/>
    <x v="7"/>
    <s v="Raamatukogud"/>
    <s v="Vabaaeg, kultuur ja religioon"/>
    <s v="Vinni-Pajusti raamatukogu"/>
    <s v="Postkast Kadilasse"/>
    <n v="50"/>
    <m/>
    <n v="5515"/>
    <s v="Inventari kulud, v.a infotehnoloogia ja kaitseotstarbelised kulud"/>
    <n v="55"/>
    <s v="55"/>
    <s v="Muud tegevuskulud"/>
    <s v="Majandamiskulud"/>
    <s v="Põhitegevuse kulu"/>
  </r>
  <r>
    <s v="08"/>
    <x v="7"/>
    <x v="7"/>
    <s v="Raamatukogud"/>
    <s v="Vabaaeg, kultuur ja religioon"/>
    <s v="Vinni-Pajusti raamatukogu"/>
    <s v="Auhinnad raamatutundides, suvises lugemisprogrammis"/>
    <n v="600"/>
    <m/>
    <n v="5525"/>
    <s v="Kommunikatsiooni-, kultuuri- ja vaba aja sisustamise kulud"/>
    <n v="55"/>
    <s v="55"/>
    <s v="Muud tegevuskulud"/>
    <s v="Majandamiskulud"/>
    <s v="Põhitegevuse kulu"/>
  </r>
  <r>
    <s v="08"/>
    <x v="7"/>
    <x v="7"/>
    <s v="Raamatukogud"/>
    <s v="Vabaaeg, kultuur ja religioon"/>
    <s v="Vinni-Pajusti raamatukogu"/>
    <s v="Raamatud"/>
    <n v="7200"/>
    <m/>
    <n v="5523"/>
    <s v="Teavikud ja kunstiesemed"/>
    <n v="55"/>
    <s v="55"/>
    <s v="Muud tegevuskulud"/>
    <s v="Majandamiskulud"/>
    <s v="Põhitegevuse kulu"/>
  </r>
  <r>
    <s v="08"/>
    <x v="7"/>
    <x v="7"/>
    <s v="Raamatukogud"/>
    <s v="Vabaaeg, kultuur ja religioon"/>
    <s v="Vinni-Pajusti raamatukogu"/>
    <s v="Töötervishoid"/>
    <n v="200"/>
    <m/>
    <n v="5522"/>
    <s v="Meditsiinikulud ja hügieenitarbed"/>
    <n v="55"/>
    <s v="55"/>
    <s v="Muud tegevuskulud"/>
    <s v="Majandamiskulud"/>
    <s v="Põhitegevuse kulu"/>
  </r>
  <r>
    <s v="08"/>
    <x v="7"/>
    <x v="7"/>
    <s v="Raamatukogud"/>
    <s v="Vabaaeg, kultuur ja religioon"/>
    <s v="Vinni-Pajusti raamatukogu"/>
    <s v="Autohüvitis "/>
    <n v="400"/>
    <s v="Kadilas laenutamine iga nädal 1x + linnast raamatute toomine, majandustarvikute toomine"/>
    <n v="5513"/>
    <s v="Sõidukite ülalpidamise kulud"/>
    <n v="55"/>
    <s v="55"/>
    <s v="Muud tegevuskulud"/>
    <s v="Majandamiskulud"/>
    <s v="Põhitegevuse kulu"/>
  </r>
  <r>
    <s v="08"/>
    <x v="7"/>
    <x v="7"/>
    <s v="Raamatukogud"/>
    <s v="Vabaaeg, kultuur ja religioon"/>
    <s v="Vinni-Pajusti raamatukogu"/>
    <s v="Valgustus, lampide vahetus"/>
    <n v="200"/>
    <m/>
    <n v="5511"/>
    <s v="Kinnistute, hoonete ja ruumide majandamiskulud"/>
    <n v="55"/>
    <s v="55"/>
    <s v="Muud tegevuskulud"/>
    <s v="Majandamiskulud"/>
    <s v="Põhitegevuse kulu"/>
  </r>
  <r>
    <s v="08"/>
    <x v="7"/>
    <x v="7"/>
    <s v="Raamatukogud"/>
    <s v="Vabaaeg, kultuur ja religioon"/>
    <s v="Vinni-Pajusti raamatukogu"/>
    <s v="Kindlustus"/>
    <n v="125"/>
    <m/>
    <n v="5511"/>
    <s v="Kinnistute, hoonete ja ruumide majandamiskulud"/>
    <n v="55"/>
    <s v="55"/>
    <s v="Muud tegevuskulud"/>
    <s v="Majandamiskulud"/>
    <s v="Põhitegevuse kulu"/>
  </r>
  <r>
    <s v="08"/>
    <x v="7"/>
    <x v="7"/>
    <s v="Raamatukogud"/>
    <s v="Vabaaeg, kultuur ja religioon"/>
    <s v="Vinni-Pajusti raamatukogu"/>
    <s v="Tulekahju signalisatsiooni hooldus"/>
    <n v="450"/>
    <m/>
    <n v="5511"/>
    <s v="Kinnistute, hoonete ja ruumide majandamiskulud"/>
    <n v="55"/>
    <s v="55"/>
    <s v="Muud tegevuskulud"/>
    <s v="Majandamiskulud"/>
    <s v="Põhitegevuse kulu"/>
  </r>
  <r>
    <s v="08"/>
    <x v="7"/>
    <x v="7"/>
    <s v="Raamatukogud"/>
    <s v="Vabaaeg, kultuur ja religioon"/>
    <s v="Vinni-Pajusti raamatukogu"/>
    <s v="Lähetuskulud"/>
    <n v="100"/>
    <s v="Laager Saaremaal; õppereis Soome Oodi raamatukokku"/>
    <n v="5504"/>
    <s v="Koolituskulud"/>
    <n v="55"/>
    <s v="55"/>
    <s v="Muud tegevuskulud"/>
    <s v="Majandamiskulud"/>
    <s v="Põhitegevuse kulu"/>
  </r>
  <r>
    <s v="08"/>
    <x v="7"/>
    <x v="7"/>
    <s v="Raamatukogud"/>
    <s v="Vabaaeg, kultuur ja religioon"/>
    <s v="Vinni-Pajusti raamatukogu"/>
    <s v="Koolituskulud"/>
    <n v="500"/>
    <s v="Muud koolitused (sh Lääne-Virumaa KRK korraldatud)"/>
    <n v="5504"/>
    <s v="Koolituskulud"/>
    <n v="55"/>
    <s v="55"/>
    <s v="Muud tegevuskulud"/>
    <s v="Majandamiskulud"/>
    <s v="Põhitegevuse kulu"/>
  </r>
  <r>
    <s v="08"/>
    <x v="7"/>
    <x v="7"/>
    <s v="Raamatukogud"/>
    <s v="Vabaaeg, kultuur ja religioon"/>
    <s v="Vinni-Pajusti raamatukogu"/>
    <s v="Markerid, pastakad, kleepsud, märkmepaber jmt"/>
    <n v="100"/>
    <m/>
    <n v="5500"/>
    <s v="Administreerimiskulud"/>
    <n v="55"/>
    <s v="55"/>
    <s v="Muud tegevuskulud"/>
    <s v="Majandamiskulud"/>
    <s v="Põhitegevuse kulu"/>
  </r>
  <r>
    <s v="08"/>
    <x v="7"/>
    <x v="7"/>
    <s v="Raamatukogud"/>
    <s v="Vabaaeg, kultuur ja religioon"/>
    <s v="Vinni-Pajusti raamatukogu"/>
    <s v="Telefon+internet"/>
    <n v="800"/>
    <m/>
    <n v="5500"/>
    <s v="Administreerimiskulud"/>
    <n v="55"/>
    <s v="55"/>
    <s v="Muud tegevuskulud"/>
    <s v="Majandamiskulud"/>
    <s v="Põhitegevuse kulu"/>
  </r>
  <r>
    <s v="08"/>
    <x v="7"/>
    <x v="7"/>
    <s v="Raamatukogud"/>
    <s v="Vabaaeg, kultuur ja religioon"/>
    <s v="Vinni-Pajusti raamatukogu"/>
    <s v="Tooner"/>
    <n v="150"/>
    <m/>
    <n v="5500"/>
    <s v="Administreerimiskulud"/>
    <n v="55"/>
    <s v="55"/>
    <s v="Muud tegevuskulud"/>
    <s v="Majandamiskulud"/>
    <s v="Põhitegevuse kulu"/>
  </r>
  <r>
    <s v="08"/>
    <x v="7"/>
    <x v="7"/>
    <s v="Raamatukogud"/>
    <s v="Vabaaeg, kultuur ja religioon"/>
    <s v="Vinni-Pajusti raamatukogu"/>
    <s v="Perioodika"/>
    <n v="2000"/>
    <m/>
    <n v="5500"/>
    <s v="Administreerimiskulud"/>
    <n v="55"/>
    <s v="55"/>
    <s v="Muud tegevuskulud"/>
    <s v="Majandamiskulud"/>
    <s v="Põhitegevuse kulu"/>
  </r>
  <r>
    <s v="08"/>
    <x v="7"/>
    <x v="7"/>
    <s v="Raamatukogud"/>
    <s v="Vabaaeg, kultuur ja religioon"/>
    <s v="Vinni-Pajusti raamatukogu"/>
    <s v="Raamatuetiketid"/>
    <n v="120"/>
    <m/>
    <n v="5500"/>
    <s v="Administreerimiskulud"/>
    <n v="55"/>
    <s v="55"/>
    <s v="Muud tegevuskulud"/>
    <s v="Majandamiskulud"/>
    <s v="Põhitegevuse kulu"/>
  </r>
  <r>
    <s v="08"/>
    <x v="7"/>
    <x v="7"/>
    <s v="Raamatukogud"/>
    <s v="Vabaaeg, kultuur ja religioon"/>
    <s v="Vinni-Pajusti raamatukogu"/>
    <s v="Raamatukile"/>
    <n v="190"/>
    <m/>
    <n v="5500"/>
    <s v="Administreerimiskulud"/>
    <n v="55"/>
    <s v="55"/>
    <s v="Muud tegevuskulud"/>
    <s v="Majandamiskulud"/>
    <s v="Põhitegevuse kulu"/>
  </r>
  <r>
    <s v="08"/>
    <x v="7"/>
    <x v="7"/>
    <s v="Raamatukogud"/>
    <s v="Vabaaeg, kultuur ja religioon"/>
    <s v="Vinni-Pajusti raamatukogu"/>
    <s v="Paber"/>
    <n v="100"/>
    <m/>
    <n v="5500"/>
    <s v="Administreerimiskulud"/>
    <n v="55"/>
    <s v="55"/>
    <s v="Muud tegevuskulud"/>
    <s v="Majandamiskulud"/>
    <s v="Põhitegevuse kulu"/>
  </r>
  <r>
    <s v="08"/>
    <x v="7"/>
    <x v="7"/>
    <s v="Raamatukogud"/>
    <s v="Vabaaeg, kultuur ja religioon"/>
    <s v="Vinni-Pajusti raamatukogu"/>
    <s v="Vaip"/>
    <n v="100"/>
    <m/>
    <n v="5511"/>
    <s v="Kinnistute, hoonete ja ruumide majandamiskulud"/>
    <n v="55"/>
    <s v="55"/>
    <s v="Muud tegevuskulud"/>
    <s v="Majandamiskulud"/>
    <s v="Põhitegevuse kulu"/>
  </r>
  <r>
    <s v="08"/>
    <x v="7"/>
    <x v="7"/>
    <s v="Raamatukogud"/>
    <s v="Vabaaeg, kultuur ja religioon"/>
    <s v="Vinni-Pajusti raamatukogu"/>
    <s v="Prügi"/>
    <n v="100"/>
    <s v="200l -rk oma, õues 600l -küla oma, meie eelarves"/>
    <n v="5511"/>
    <s v="Kinnistute, hoonete ja ruumide majandamiskulud"/>
    <n v="55"/>
    <s v="55"/>
    <s v="Muud tegevuskulud"/>
    <s v="Majandamiskulud"/>
    <s v="Põhitegevuse kulu"/>
  </r>
  <r>
    <s v="08"/>
    <x v="7"/>
    <x v="7"/>
    <s v="Raamatukogud"/>
    <s v="Vabaaeg, kultuur ja religioon"/>
    <s v="Vinni-Pajusti raamatukogu"/>
    <s v="Hooldusvahendid, tualettpaber"/>
    <n v="200"/>
    <m/>
    <n v="5511"/>
    <s v="Kinnistute, hoonete ja ruumide majandamiskulud"/>
    <n v="55"/>
    <s v="55"/>
    <s v="Muud tegevuskulud"/>
    <s v="Majandamiskulud"/>
    <s v="Põhitegevuse kulu"/>
  </r>
  <r>
    <s v="08"/>
    <x v="7"/>
    <x v="7"/>
    <s v="Raamatukogud"/>
    <s v="Vabaaeg, kultuur ja religioon"/>
    <s v="Vinni-Pajusti raamatukogu"/>
    <s v="Vesi"/>
    <n v="120"/>
    <m/>
    <n v="5511"/>
    <s v="Kinnistute, hoonete ja ruumide majandamiskulud"/>
    <n v="55"/>
    <s v="55"/>
    <s v="Muud tegevuskulud"/>
    <s v="Majandamiskulud"/>
    <s v="Põhitegevuse kulu"/>
  </r>
  <r>
    <s v="08"/>
    <x v="7"/>
    <x v="7"/>
    <s v="Raamatukogud"/>
    <s v="Vabaaeg, kultuur ja religioon"/>
    <s v="Vinni-Pajusti raamatukogu"/>
    <s v="Elekter"/>
    <n v="2000"/>
    <m/>
    <n v="5511"/>
    <s v="Kinnistute, hoonete ja ruumide majandamiskulud"/>
    <n v="55"/>
    <s v="55"/>
    <s v="Muud tegevuskulud"/>
    <s v="Majandamiskulud"/>
    <s v="Põhitegevuse kulu"/>
  </r>
  <r>
    <s v="08"/>
    <x v="7"/>
    <x v="7"/>
    <s v="Raamatukogud"/>
    <s v="Vabaaeg, kultuur ja religioon"/>
    <s v="Vinni-Pajusti raamatukogu"/>
    <s v="Soojus"/>
    <n v="9000"/>
    <m/>
    <n v="5511"/>
    <s v="Kinnistute, hoonete ja ruumide majandamiskulud"/>
    <n v="55"/>
    <s v="55"/>
    <s v="Muud tegevuskulud"/>
    <s v="Majandamiskulud"/>
    <s v="Põhitegevuse kulu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5">
  <r>
    <s v="08"/>
    <s v="0820207         "/>
    <x v="0"/>
    <s v="Rahvakultuur"/>
    <s v="Vabaaeg, kultuur ja religioon"/>
    <s v="Ulvi klubi"/>
    <s v="arvutihooldus/programmid"/>
    <n v="300"/>
    <m/>
    <n v="5514"/>
    <s v="Info- ja kommunikatsioonitehnoliigised kulud"/>
    <n v="55"/>
    <s v="55"/>
    <s v="Muud tegevuskulud"/>
    <s v="Majandamiskulud"/>
    <s v="Põhitegevuse kulu"/>
  </r>
  <r>
    <s v="08"/>
    <s v="0820207         "/>
    <x v="0"/>
    <s v="Rahvakultuur"/>
    <s v="Vabaaeg, kultuur ja religioon"/>
    <s v="Ulvi klubi"/>
    <s v="hoone kindlustus "/>
    <n v="300"/>
    <m/>
    <n v="5511"/>
    <s v="Kinnistute, hoonete ja ruumide majandamiskulud"/>
    <n v="55"/>
    <s v="55"/>
    <s v="Muud tegevuskulud"/>
    <s v="Majandamiskulud"/>
    <s v="Põhitegevuse kulu"/>
  </r>
  <r>
    <s v="08"/>
    <s v="0820207         "/>
    <x v="0"/>
    <s v="Rahvakultuur"/>
    <s v="Vabaaeg, kultuur ja religioon"/>
    <s v="Ulvi klubi"/>
    <s v="lilled õue lillekastidesse, amplid suvel maja ees"/>
    <n v="100"/>
    <m/>
    <n v="5511"/>
    <s v="Kinnistute, hoonete ja ruumide majandamiskulud"/>
    <n v="55"/>
    <s v="55"/>
    <s v="Muud tegevuskulud"/>
    <s v="Majandamiskulud"/>
    <s v="Põhitegevuse kulu"/>
  </r>
  <r>
    <s v="08"/>
    <s v="0820207         "/>
    <x v="0"/>
    <s v="Rahvakultuur"/>
    <s v="Vabaaeg, kultuur ja religioon"/>
    <s v="Ulvi klubi"/>
    <s v="maja hooldustööd/remont"/>
    <n v="1000"/>
    <s v="ettenägematud kulud maja remondiks/pirnide vahetus/parandustööd/kanalisatsioonitööd"/>
    <n v="5511"/>
    <s v="Kinnistute, hoonete ja ruumide majandamiskulud"/>
    <n v="55"/>
    <s v="55"/>
    <s v="Muud tegevuskulud"/>
    <s v="Majandamiskulud"/>
    <s v="Põhitegevuse kulu"/>
  </r>
  <r>
    <s v="08"/>
    <s v="0820207         "/>
    <x v="0"/>
    <s v="Rahvakultuur"/>
    <s v="Vabaaeg, kultuur ja religioon"/>
    <s v="Ulvi klubi"/>
    <s v="saali parketihooldus "/>
    <n v="800"/>
    <s v="iga aastane parketihooldus/vahendid/tööaeg"/>
    <n v="5511"/>
    <s v="Kinnistute, hoonete ja ruumide majandamiskulud"/>
    <n v="55"/>
    <s v="55"/>
    <s v="Muud tegevuskulud"/>
    <s v="Majandamiskulud"/>
    <s v="Põhitegevuse kulu"/>
  </r>
  <r>
    <s v="08"/>
    <s v="0820207         "/>
    <x v="0"/>
    <s v="Rahvakultuur"/>
    <s v="Vabaaeg, kultuur ja religioon"/>
    <s v="Ulvi klubi"/>
    <s v="maja korrashoiuvahendid"/>
    <n v="1000"/>
    <s v="puh.vahendid, lapid, mopid, harjad, WC- ja kätebaperid, seebi jne."/>
    <n v="5511"/>
    <s v="Kinnistute, hoonete ja ruumide majandamiskulud"/>
    <n v="55"/>
    <s v="55"/>
    <s v="Muud tegevuskulud"/>
    <s v="Majandamiskulud"/>
    <s v="Põhitegevuse kulu"/>
  </r>
  <r>
    <s v="08"/>
    <s v="0820207         "/>
    <x v="0"/>
    <s v="Rahvakultuur"/>
    <s v="Vabaaeg, kultuur ja religioon"/>
    <s v="Ulvi klubi"/>
    <s v="valvesüsteemi hooldusteenua"/>
    <n v="120"/>
    <s v="KMPH Grupp OÜ"/>
    <n v="5511"/>
    <s v="Kinnistute, hoonete ja ruumide majandamiskulud"/>
    <n v="55"/>
    <s v="55"/>
    <s v="Muud tegevuskulud"/>
    <s v="Majandamiskulud"/>
    <s v="Põhitegevuse kulu"/>
  </r>
  <r>
    <s v="08"/>
    <s v="0820207         "/>
    <x v="0"/>
    <s v="Rahvakultuur"/>
    <s v="Vabaaeg, kultuur ja religioon"/>
    <s v="Ulvi klubi"/>
    <s v="tulekustutite kontroll/hooldusteenus"/>
    <n v="200"/>
    <s v="Tamrex Ohutuse OÜ"/>
    <n v="5511"/>
    <s v="Kinnistute, hoonete ja ruumide majandamiskulud"/>
    <n v="55"/>
    <s v="55"/>
    <s v="Muud tegevuskulud"/>
    <s v="Majandamiskulud"/>
    <s v="Põhitegevuse kulu"/>
  </r>
  <r>
    <s v="08"/>
    <s v="0820207         "/>
    <x v="0"/>
    <s v="Rahvakultuur"/>
    <s v="Vabaaeg, kultuur ja religioon"/>
    <s v="Ulvi klubi"/>
    <s v="maaküte"/>
    <n v="1000"/>
    <s v="Viru Maaküte OÜ "/>
    <n v="5511"/>
    <s v="Kinnistute, hoonete ja ruumide majandamiskulud"/>
    <n v="55"/>
    <s v="55"/>
    <s v="Muud tegevuskulud"/>
    <s v="Majandamiskulud"/>
    <s v="Põhitegevuse kulu"/>
  </r>
  <r>
    <s v="08"/>
    <s v="0820207         "/>
    <x v="0"/>
    <s v="Rahvakultuur"/>
    <s v="Vabaaeg, kultuur ja religioon"/>
    <s v="Ulvi klubi"/>
    <s v="elekter"/>
    <n v="10000"/>
    <s v="Eesti Energia AS"/>
    <n v="5511"/>
    <s v="Kinnistute, hoonete ja ruumide majandamiskulud"/>
    <n v="55"/>
    <s v="55"/>
    <s v="Muud tegevuskulud"/>
    <s v="Majandamiskulud"/>
    <s v="Põhitegevuse kulu"/>
  </r>
  <r>
    <s v="08"/>
    <s v="0820207         "/>
    <x v="0"/>
    <s v="Rahvakultuur"/>
    <s v="Vabaaeg, kultuur ja religioon"/>
    <s v="Ulvi klubi"/>
    <s v="veeautomaadi rent/vesi"/>
    <n v="100"/>
    <s v="6.- x 12 "/>
    <n v="5511"/>
    <s v="Kinnistute, hoonete ja ruumide majandamiskulud"/>
    <n v="55"/>
    <s v="55"/>
    <s v="Muud tegevuskulud"/>
    <s v="Majandamiskulud"/>
    <s v="Põhitegevuse kulu"/>
  </r>
  <r>
    <s v="08"/>
    <s v="0820207         "/>
    <x v="0"/>
    <s v="Rahvakultuur"/>
    <s v="Vabaaeg, kultuur ja religioon"/>
    <s v="Ulvi klubi"/>
    <s v="vesi ja kanalisatsioon "/>
    <n v="400"/>
    <s v="Kunda Vesi OÜ"/>
    <n v="5511"/>
    <s v="Kinnistute, hoonete ja ruumide majandamiskulud"/>
    <n v="55"/>
    <s v="55"/>
    <s v="Muud tegevuskulud"/>
    <s v="Majandamiskulud"/>
    <s v="Põhitegevuse kulu"/>
  </r>
  <r>
    <s v="08"/>
    <s v="0820207         "/>
    <x v="0"/>
    <s v="Rahvakultuur"/>
    <s v="Vabaaeg, kultuur ja religioon"/>
    <s v="Ulvi klubi"/>
    <s v="pesutöötlus"/>
    <n v="100"/>
    <s v="Virumaa Puhastus OÜ "/>
    <n v="5511"/>
    <s v="Kinnistute, hoonete ja ruumide majandamiskulud"/>
    <n v="55"/>
    <s v="55"/>
    <s v="Muud tegevuskulud"/>
    <s v="Majandamiskulud"/>
    <s v="Põhitegevuse kulu"/>
  </r>
  <r>
    <s v="08"/>
    <s v="0820207         "/>
    <x v="0"/>
    <s v="Rahvakultuur"/>
    <s v="Vabaaeg, kultuur ja religioon"/>
    <s v="Ulvi klubi"/>
    <s v="eakate päeva tähistamine "/>
    <n v="100"/>
    <m/>
    <n v="5525"/>
    <s v="Kommunikatsiooni-, kultuuri- ja vaba aja sisustamise kulud"/>
    <n v="55"/>
    <s v="55"/>
    <s v="Muud tegevuskulud"/>
    <s v="Majandamiskulud"/>
    <s v="Põhitegevuse kulu"/>
  </r>
  <r>
    <s v="08"/>
    <s v="0820207         "/>
    <x v="0"/>
    <s v="Rahvakultuur"/>
    <s v="Vabaaeg, kultuur ja religioon"/>
    <s v="Ulvi klubi"/>
    <s v="dekoratsioonid üritustele"/>
    <n v="150"/>
    <m/>
    <n v="5525"/>
    <s v="Kommunikatsiooni-, kultuuri- ja vaba aja sisustamise kulud"/>
    <n v="55"/>
    <s v="55"/>
    <s v="Muud tegevuskulud"/>
    <s v="Majandamiskulud"/>
    <s v="Põhitegevuse kulu"/>
  </r>
  <r>
    <s v="08"/>
    <s v="0820207         "/>
    <x v="0"/>
    <s v="Rahvakultuur"/>
    <s v="Vabaaeg, kultuur ja religioon"/>
    <s v="Ulvi klubi"/>
    <s v="Rägavere piirkonna vastalpäev"/>
    <n v="150"/>
    <s v="supp/kukklid/auhinnad"/>
    <n v="5525"/>
    <s v="Kommunikatsiooni-, kultuuri- ja vaba aja sisustamise kulud"/>
    <n v="55"/>
    <s v="55"/>
    <s v="Muud tegevuskulud"/>
    <s v="Majandamiskulud"/>
    <s v="Põhitegevuse kulu"/>
  </r>
  <r>
    <s v="08"/>
    <s v="0820207         "/>
    <x v="0"/>
    <s v="Rahvakultuur"/>
    <s v="Vabaaeg, kultuur ja religioon"/>
    <s v="Ulvi klubi"/>
    <s v="kevadine hooaja lõpetamine "/>
    <n v="300"/>
    <s v="esineja/tänukirjad/kringel/kohv"/>
    <n v="5525"/>
    <s v="Kommunikatsiooni-, kultuuri- ja vaba aja sisustamise kulud"/>
    <n v="55"/>
    <s v="55"/>
    <s v="Muud tegevuskulud"/>
    <s v="Majandamiskulud"/>
    <s v="Põhitegevuse kulu"/>
  </r>
  <r>
    <s v="08"/>
    <s v="0820207         "/>
    <x v="0"/>
    <s v="Rahvakultuur"/>
    <s v="Vabaaeg, kultuur ja religioon"/>
    <s v="Ulvi klubi"/>
    <s v="taidlejate/piirkonna jõulupidu"/>
    <n v="200"/>
    <s v="esinejate tellimine/ ringijuhtide jõulupakid"/>
    <n v="5525"/>
    <s v="Kommunikatsiooni-, kultuuri- ja vaba aja sisustamise kulud"/>
    <n v="55"/>
    <s v="55"/>
    <s v="Muud tegevuskulud"/>
    <s v="Majandamiskulud"/>
    <s v="Põhitegevuse kulu"/>
  </r>
  <r>
    <s v="08"/>
    <s v="0820207         "/>
    <x v="0"/>
    <s v="Rahvakultuur"/>
    <s v="Vabaaeg, kultuur ja religioon"/>
    <s v="Ulvi klubi"/>
    <s v="koduste laste jõulupidu "/>
    <n v="100"/>
    <s v="jõuluvana tellimine"/>
    <n v="5525"/>
    <s v="Kommunikatsiooni-, kultuuri- ja vaba aja sisustamise kulud"/>
    <n v="55"/>
    <s v="55"/>
    <s v="Muud tegevuskulud"/>
    <s v="Majandamiskulud"/>
    <s v="Põhitegevuse kulu"/>
  </r>
  <r>
    <s v="08"/>
    <s v="0820207         "/>
    <x v="0"/>
    <s v="Rahvakultuur"/>
    <s v="Vabaaeg, kultuur ja religioon"/>
    <s v="Ulvi klubi"/>
    <s v="Rägavere piirkonna jaanituli"/>
    <n v="1500"/>
    <s v="ansambel/õhtujuht/auhinnad/lõke/lasteala"/>
    <n v="5525"/>
    <s v="Kommunikatsiooni-, kultuuri- ja vaba aja sisustamise kulud"/>
    <n v="55"/>
    <s v="55"/>
    <s v="Muud tegevuskulud"/>
    <s v="Majandamiskulud"/>
    <s v="Põhitegevuse kulu"/>
  </r>
  <r>
    <s v="08"/>
    <s v="0820207         "/>
    <x v="0"/>
    <s v="Rahvakultuur"/>
    <s v="Vabaaeg, kultuur ja religioon"/>
    <s v="Ulvi klubi"/>
    <s v="emadepäeva kontsert "/>
    <n v="100"/>
    <s v="tort/lilled/esineja"/>
    <n v="5525"/>
    <s v="Kommunikatsiooni-, kultuuri- ja vaba aja sisustamise kulud"/>
    <n v="55"/>
    <s v="55"/>
    <s v="Muud tegevuskulud"/>
    <s v="Majandamiskulud"/>
    <s v="Põhitegevuse kulu"/>
  </r>
  <r>
    <s v="08"/>
    <s v="0820207         "/>
    <x v="0"/>
    <s v="Rahvakultuur"/>
    <s v="Vabaaeg, kultuur ja religioon"/>
    <s v="Ulvi klubi"/>
    <s v="väiksemad üritused/koosviibimised"/>
    <n v="1000"/>
    <s v="aasta jooksul lisanduvad mitte pikalt ette planeeritud üritused"/>
    <n v="5525"/>
    <s v="Kommunikatsiooni-, kultuuri- ja vaba aja sisustamise kulud"/>
    <n v="55"/>
    <s v="55"/>
    <s v="Muud tegevuskulud"/>
    <s v="Majandamiskulud"/>
    <s v="Põhitegevuse kulu"/>
  </r>
  <r>
    <s v="08"/>
    <s v="0820207         "/>
    <x v="0"/>
    <s v="Rahvakultuur"/>
    <s v="Vabaaeg, kultuur ja religioon"/>
    <s v="Ulvi klubi"/>
    <s v="Vabariigi aastapäeva lipuheiskamine"/>
    <n v="200"/>
    <s v="esineja tellimine,vastuvõtulaud"/>
    <n v="5525"/>
    <s v="Kommunikatsiooni-, kultuuri- ja vaba aja sisustamise kulud"/>
    <n v="55"/>
    <s v="55"/>
    <s v="Muud tegevuskulud"/>
    <s v="Majandamiskulud"/>
    <s v="Põhitegevuse kulu"/>
  </r>
  <r>
    <s v="08"/>
    <s v="0820207         "/>
    <x v="0"/>
    <s v="Rahvakultuur"/>
    <s v="Vabaaeg, kultuur ja religioon"/>
    <s v="Ulvi klubi"/>
    <s v="lilleteenus"/>
    <n v="150"/>
    <s v="ringijuhtide õnnitlemine, teiste asutuste õnnitlemine"/>
    <n v="5525"/>
    <s v="Kommunikatsiooni-, kultuuri- ja vaba aja sisustamise kulud"/>
    <n v="55"/>
    <s v="55"/>
    <s v="Muud tegevuskulud"/>
    <s v="Majandamiskulud"/>
    <s v="Põhitegevuse kulu"/>
  </r>
  <r>
    <s v="08"/>
    <s v="0820207         "/>
    <x v="0"/>
    <s v="Rahvakultuur"/>
    <s v="Vabaaeg, kultuur ja religioon"/>
    <s v="Ulvi klubi"/>
    <s v="klubi ringide esinemisväljasõidud"/>
    <n v="1500"/>
    <s v="bussi tellimine"/>
    <n v="5525"/>
    <s v="Kommunikatsiooni-, kultuuri- ja vaba aja sisustamise kulud"/>
    <n v="55"/>
    <s v="55"/>
    <s v="Muud tegevuskulud"/>
    <s v="Majandamiskulud"/>
    <s v="Põhitegevuse kulu"/>
  </r>
  <r>
    <s v="08"/>
    <s v="0820207         "/>
    <x v="0"/>
    <s v="Rahvakultuur"/>
    <s v="Vabaaeg, kultuur ja religioon"/>
    <s v="Ulvi klubi"/>
    <s v="isikliku sõiduauto kasutamine juhatajal"/>
    <n v="720"/>
    <s v="12 x 60.- "/>
    <n v="5513"/>
    <s v="Sõidukite ülalpidamise kulud"/>
    <n v="55"/>
    <s v="55"/>
    <s v="Muud tegevuskulud"/>
    <s v="Majandamiskulud"/>
    <s v="Põhitegevuse kulu"/>
  </r>
  <r>
    <s v="08"/>
    <s v="0820207         "/>
    <x v="0"/>
    <s v="Rahvakultuur"/>
    <s v="Vabaaeg, kultuur ja religioon"/>
    <s v="Ulvi klubi"/>
    <s v="klubi juhataja koolitused"/>
    <n v="450"/>
    <s v="juhataja koolitused/täiendkursused/suvekool"/>
    <n v="5504"/>
    <s v="Koolituskulud"/>
    <n v="55"/>
    <s v="55"/>
    <s v="Muud tegevuskulud"/>
    <s v="Majandamiskulud"/>
    <s v="Põhitegevuse kulu"/>
  </r>
  <r>
    <s v="08"/>
    <s v="0820207         "/>
    <x v="0"/>
    <s v="Rahvakultuur"/>
    <s v="Vabaaeg, kultuur ja religioon"/>
    <s v="Ulvi klubi"/>
    <s v="paber, pliiats, markerid"/>
    <n v="50"/>
    <m/>
    <n v="5500"/>
    <s v="Administreerimiskulud"/>
    <n v="55"/>
    <s v="55"/>
    <s v="Muud tegevuskulud"/>
    <s v="Majandamiskulud"/>
    <s v="Põhitegevuse kulu"/>
  </r>
  <r>
    <s v="08"/>
    <s v="0820207         "/>
    <x v="0"/>
    <s v="Rahvakultuur"/>
    <s v="Vabaaeg, kultuur ja religioon"/>
    <s v="Ulvi klubi"/>
    <s v="printeri tahm "/>
    <n v="100"/>
    <s v="värviprinteri tahm "/>
    <n v="5500"/>
    <s v="Administreerimiskulud"/>
    <n v="55"/>
    <s v="55"/>
    <s v="Muud tegevuskulud"/>
    <s v="Majandamiskulud"/>
    <s v="Põhitegevuse kulu"/>
  </r>
  <r>
    <s v="08"/>
    <s v="0820207         "/>
    <x v="0"/>
    <s v="Rahvakultuur"/>
    <s v="Vabaaeg, kultuur ja religioon"/>
    <s v="Ulvi klubi"/>
    <s v="telefon ja internet"/>
    <n v="350"/>
    <s v="telefon 3295418, internet Andigo OÜ 25.90 x 12 "/>
    <n v="5500"/>
    <s v="Administreerimiskulud"/>
    <n v="55"/>
    <s v="55"/>
    <s v="Muud tegevuskulud"/>
    <s v="Majandamiskulud"/>
    <s v="Põhitegevuse kulu"/>
  </r>
  <r>
    <s v="08"/>
    <s v="0820206         "/>
    <x v="1"/>
    <s v="Rahvakultuur"/>
    <s v="Vabaaeg, kultuur ja religioon"/>
    <s v="Venevere seltsimaja"/>
    <s v="IT kulud"/>
    <n v="600"/>
    <m/>
    <n v="5514"/>
    <s v="Info- ja kommunikatsioonitehnoliigised kulud"/>
    <n v="55"/>
    <s v="55"/>
    <s v="Muud tegevuskulud"/>
    <s v="Majandamiskulud"/>
    <s v="Põhitegevuse kulu"/>
  </r>
  <r>
    <s v="08"/>
    <s v="0820206         "/>
    <x v="1"/>
    <s v="Rahvakultuur"/>
    <s v="Vabaaeg, kultuur ja religioon"/>
    <s v="Venevere seltsimaja"/>
    <s v="Üritused"/>
    <n v="2730"/>
    <m/>
    <n v="5525"/>
    <s v="Kommunikatsiooni-, kultuuri- ja vaba aja sisustamise kulud"/>
    <n v="55"/>
    <s v="55"/>
    <s v="Muud tegevuskulud"/>
    <s v="Majandamiskulud"/>
    <s v="Põhitegevuse kulu"/>
  </r>
  <r>
    <s v="08"/>
    <s v="0820206         "/>
    <x v="1"/>
    <s v="Rahvakultuur"/>
    <s v="Vabaaeg, kultuur ja religioon"/>
    <s v="Venevere seltsimaja"/>
    <s v="Pokaalid 50tk 90.00, muu inventar vastavalt vajadusele"/>
    <n v="500"/>
    <m/>
    <n v="5515"/>
    <s v="Inventari kulud, v.a infotehnoloogia ja kaitseotstarbelised kulud"/>
    <n v="55"/>
    <s v="55"/>
    <s v="Muud tegevuskulud"/>
    <s v="Majandamiskulud"/>
    <s v="Põhitegevuse kulu"/>
  </r>
  <r>
    <s v="08"/>
    <s v="0820206         "/>
    <x v="1"/>
    <s v="Rahvakultuur"/>
    <s v="Vabaaeg, kultuur ja religioon"/>
    <s v="Venevere seltsimaja"/>
    <s v="Sõidukite majandamiskulud"/>
    <n v="400"/>
    <m/>
    <n v="5513"/>
    <s v="Sõidukite ülalpidamise kulud"/>
    <n v="55"/>
    <s v="55"/>
    <s v="Muud tegevuskulud"/>
    <s v="Majandamiskulud"/>
    <s v="Põhitegevuse kulu"/>
  </r>
  <r>
    <s v="08"/>
    <s v="0820206         "/>
    <x v="1"/>
    <s v="Rahvakultuur"/>
    <s v="Vabaaeg, kultuur ja religioon"/>
    <s v="Venevere seltsimaja"/>
    <s v="koolitused"/>
    <n v="100"/>
    <m/>
    <n v="5504"/>
    <s v="Koolituskulud"/>
    <n v="55"/>
    <s v="55"/>
    <s v="Muud tegevuskulud"/>
    <s v="Majandamiskulud"/>
    <s v="Põhitegevuse kulu"/>
  </r>
  <r>
    <s v="08"/>
    <s v="0820206         "/>
    <x v="1"/>
    <s v="Rahvakultuur"/>
    <s v="Vabaaeg, kultuur ja religioon"/>
    <s v="Venevere seltsimaja"/>
    <s v="Bürootarbed"/>
    <n v="120"/>
    <m/>
    <n v="5500"/>
    <s v="Administreerimiskulud"/>
    <n v="55"/>
    <s v="55"/>
    <s v="Muud tegevuskulud"/>
    <s v="Majandamiskulud"/>
    <s v="Põhitegevuse kulu"/>
  </r>
  <r>
    <s v="08"/>
    <s v="0820206         "/>
    <x v="1"/>
    <s v="Rahvakultuur"/>
    <s v="Vabaaeg, kultuur ja religioon"/>
    <s v="Venevere seltsimaja"/>
    <s v="kinnistukulud"/>
    <n v="8000"/>
    <m/>
    <n v="5511"/>
    <s v="Kinnistute, hoonete ja ruumide majandamiskulud"/>
    <n v="55"/>
    <s v="55"/>
    <s v="Muud tegevuskulud"/>
    <s v="Majandamiskulud"/>
    <s v="Põhitegevuse kulu"/>
  </r>
  <r>
    <s v="08"/>
    <s v="0820205         "/>
    <x v="2"/>
    <s v="Rahvakultuur"/>
    <s v="Vabaaeg, kultuur ja religioon"/>
    <s v="Ehitusnõunik"/>
    <s v="Laekvere Rahvamaja keldrisse lasketiiru rajamine"/>
    <n v="-20000"/>
    <s v="PRIA toetus"/>
    <n v="20385"/>
    <s v="Põhivara soetuseks saadav sihtfinantseerimine"/>
    <n v="3502"/>
    <s v="20"/>
    <s v="Põhivara soetuseks saadav sihtfinantseerimine (+)"/>
    <s v="Põhivara soetuseks saadav sihtfinantseerimine (+)"/>
    <s v="Investeerimistegevus"/>
  </r>
  <r>
    <s v="08"/>
    <s v="0820205         "/>
    <x v="2"/>
    <s v="Rahvakultuur"/>
    <s v="Vabaaeg, kultuur ja religioon"/>
    <s v="Ehitusnõunik"/>
    <s v="Laekvere Rahvamaja keldrisse lasketiiru rajamine"/>
    <n v="20000"/>
    <s v="PRIA toetus"/>
    <n v="1551"/>
    <s v="Rajatiste ja hoonete soetamine ja renoveerimine"/>
    <n v="15"/>
    <s v="15"/>
    <s v="Põhivara soetus (-)"/>
    <s v="Põhivara soetus (-)"/>
    <s v="Investeerimistegevus"/>
  </r>
  <r>
    <s v="08"/>
    <s v="0820205         "/>
    <x v="2"/>
    <s v="Rahvakultuur"/>
    <s v="Vabaaeg, kultuur ja religioon"/>
    <s v="Laekvere Rahva Maja"/>
    <s v="MTÜ Eha kapellijuhendaja sõidukulud"/>
    <n v="552"/>
    <m/>
    <n v="5513"/>
    <s v="Sõidukite ülalpidamise kulud"/>
    <n v="55"/>
    <s v="55"/>
    <s v="Muud tegevuskulud"/>
    <s v="Majandamiskulud"/>
    <s v="Põhitegevuse kulu"/>
  </r>
  <r>
    <s v="08"/>
    <s v="0820205         "/>
    <x v="2"/>
    <s v="Rahvakultuur"/>
    <s v="Vabaaeg, kultuur ja religioon"/>
    <s v="Ehitusnõunik"/>
    <s v="Laekvere Rahvamaja, energiatõhusustööd"/>
    <n v="32000"/>
    <m/>
    <n v="1551"/>
    <s v="Rajatiste ja hoonete soetamine ja renoveerimine"/>
    <n v="15"/>
    <s v="15"/>
    <s v="Põhivara soetus (-)"/>
    <s v="Põhivara soetus (-)"/>
    <s v="Investeerimistegevus"/>
  </r>
  <r>
    <s v="08"/>
    <s v="0820205         "/>
    <x v="2"/>
    <s v="Rahvakultuur"/>
    <s v="Vabaaeg, kultuur ja religioon"/>
    <s v="Ehitusnõunik"/>
    <s v="Laekvere Rahvamaja keldrisse lasketiiru rajamine"/>
    <n v="64820"/>
    <m/>
    <n v="1551"/>
    <s v="Rajatiste ja hoonete soetamine ja renoveerimine"/>
    <n v="15"/>
    <s v="15"/>
    <s v="Põhivara soetus (-)"/>
    <s v="Põhivara soetus (-)"/>
    <s v="Investeerimistegevus"/>
  </r>
  <r>
    <s v="08"/>
    <s v="0820205         "/>
    <x v="2"/>
    <s v="Rahvakultuur"/>
    <s v="Vabaaeg, kultuur ja religioon"/>
    <s v="Laekvere Rahva Maja"/>
    <s v="Elektritarvikud"/>
    <n v="500"/>
    <s v=" valgustus, pirnid, patareid"/>
    <n v="5511"/>
    <s v="Kinnistute, hoonete ja ruumide majandamiskulud"/>
    <n v="55"/>
    <s v="55"/>
    <s v="Muud tegevuskulud"/>
    <s v="Majandamiskulud"/>
    <s v="Põhitegevuse kulu"/>
  </r>
  <r>
    <s v="08"/>
    <s v="0820205         "/>
    <x v="2"/>
    <s v="Rahvakultuur"/>
    <s v="Vabaaeg, kultuur ja religioon"/>
    <s v="Laekvere Rahva Maja"/>
    <s v="Kindlustusmaksed"/>
    <n v="100"/>
    <m/>
    <n v="5511"/>
    <s v="Kinnistute, hoonete ja ruumide majandamiskulud"/>
    <n v="55"/>
    <s v="55"/>
    <s v="Muud tegevuskulud"/>
    <s v="Majandamiskulud"/>
    <s v="Põhitegevuse kulu"/>
  </r>
  <r>
    <s v="08"/>
    <s v="0820205         "/>
    <x v="2"/>
    <s v="Rahvakultuur"/>
    <s v="Vabaaeg, kultuur ja religioon"/>
    <s v="Laekvere Rahva Maja"/>
    <s v="Vesi, kanalisatsioon"/>
    <n v="500"/>
    <m/>
    <n v="5511"/>
    <s v="Kinnistute, hoonete ja ruumide majandamiskulud"/>
    <n v="55"/>
    <s v="55"/>
    <s v="Muud tegevuskulud"/>
    <s v="Majandamiskulud"/>
    <s v="Põhitegevuse kulu"/>
  </r>
  <r>
    <s v="08"/>
    <s v="0820205         "/>
    <x v="2"/>
    <s v="Rahvakultuur"/>
    <s v="Vabaaeg, kultuur ja religioon"/>
    <s v="Laekvere Rahva Maja"/>
    <s v="Prügivedu"/>
    <n v="100"/>
    <m/>
    <n v="5511"/>
    <s v="Kinnistute, hoonete ja ruumide majandamiskulud"/>
    <n v="55"/>
    <s v="55"/>
    <s v="Muud tegevuskulud"/>
    <s v="Majandamiskulud"/>
    <s v="Põhitegevuse kulu"/>
  </r>
  <r>
    <s v="08"/>
    <s v="0820205         "/>
    <x v="2"/>
    <s v="Rahvakultuur"/>
    <s v="Vabaaeg, kultuur ja religioon"/>
    <s v="Laekvere Rahva Maja"/>
    <s v="Korrashoid, remont"/>
    <n v="2000"/>
    <s v="Remonttööd siseruumides"/>
    <n v="5511"/>
    <s v="Kinnistute, hoonete ja ruumide majandamiskulud"/>
    <n v="55"/>
    <s v="55"/>
    <s v="Muud tegevuskulud"/>
    <s v="Majandamiskulud"/>
    <s v="Põhitegevuse kulu"/>
  </r>
  <r>
    <s v="08"/>
    <s v="0820205         "/>
    <x v="2"/>
    <s v="Rahvakultuur"/>
    <s v="Vabaaeg, kultuur ja religioon"/>
    <s v="Laekvere Rahva Maja"/>
    <s v="Elektrikäitlemiskulu"/>
    <n v="400"/>
    <m/>
    <n v="5511"/>
    <s v="Kinnistute, hoonete ja ruumide majandamiskulud"/>
    <n v="55"/>
    <s v="55"/>
    <s v="Muud tegevuskulud"/>
    <s v="Majandamiskulud"/>
    <s v="Põhitegevuse kulu"/>
  </r>
  <r>
    <s v="08"/>
    <s v="0820205         "/>
    <x v="2"/>
    <s v="Rahvakultuur"/>
    <s v="Vabaaeg, kultuur ja religioon"/>
    <s v="Laekvere Rahva Maja"/>
    <s v="Elekter"/>
    <n v="3000"/>
    <m/>
    <n v="5511"/>
    <s v="Kinnistute, hoonete ja ruumide majandamiskulud"/>
    <n v="55"/>
    <s v="55"/>
    <s v="Muud tegevuskulud"/>
    <s v="Majandamiskulud"/>
    <s v="Põhitegevuse kulu"/>
  </r>
  <r>
    <s v="08"/>
    <s v="0820205         "/>
    <x v="2"/>
    <s v="Rahvakultuur"/>
    <s v="Vabaaeg, kultuur ja religioon"/>
    <s v="Laekvere Rahva Maja"/>
    <s v="Küte"/>
    <n v="20000"/>
    <m/>
    <n v="5511"/>
    <s v="Kinnistute, hoonete ja ruumide majandamiskulud"/>
    <n v="55"/>
    <s v="55"/>
    <s v="Muud tegevuskulud"/>
    <s v="Majandamiskulud"/>
    <s v="Põhitegevuse kulu"/>
  </r>
  <r>
    <s v="08"/>
    <s v="0820205         "/>
    <x v="2"/>
    <s v="Rahvakultuur"/>
    <s v="Vabaaeg, kultuur ja religioon"/>
    <s v="Laekvere Rahva Maja"/>
    <s v="Toiduained"/>
    <n v="1000"/>
    <m/>
    <n v="5525"/>
    <s v="Kommunikatsiooni-, kultuuri- ja vaba aja sisustamise kulud"/>
    <n v="55"/>
    <s v="55"/>
    <s v="Muud tegevuskulud"/>
    <s v="Majandamiskulud"/>
    <s v="Põhitegevuse kulu"/>
  </r>
  <r>
    <s v="08"/>
    <s v="0820205         "/>
    <x v="2"/>
    <s v="Rahvakultuur"/>
    <s v="Vabaaeg, kultuur ja religioon"/>
    <s v="Laekvere Rahva Maja"/>
    <s v="Üritused"/>
    <n v="18800"/>
    <s v="(jõulupidu Muuga mõisas 600eur, kokkusaamised, väljasõidud sünnipäevade tähistamine), muud ettenägematud kulud."/>
    <n v="5525"/>
    <s v="Kommunikatsiooni-, kultuuri- ja vaba aja sisustamise kulud"/>
    <n v="55"/>
    <s v="55"/>
    <s v="Muud tegevuskulud"/>
    <s v="Majandamiskulud"/>
    <s v="Põhitegevuse kulu"/>
  </r>
  <r>
    <s v="08"/>
    <s v="0820205         "/>
    <x v="2"/>
    <s v="Rahvakultuur"/>
    <s v="Vabaaeg, kultuur ja religioon"/>
    <s v="Laekvere Rahva Maja"/>
    <s v="Töötajate tervisetõendid"/>
    <n v="400"/>
    <m/>
    <n v="5522"/>
    <s v="Meditsiinikulud ja hügieenitarbed"/>
    <n v="55"/>
    <s v="55"/>
    <s v="Muud tegevuskulud"/>
    <s v="Majandamiskulud"/>
    <s v="Põhitegevuse kulu"/>
  </r>
  <r>
    <s v="08"/>
    <s v="0820205         "/>
    <x v="2"/>
    <s v="Rahvakultuur"/>
    <s v="Vabaaeg, kultuur ja religioon"/>
    <s v="Laekvere Rahva Maja"/>
    <s v="Isikliku sõiduauto komp."/>
    <n v="900"/>
    <m/>
    <n v="5513"/>
    <s v="Sõidukite ülalpidamise kulud"/>
    <n v="55"/>
    <s v="55"/>
    <s v="Muud tegevuskulud"/>
    <s v="Majandamiskulud"/>
    <s v="Põhitegevuse kulu"/>
  </r>
  <r>
    <s v="08"/>
    <s v="0820205         "/>
    <x v="2"/>
    <s v="Rahvakultuur"/>
    <s v="Vabaaeg, kultuur ja religioon"/>
    <s v="Laekvere Rahva Maja"/>
    <s v="Koolitused"/>
    <n v="200"/>
    <m/>
    <n v="5504"/>
    <s v="Koolituskulud"/>
    <n v="55"/>
    <s v="55"/>
    <s v="Muud tegevuskulud"/>
    <s v="Majandamiskulud"/>
    <s v="Põhitegevuse kulu"/>
  </r>
  <r>
    <s v="08"/>
    <s v="0820205         "/>
    <x v="2"/>
    <s v="Rahvakultuur"/>
    <s v="Vabaaeg, kultuur ja religioon"/>
    <s v="Laekvere Rahva Maja"/>
    <s v="Kingitused, auhinnad"/>
    <n v="400"/>
    <m/>
    <n v="5500"/>
    <s v="Administreerimiskulud"/>
    <n v="55"/>
    <s v="55"/>
    <s v="Muud tegevuskulud"/>
    <s v="Majandamiskulud"/>
    <s v="Põhitegevuse kulu"/>
  </r>
  <r>
    <s v="08"/>
    <s v="0820205         "/>
    <x v="2"/>
    <s v="Rahvakultuur"/>
    <s v="Vabaaeg, kultuur ja religioon"/>
    <s v="Laekvere Rahva Maja"/>
    <s v="Kuulutused, reklaam"/>
    <n v="100"/>
    <m/>
    <n v="5500"/>
    <s v="Administreerimiskulud"/>
    <n v="55"/>
    <s v="55"/>
    <s v="Muud tegevuskulud"/>
    <s v="Majandamiskulud"/>
    <s v="Põhitegevuse kulu"/>
  </r>
  <r>
    <s v="08"/>
    <s v="0820205         "/>
    <x v="2"/>
    <s v="Rahvakultuur"/>
    <s v="Vabaaeg, kultuur ja religioon"/>
    <s v="Laekvere Rahva Maja"/>
    <s v="Trükised, ajalehed, ajakirjad"/>
    <n v="300"/>
    <s v="Virumaa teataja,Eesti Ekspress,  Maakodu"/>
    <n v="5500"/>
    <s v="Administreerimiskulud"/>
    <n v="55"/>
    <s v="55"/>
    <s v="Muud tegevuskulud"/>
    <s v="Majandamiskulud"/>
    <s v="Põhitegevuse kulu"/>
  </r>
  <r>
    <s v="08"/>
    <s v="0820205         "/>
    <x v="2"/>
    <s v="Rahvakultuur"/>
    <s v="Vabaaeg, kultuur ja religioon"/>
    <s v="Laekvere Rahva Maja"/>
    <s v="Lauatelefon, internet"/>
    <n v="500"/>
    <m/>
    <n v="5500"/>
    <s v="Administreerimiskulud"/>
    <n v="55"/>
    <s v="55"/>
    <s v="Muud tegevuskulud"/>
    <s v="Majandamiskulud"/>
    <s v="Põhitegevuse kulu"/>
  </r>
  <r>
    <s v="08"/>
    <s v="0820205         "/>
    <x v="2"/>
    <s v="Rahvakultuur"/>
    <s v="Vabaaeg, kultuur ja religioon"/>
    <s v="Laekvere Rahva Maja"/>
    <s v="Bürootarbed"/>
    <n v="300"/>
    <m/>
    <n v="5500"/>
    <s v="Administreerimiskulud"/>
    <n v="55"/>
    <s v="55"/>
    <s v="Muud tegevuskulud"/>
    <s v="Majandamiskulud"/>
    <s v="Põhitegevuse kulu"/>
  </r>
  <r>
    <s v="08"/>
    <s v="0820203         "/>
    <x v="3"/>
    <s v="Rahvakultuur"/>
    <s v="Vabaaeg, kultuur ja religioon"/>
    <s v="Roela Rahvamaja"/>
    <s v="esinemised"/>
    <n v="400"/>
    <s v="väljasõidud"/>
    <n v="5540"/>
    <s v="Mitmesugused majanduskulud"/>
    <n v="55"/>
    <s v="55"/>
    <s v="Muud tegevuskulud"/>
    <s v="Majandamiskulud"/>
    <s v="Põhitegevuse kulu"/>
  </r>
  <r>
    <s v="08"/>
    <s v="0820203         "/>
    <x v="3"/>
    <s v="Rahvakultuur"/>
    <s v="Vabaaeg, kultuur ja religioon"/>
    <s v="Roela Rahvamaja"/>
    <s v="naistepäevapidu"/>
    <n v="50"/>
    <s v="lilled"/>
    <n v="5525"/>
    <s v="Kommunikatsiooni-, kultuuri- ja vaba aja sisustamise kulud"/>
    <n v="55"/>
    <s v="55"/>
    <s v="Muud tegevuskulud"/>
    <s v="Majandamiskulud"/>
    <s v="Põhitegevuse kulu"/>
  </r>
  <r>
    <s v="08"/>
    <s v="0820203         "/>
    <x v="3"/>
    <s v="Rahvakultuur"/>
    <s v="Vabaaeg, kultuur ja religioon"/>
    <s v="Roela Rahvamaja"/>
    <s v="advendi ja jõuluüritused. Aastalõpupidu"/>
    <n v="2500"/>
    <s v="esinejad, meened"/>
    <n v="5525"/>
    <s v="Kommunikatsiooni-, kultuuri- ja vaba aja sisustamise kulud"/>
    <n v="55"/>
    <s v="55"/>
    <s v="Muud tegevuskulud"/>
    <s v="Majandamiskulud"/>
    <s v="Põhitegevuse kulu"/>
  </r>
  <r>
    <s v="08"/>
    <s v="0820203         "/>
    <x v="3"/>
    <s v="Rahvakultuur"/>
    <s v="Vabaaeg, kultuur ja religioon"/>
    <s v="Roela Rahvamaja"/>
    <s v="Jaaniõhtu"/>
    <n v="1000"/>
    <s v="auhinnad,tantsumuusika"/>
    <n v="5525"/>
    <s v="Kommunikatsiooni-, kultuuri- ja vaba aja sisustamise kulud"/>
    <n v="55"/>
    <s v="55"/>
    <s v="Muud tegevuskulud"/>
    <s v="Majandamiskulud"/>
    <s v="Põhitegevuse kulu"/>
  </r>
  <r>
    <s v="08"/>
    <s v="0820203         "/>
    <x v="3"/>
    <s v="Rahvakultuur"/>
    <s v="Vabaaeg, kultuur ja religioon"/>
    <s v="Roela Rahvamaja"/>
    <s v="Salongiõhtu Meenutame jaak Joalat ja Georg Otsa"/>
    <n v="1500"/>
    <s v="külalisesinejad"/>
    <n v="5525"/>
    <s v="Kommunikatsiooni-, kultuuri- ja vaba aja sisustamise kulud"/>
    <n v="55"/>
    <s v="55"/>
    <s v="Muud tegevuskulud"/>
    <s v="Majandamiskulud"/>
    <s v="Põhitegevuse kulu"/>
  </r>
  <r>
    <s v="08"/>
    <s v="0820203         "/>
    <x v="3"/>
    <s v="Rahvakultuur"/>
    <s v="Vabaaeg, kultuur ja religioon"/>
    <s v="Roela Rahvamaja"/>
    <s v="RAM-i kontsert (RAM 75-EV 102)"/>
    <n v="1200"/>
    <s v="kontserdi maksumus"/>
    <n v="5525"/>
    <s v="Kommunikatsiooni-, kultuuri- ja vaba aja sisustamise kulud"/>
    <n v="55"/>
    <s v="55"/>
    <s v="Muud tegevuskulud"/>
    <s v="Majandamiskulud"/>
    <s v="Põhitegevuse kulu"/>
  </r>
  <r>
    <s v="08"/>
    <s v="0820203         "/>
    <x v="3"/>
    <s v="Rahvakultuur"/>
    <s v="Vabaaeg, kultuur ja religioon"/>
    <s v="Roela Rahvamaja"/>
    <s v="arvutiprogrammid, hooldused"/>
    <n v="100"/>
    <m/>
    <n v="5514"/>
    <s v="Info- ja kommunikatsioonitehnoliigised kulud"/>
    <n v="55"/>
    <s v="55"/>
    <s v="Muud tegevuskulud"/>
    <s v="Majandamiskulud"/>
    <s v="Põhitegevuse kulu"/>
  </r>
  <r>
    <s v="08"/>
    <s v="0820203         "/>
    <x v="3"/>
    <s v="Rahvakultuur"/>
    <s v="Vabaaeg, kultuur ja religioon"/>
    <s v="Roela Rahvamaja"/>
    <s v="käelise tegevuse asjad,markerid,paberid,liim,värvid,rekvisiit,lilled"/>
    <n v="390"/>
    <m/>
    <n v="5524"/>
    <s v="Õppevahendid"/>
    <n v="55"/>
    <s v="55"/>
    <s v="Muud tegevuskulud"/>
    <s v="Majandamiskulud"/>
    <s v="Põhitegevuse kulu"/>
  </r>
  <r>
    <s v="08"/>
    <s v="0820203         "/>
    <x v="3"/>
    <s v="Rahvakultuur"/>
    <s v="Vabaaeg, kultuur ja religioon"/>
    <s v="Roela Rahvamaja"/>
    <s v="esmaabivahendid,prillid"/>
    <n v="400"/>
    <m/>
    <n v="5522"/>
    <s v="Meditsiinikulud ja hügieenitarbed"/>
    <n v="55"/>
    <s v="55"/>
    <s v="Muud tegevuskulud"/>
    <s v="Majandamiskulud"/>
    <s v="Põhitegevuse kulu"/>
  </r>
  <r>
    <s v="08"/>
    <s v="0820203         "/>
    <x v="3"/>
    <s v="Rahvakultuur"/>
    <s v="Vabaaeg, kultuur ja religioon"/>
    <s v="Roela Rahvamaja"/>
    <s v="valgustid (prožektorid),helitehnika (kõlarid,juhtmed)"/>
    <n v="3200"/>
    <m/>
    <n v="5515"/>
    <s v="Inventari kulud, v.a infotehnoloogia ja kaitseotstarbelised kulud"/>
    <n v="55"/>
    <s v="55"/>
    <s v="Muud tegevuskulud"/>
    <s v="Majandamiskulud"/>
    <s v="Põhitegevuse kulu"/>
  </r>
  <r>
    <s v="08"/>
    <s v="0820203         "/>
    <x v="3"/>
    <s v="Rahvakultuur"/>
    <s v="Vabaaeg, kultuur ja religioon"/>
    <s v="Roela Rahvamaja"/>
    <s v="näituste korraldamise kulud"/>
    <n v="400"/>
    <s v="ülesseadmine,transport"/>
    <n v="5525"/>
    <s v="Kommunikatsiooni-, kultuuri- ja vaba aja sisustamise kulud"/>
    <n v="55"/>
    <s v="55"/>
    <s v="Muud tegevuskulud"/>
    <s v="Majandamiskulud"/>
    <s v="Põhitegevuse kulu"/>
  </r>
  <r>
    <s v="08"/>
    <s v="0820203         "/>
    <x v="3"/>
    <s v="Rahvakultuur"/>
    <s v="Vabaaeg, kultuur ja religioon"/>
    <s v="Roela Rahvamaja"/>
    <s v="isikliku sõiduauto komp."/>
    <n v="1536"/>
    <s v="12 kuud"/>
    <n v="5513"/>
    <s v="Sõidukite ülalpidamise kulud"/>
    <n v="55"/>
    <s v="55"/>
    <s v="Muud tegevuskulud"/>
    <s v="Majandamiskulud"/>
    <s v="Põhitegevuse kulu"/>
  </r>
  <r>
    <s v="08"/>
    <s v="0820203         "/>
    <x v="3"/>
    <s v="Rahvakultuur"/>
    <s v="Vabaaeg, kultuur ja religioon"/>
    <s v="Roela Rahvamaja"/>
    <s v="koolitused"/>
    <n v="560"/>
    <s v="juhataja,ringijuhid"/>
    <n v="5504"/>
    <s v="Koolituskulud"/>
    <n v="55"/>
    <s v="55"/>
    <s v="Muud tegevuskulud"/>
    <s v="Majandamiskulud"/>
    <s v="Põhitegevuse kulu"/>
  </r>
  <r>
    <s v="08"/>
    <s v="0820203         "/>
    <x v="3"/>
    <s v="Rahvakultuur"/>
    <s v="Vabaaeg, kultuur ja religioon"/>
    <s v="Roela Rahvamaja"/>
    <s v="tahma- ja tindikassetid"/>
    <n v="190"/>
    <s v="printerid"/>
    <n v="5500"/>
    <s v="Administreerimiskulud"/>
    <n v="55"/>
    <s v="55"/>
    <s v="Muud tegevuskulud"/>
    <s v="Majandamiskulud"/>
    <s v="Põhitegevuse kulu"/>
  </r>
  <r>
    <s v="08"/>
    <s v="0820203         "/>
    <x v="3"/>
    <s v="Rahvakultuur"/>
    <s v="Vabaaeg, kultuur ja religioon"/>
    <s v="Roela Rahvamaja"/>
    <s v="postikulu, kuulutused"/>
    <n v="110"/>
    <s v="üritused,ümbrikud, plakatid"/>
    <n v="5500"/>
    <s v="Administreerimiskulud"/>
    <n v="55"/>
    <s v="55"/>
    <s v="Muud tegevuskulud"/>
    <s v="Majandamiskulud"/>
    <s v="Põhitegevuse kulu"/>
  </r>
  <r>
    <s v="08"/>
    <s v="0820203         "/>
    <x v="3"/>
    <s v="Rahvakultuur"/>
    <s v="Vabaaeg, kultuur ja religioon"/>
    <s v="Roela Rahvamaja"/>
    <s v="mobiiltelefon"/>
    <n v="120"/>
    <n v="5273878"/>
    <n v="5500"/>
    <s v="Administreerimiskulud"/>
    <n v="55"/>
    <s v="55"/>
    <s v="Muud tegevuskulud"/>
    <s v="Majandamiskulud"/>
    <s v="Põhitegevuse kulu"/>
  </r>
  <r>
    <s v="08"/>
    <s v="0820203         "/>
    <x v="3"/>
    <s v="Rahvakultuur"/>
    <s v="Vabaaeg, kultuur ja religioon"/>
    <s v="Roela Rahvamaja"/>
    <s v="telefon, internet"/>
    <n v="730"/>
    <s v="3297299,internet digi tv"/>
    <n v="5500"/>
    <s v="Administreerimiskulud"/>
    <n v="55"/>
    <s v="55"/>
    <s v="Muud tegevuskulud"/>
    <s v="Majandamiskulud"/>
    <s v="Põhitegevuse kulu"/>
  </r>
  <r>
    <s v="08"/>
    <s v="0820203         "/>
    <x v="3"/>
    <s v="Rahvakultuur"/>
    <s v="Vabaaeg, kultuur ja religioon"/>
    <s v="Roela Rahvamaja"/>
    <s v="remont"/>
    <n v="220"/>
    <s v="pisiremont"/>
    <n v="5511"/>
    <s v="Kinnistute, hoonete ja ruumide majandamiskulud"/>
    <n v="55"/>
    <s v="55"/>
    <s v="Muud tegevuskulud"/>
    <s v="Majandamiskulud"/>
    <s v="Põhitegevuse kulu"/>
  </r>
  <r>
    <s v="08"/>
    <s v="0820203         "/>
    <x v="3"/>
    <s v="Rahvakultuur"/>
    <s v="Vabaaeg, kultuur ja religioon"/>
    <s v="Roela Rahvamaja"/>
    <s v="pesu pesemine"/>
    <n v="100"/>
    <s v="teenus"/>
    <n v="5511"/>
    <s v="Kinnistute, hoonete ja ruumide majandamiskulud"/>
    <n v="55"/>
    <s v="55"/>
    <s v="Muud tegevuskulud"/>
    <s v="Majandamiskulud"/>
    <s v="Põhitegevuse kulu"/>
  </r>
  <r>
    <s v="08"/>
    <s v="0820203         "/>
    <x v="3"/>
    <s v="Rahvakultuur"/>
    <s v="Vabaaeg, kultuur ja religioon"/>
    <s v="Roela Rahvamaja"/>
    <s v="valgustid"/>
    <n v="400"/>
    <s v="pirnid, prožektorid"/>
    <n v="5511"/>
    <s v="Kinnistute, hoonete ja ruumide majandamiskulud"/>
    <n v="55"/>
    <s v="55"/>
    <s v="Muud tegevuskulud"/>
    <s v="Majandamiskulud"/>
    <s v="Põhitegevuse kulu"/>
  </r>
  <r>
    <s v="08"/>
    <s v="0820203         "/>
    <x v="3"/>
    <s v="Rahvakultuur"/>
    <s v="Vabaaeg, kultuur ja religioon"/>
    <s v="Roela Rahvamaja"/>
    <s v="korrashoiuvahendid"/>
    <n v="360"/>
    <s v="wc paber, harjad, lapid, kodukeemia"/>
    <n v="5511"/>
    <s v="Kinnistute, hoonete ja ruumide majandamiskulud"/>
    <n v="55"/>
    <s v="55"/>
    <s v="Muud tegevuskulud"/>
    <s v="Majandamiskulud"/>
    <s v="Põhitegevuse kulu"/>
  </r>
  <r>
    <s v="08"/>
    <s v="0820203         "/>
    <x v="3"/>
    <s v="Rahvakultuur"/>
    <s v="Vabaaeg, kultuur ja religioon"/>
    <s v="Roela Rahvamaja"/>
    <s v="ATS hooldus"/>
    <n v="460"/>
    <s v="U.K.V. Grupp"/>
    <n v="5511"/>
    <s v="Kinnistute, hoonete ja ruumide majandamiskulud"/>
    <n v="55"/>
    <s v="55"/>
    <s v="Muud tegevuskulud"/>
    <s v="Majandamiskulud"/>
    <s v="Põhitegevuse kulu"/>
  </r>
  <r>
    <s v="08"/>
    <s v="0820203         "/>
    <x v="3"/>
    <s v="Rahvakultuur"/>
    <s v="Vabaaeg, kultuur ja religioon"/>
    <s v="Roela Rahvamaja"/>
    <s v="vesi ja kanalisatsioon"/>
    <n v="2575"/>
    <s v="Virumaa Veepumbakeskus, Fixum"/>
    <n v="5511"/>
    <s v="Kinnistute, hoonete ja ruumide majandamiskulud"/>
    <n v="55"/>
    <s v="55"/>
    <s v="Muud tegevuskulud"/>
    <s v="Majandamiskulud"/>
    <s v="Põhitegevuse kulu"/>
  </r>
  <r>
    <s v="08"/>
    <s v="0820203         "/>
    <x v="3"/>
    <s v="Rahvakultuur"/>
    <s v="Vabaaeg, kultuur ja religioon"/>
    <s v="Roela Rahvamaja"/>
    <s v="elekter"/>
    <n v="4800"/>
    <s v="28455 mhv rahvamaja, arvestuses ka Sinilille tn. valgustus"/>
    <n v="5511"/>
    <s v="Kinnistute, hoonete ja ruumide majandamiskulud"/>
    <n v="55"/>
    <s v="55"/>
    <s v="Muud tegevuskulud"/>
    <s v="Majandamiskulud"/>
    <s v="Põhitegevuse kulu"/>
  </r>
  <r>
    <s v="08"/>
    <s v="0820203         "/>
    <x v="3"/>
    <s v="Rahvakultuur"/>
    <s v="Vabaaeg, kultuur ja religioon"/>
    <s v="Roela Rahvamaja"/>
    <s v="küte"/>
    <n v="16000"/>
    <s v="õliküte 21000 l. aastas"/>
    <n v="5511"/>
    <s v="Kinnistute, hoonete ja ruumide majandamiskulud"/>
    <n v="55"/>
    <s v="55"/>
    <s v="Muud tegevuskulud"/>
    <s v="Majandamiskulud"/>
    <s v="Põhitegevuse kulu"/>
  </r>
  <r>
    <s v="08"/>
    <s v="0820202         "/>
    <x v="4"/>
    <s v="Rahvakultuur"/>
    <s v="Vabaaeg, kultuur ja religioon"/>
    <s v="Pajusti klubi"/>
    <s v="Lilled Elutark"/>
    <n v="270"/>
    <m/>
    <n v="5525"/>
    <s v="Kommunikatsiooni-, kultuuri- ja vaba aja sisustamise kulud"/>
    <n v="55"/>
    <s v="55"/>
    <s v="Muud tegevuskulud"/>
    <s v="Majandamiskulud"/>
    <s v="Põhitegevuse kulu"/>
  </r>
  <r>
    <s v="08"/>
    <s v="0820202         "/>
    <x v="4"/>
    <s v="Rahvakultuur"/>
    <s v="Vabaaeg, kultuur ja religioon"/>
    <s v="Pajusti klubi"/>
    <s v="Lilled Mõttelõng"/>
    <n v="270"/>
    <m/>
    <n v="5525"/>
    <s v="Kommunikatsiooni-, kultuuri- ja vaba aja sisustamise kulud"/>
    <n v="55"/>
    <s v="55"/>
    <s v="Muud tegevuskulud"/>
    <s v="Majandamiskulud"/>
    <s v="Põhitegevuse kulu"/>
  </r>
  <r>
    <s v="08"/>
    <s v="0820202         "/>
    <x v="4"/>
    <s v="Rahvakultuur"/>
    <s v="Vabaaeg, kultuur ja religioon"/>
    <s v="Pajusti klubi"/>
    <s v="kontoritarbed"/>
    <n v="300"/>
    <m/>
    <n v="5500"/>
    <s v="Administreerimiskulud"/>
    <n v="55"/>
    <s v="55"/>
    <s v="Muud tegevuskulud"/>
    <s v="Majandamiskulud"/>
    <s v="Põhitegevuse kulu"/>
  </r>
  <r>
    <s v="08"/>
    <s v="0820202         "/>
    <x v="4"/>
    <s v="Rahvakultuur"/>
    <s v="Vabaaeg, kultuur ja religioon"/>
    <s v="Pajusti klubi"/>
    <s v="Sideteenused"/>
    <n v="560.04999999999995"/>
    <m/>
    <n v="5500"/>
    <s v="Administreerimiskulud"/>
    <n v="55"/>
    <s v="55"/>
    <s v="Muud tegevuskulud"/>
    <s v="Majandamiskulud"/>
    <s v="Põhitegevuse kulu"/>
  </r>
  <r>
    <s v="08"/>
    <s v="0820202         "/>
    <x v="4"/>
    <s v="Rahvakultuur"/>
    <s v="Vabaaeg, kultuur ja religioon"/>
    <s v="Pajusti klubi"/>
    <s v="Ürituste plaan 2020"/>
    <n v="7200"/>
    <s v="Filharmoonikud ja advendikingitus Valla ürituste eelarvesse"/>
    <n v="5525"/>
    <s v="Kommunikatsiooni-, kultuuri- ja vaba aja sisustamise kulud"/>
    <n v="55"/>
    <s v="55"/>
    <s v="Muud tegevuskulud"/>
    <s v="Majandamiskulud"/>
    <s v="Põhitegevuse kulu"/>
  </r>
  <r>
    <s v="08"/>
    <s v="0820202         "/>
    <x v="4"/>
    <s v="Rahvakultuur"/>
    <s v="Vabaaeg, kultuur ja religioon"/>
    <s v="Ehitusnõunik"/>
    <s v="Pajusti klubi katus"/>
    <n v="40000"/>
    <m/>
    <n v="1551"/>
    <s v="Rajatiste ja hoonete soetamine ja renoveerimine"/>
    <n v="15"/>
    <s v="15"/>
    <s v="Põhivara soetus (-)"/>
    <s v="Põhivara soetus (-)"/>
    <s v="Investeerimistegevus"/>
  </r>
  <r>
    <s v="08"/>
    <s v="0820202         "/>
    <x v="4"/>
    <s v="Rahvakultuur"/>
    <s v="Vabaaeg, kultuur ja religioon"/>
    <s v="Pajusti klubi"/>
    <s v="arvutiprogrammid, hoolduse, tooner"/>
    <n v="1000"/>
    <m/>
    <n v="5514"/>
    <s v="Info- ja kommunikatsioonitehnoliigised kulud"/>
    <n v="55"/>
    <s v="55"/>
    <s v="Muud tegevuskulud"/>
    <s v="Majandamiskulud"/>
    <s v="Põhitegevuse kulu"/>
  </r>
  <r>
    <s v="08"/>
    <s v="0820202         "/>
    <x v="4"/>
    <s v="Rahvakultuur"/>
    <s v="Vabaaeg, kultuur ja religioon"/>
    <s v="Pajusti klubi"/>
    <s v="isikliku sõiduauto komp."/>
    <n v="1440"/>
    <s v="12 kuud"/>
    <n v="5513"/>
    <s v="Sõidukite ülalpidamise kulud"/>
    <n v="55"/>
    <s v="55"/>
    <s v="Muud tegevuskulud"/>
    <s v="Majandamiskulud"/>
    <s v="Põhitegevuse kulu"/>
  </r>
  <r>
    <s v="08"/>
    <s v="0820202         "/>
    <x v="4"/>
    <s v="Rahvakultuur"/>
    <s v="Vabaaeg, kultuur ja religioon"/>
    <s v="Pajusti klubi"/>
    <s v="Koolitused"/>
    <n v="800"/>
    <s v="Klubi juhataja, ringide juhendajad"/>
    <n v="5504"/>
    <s v="Koolituskulud"/>
    <n v="55"/>
    <s v="55"/>
    <s v="Muud tegevuskulud"/>
    <s v="Majandamiskulud"/>
    <s v="Põhitegevuse kulu"/>
  </r>
  <r>
    <s v="08"/>
    <s v="0820202         "/>
    <x v="4"/>
    <s v="Rahvakultuur"/>
    <s v="Vabaaeg, kultuur ja religioon"/>
    <s v="Pajusti klubi"/>
    <s v="Kulud, elektrile, küttele, prügi , vee eest, _x000a_kanalistasioon, korrashoiuvahendid, tuletõrje _x000a_ja signalisatsiooni hooldus, jäätmete vedamine, _x000a_pisiremont"/>
    <n v="15000"/>
    <m/>
    <n v="5511"/>
    <s v="Kinnistute, hoonete ja ruumide majandamiskulud"/>
    <n v="55"/>
    <s v="55"/>
    <s v="Muud tegevuskulud"/>
    <s v="Majandamiskulud"/>
    <s v="Põhitegevuse kulu"/>
  </r>
  <r>
    <s v="08"/>
    <s v="0820201         "/>
    <x v="5"/>
    <s v="Rahvakultuur"/>
    <s v="Vabaaeg, kultuur ja religioon"/>
    <s v="Kadila Seltsimaja"/>
    <s v="Muud kinnistukulud"/>
    <n v="500"/>
    <m/>
    <n v="5511"/>
    <s v="Kinnistute, hoonete ja ruumide majandamiskulud"/>
    <n v="55"/>
    <s v="55"/>
    <s v="Muud tegevuskulud"/>
    <s v="Majandamiskulud"/>
    <s v="Põhitegevuse kulu"/>
  </r>
  <r>
    <s v="08"/>
    <s v="0820201         "/>
    <x v="5"/>
    <s v="Rahvakultuur"/>
    <s v="Vabaaeg, kultuur ja religioon"/>
    <s v="Kadila Seltsimaja"/>
    <s v="Korstnapühkija"/>
    <n v="160"/>
    <m/>
    <n v="5511"/>
    <s v="Kinnistute, hoonete ja ruumide majandamiskulud"/>
    <n v="55"/>
    <s v="55"/>
    <s v="Muud tegevuskulud"/>
    <s v="Majandamiskulud"/>
    <s v="Põhitegevuse kulu"/>
  </r>
  <r>
    <s v="08"/>
    <s v="0820201         "/>
    <x v="5"/>
    <s v="Rahvakultuur"/>
    <s v="Vabaaeg, kultuur ja religioon"/>
    <s v="Kadila Seltsimaja"/>
    <s v="Üritused"/>
    <n v="250"/>
    <m/>
    <n v="5525"/>
    <s v="Kommunikatsiooni-, kultuuri- ja vaba aja sisustamise kulud"/>
    <n v="55"/>
    <s v="55"/>
    <s v="Muud tegevuskulud"/>
    <s v="Majandamiskulud"/>
    <s v="Põhitegevuse kulu"/>
  </r>
  <r>
    <s v="08"/>
    <s v="0820201         "/>
    <x v="5"/>
    <s v="Rahvakultuur"/>
    <s v="Vabaaeg, kultuur ja religioon"/>
    <s v="Kadila Seltsimaja"/>
    <s v="Sideteenused"/>
    <n v="600"/>
    <m/>
    <n v="5500"/>
    <s v="Administreerimiskulud"/>
    <n v="55"/>
    <s v="55"/>
    <s v="Muud tegevuskulud"/>
    <s v="Majandamiskulud"/>
    <s v="Põhitegevuse kulu"/>
  </r>
  <r>
    <s v="08"/>
    <s v="0820201         "/>
    <x v="5"/>
    <s v="Rahvakultuur"/>
    <s v="Vabaaeg, kultuur ja religioon"/>
    <s v="Kadila Seltsimaja"/>
    <s v="hoone kindlustus "/>
    <n v="200"/>
    <m/>
    <n v="5511"/>
    <s v="Kinnistute, hoonete ja ruumide majandamiskulud"/>
    <n v="55"/>
    <s v="55"/>
    <s v="Muud tegevuskulud"/>
    <s v="Majandamiskulud"/>
    <s v="Põhitegevuse kulu"/>
  </r>
  <r>
    <s v="08"/>
    <s v="0820201         "/>
    <x v="5"/>
    <s v="Rahvakultuur"/>
    <s v="Vabaaeg, kultuur ja religioon"/>
    <s v="Kadila Seltsimaja"/>
    <s v="Küttepuud"/>
    <n v="1800"/>
    <m/>
    <n v="5511"/>
    <s v="Kinnistute, hoonete ja ruumide majandamiskulud"/>
    <n v="55"/>
    <s v="55"/>
    <s v="Muud tegevuskulud"/>
    <s v="Majandamiskulud"/>
    <s v="Põhitegevuse kulu"/>
  </r>
  <r>
    <s v="08"/>
    <s v="0820201         "/>
    <x v="5"/>
    <s v="Rahvakultuur"/>
    <s v="Vabaaeg, kultuur ja religioon"/>
    <s v="Kadila Seltsimaja"/>
    <s v="Prügikonteineri rent"/>
    <n v="92.4"/>
    <m/>
    <n v="5511"/>
    <s v="Kinnistute, hoonete ja ruumide majandamiskulud"/>
    <n v="55"/>
    <s v="55"/>
    <s v="Muud tegevuskulud"/>
    <s v="Majandamiskulud"/>
    <s v="Põhitegevuse kulu"/>
  </r>
  <r>
    <s v="08"/>
    <s v="0820201         "/>
    <x v="5"/>
    <s v="Rahvakultuur"/>
    <s v="Vabaaeg, kultuur ja religioon"/>
    <s v="Kadila Seltsimaja"/>
    <s v="Prügivedu"/>
    <n v="85"/>
    <m/>
    <n v="5511"/>
    <s v="Kinnistute, hoonete ja ruumide majandamiskulud"/>
    <n v="55"/>
    <s v="55"/>
    <s v="Muud tegevuskulud"/>
    <s v="Majandamiskulud"/>
    <s v="Põhitegevuse kulu"/>
  </r>
  <r>
    <s v="08"/>
    <s v="0820201         "/>
    <x v="5"/>
    <s v="Rahvakultuur"/>
    <s v="Vabaaeg, kultuur ja religioon"/>
    <s v="Kadila Seltsimaja"/>
    <s v="Vesi ja kanalisatsioon"/>
    <n v="170"/>
    <m/>
    <n v="5511"/>
    <s v="Kinnistute, hoonete ja ruumide majandamiskulud"/>
    <n v="55"/>
    <s v="55"/>
    <s v="Muud tegevuskulud"/>
    <s v="Majandamiskulud"/>
    <s v="Põhitegevuse kulu"/>
  </r>
  <r>
    <s v="08"/>
    <s v="0820201         "/>
    <x v="5"/>
    <s v="Rahvakultuur"/>
    <s v="Vabaaeg, kultuur ja religioon"/>
    <s v="Kadila Seltsimaja"/>
    <s v="Elekter"/>
    <n v="1500"/>
    <m/>
    <n v="5511"/>
    <s v="Kinnistute, hoonete ja ruumide majandamiskulud"/>
    <n v="55"/>
    <s v="55"/>
    <s v="Muud tegevuskulud"/>
    <s v="Majandamiskulud"/>
    <s v="Põhitegevuse kulu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70">
  <r>
    <s v="09"/>
    <x v="0"/>
    <x v="0"/>
    <s v="Alusharidus"/>
    <s v="Haridus"/>
    <s v="Haridusnõunik"/>
    <s v="Kohatasud "/>
    <n v="46249.440000000002"/>
    <s v="alusharidus"/>
    <n v="5524"/>
    <s v="Õppevahendid"/>
    <n v="55"/>
    <s v="55"/>
    <s v="Muud tegevuskulud"/>
    <s v="Majandamiskulud"/>
    <s v="Põhitegevuse kulu"/>
  </r>
  <r>
    <s v="09"/>
    <x v="1"/>
    <x v="1"/>
    <s v="Alusharidus"/>
    <s v="Haridus"/>
    <s v="Ferdinand von Wrangelli nim Roela Lasteaed-Põhikool"/>
    <s v="Õppevahendid"/>
    <n v="1000"/>
    <m/>
    <n v="5524"/>
    <s v="Õppevahendid"/>
    <n v="55"/>
    <s v="55"/>
    <s v="Muud tegevuskulud"/>
    <s v="Majandamiskulud"/>
    <s v="Põhitegevuse kulu"/>
  </r>
  <r>
    <s v="09"/>
    <x v="1"/>
    <x v="1"/>
    <s v="Alusharidus"/>
    <s v="Haridus"/>
    <s v="Ferdinand von Wrangelli nim Roela Lasteaed-Põhikool"/>
    <s v="toiduained  "/>
    <n v="6900"/>
    <m/>
    <n v="5521"/>
    <s v="Toiduained ja toitlustusteenused"/>
    <n v="55"/>
    <s v="55"/>
    <s v="Muud tegevuskulud"/>
    <s v="Majandamiskulud"/>
    <s v="Põhitegevuse kulu"/>
  </r>
  <r>
    <s v="09"/>
    <x v="1"/>
    <x v="1"/>
    <s v="Alusharidus"/>
    <s v="Haridus"/>
    <s v="Ferdinand von Wrangelli nim Roela Lasteaed-Põhikool"/>
    <s v="eliis tarkvara"/>
    <n v="630"/>
    <s v="aasta"/>
    <n v="5514"/>
    <s v="Info- ja kommunikatsioonitehnoliigised kulud"/>
    <n v="55"/>
    <s v="55"/>
    <s v="Muud tegevuskulud"/>
    <s v="Majandamiskulud"/>
    <s v="Põhitegevuse kulu"/>
  </r>
  <r>
    <s v="09"/>
    <x v="2"/>
    <x v="2"/>
    <s v="Alusharidus"/>
    <s v="Haridus"/>
    <s v="Muuga-Laekvere kool"/>
    <s v="remont ja hooldus"/>
    <n v="100"/>
    <m/>
    <n v="5514"/>
    <s v="Info- ja kommunikatsioonitehnoliigised kulud"/>
    <n v="55"/>
    <s v="55"/>
    <s v="Muud tegevuskulud"/>
    <s v="Majandamiskulud"/>
    <s v="Põhitegevuse kulu"/>
  </r>
  <r>
    <s v="09"/>
    <x v="2"/>
    <x v="2"/>
    <s v="Alusharidus"/>
    <s v="Haridus"/>
    <s v="Muuga-Laekvere kool"/>
    <s v="andmeside"/>
    <n v="100"/>
    <m/>
    <n v="5514"/>
    <s v="Info- ja kommunikatsioonitehnoliigised kulud"/>
    <n v="55"/>
    <s v="55"/>
    <s v="Muud tegevuskulud"/>
    <s v="Majandamiskulud"/>
    <s v="Põhitegevuse kulu"/>
  </r>
  <r>
    <s v="09"/>
    <x v="2"/>
    <x v="2"/>
    <s v="Alusharidus"/>
    <s v="Haridus"/>
    <s v="Muuga-Laekvere kool"/>
    <s v="soetamine"/>
    <n v="250"/>
    <m/>
    <n v="5514"/>
    <s v="Info- ja kommunikatsioonitehnoliigised kulud"/>
    <n v="55"/>
    <s v="55"/>
    <s v="Muud tegevuskulud"/>
    <s v="Majandamiskulud"/>
    <s v="Põhitegevuse kulu"/>
  </r>
  <r>
    <s v="09"/>
    <x v="2"/>
    <x v="2"/>
    <s v="Alusharidus"/>
    <s v="Haridus"/>
    <s v="Muuga-Laekvere kool"/>
    <s v="programmid"/>
    <n v="300"/>
    <m/>
    <n v="5514"/>
    <s v="Info- ja kommunikatsioonitehnoliigised kulud"/>
    <n v="55"/>
    <s v="55"/>
    <s v="Muud tegevuskulud"/>
    <s v="Majandamiskulud"/>
    <s v="Põhitegevuse kulu"/>
  </r>
  <r>
    <s v="09"/>
    <x v="2"/>
    <x v="2"/>
    <s v="Alusharidus"/>
    <s v="Haridus"/>
    <s v="Muuga-Laekvere kool"/>
    <s v="aastapäevad"/>
    <n v="1000"/>
    <m/>
    <n v="5525"/>
    <s v="Kommunikatsiooni-, kultuuri- ja vaba aja sisustamise kulud"/>
    <n v="55"/>
    <s v="55"/>
    <s v="Muud tegevuskulud"/>
    <s v="Majandamiskulud"/>
    <s v="Põhitegevuse kulu"/>
  </r>
  <r>
    <s v="09"/>
    <x v="2"/>
    <x v="2"/>
    <s v="Alusharidus"/>
    <s v="Haridus"/>
    <s v="Muuga-Laekvere kool"/>
    <s v="osalustasud"/>
    <n v="100"/>
    <m/>
    <n v="5525"/>
    <s v="Kommunikatsiooni-, kultuuri- ja vaba aja sisustamise kulud"/>
    <n v="55"/>
    <s v="55"/>
    <s v="Muud tegevuskulud"/>
    <s v="Majandamiskulud"/>
    <s v="Põhitegevuse kulu"/>
  </r>
  <r>
    <s v="09"/>
    <x v="2"/>
    <x v="2"/>
    <s v="Alusharidus"/>
    <s v="Haridus"/>
    <s v="Muuga-Laekvere kool"/>
    <s v="etendused, kontserdid"/>
    <n v="500"/>
    <m/>
    <n v="5525"/>
    <s v="Kommunikatsiooni-, kultuuri- ja vaba aja sisustamise kulud"/>
    <n v="55"/>
    <s v="55"/>
    <s v="Muud tegevuskulud"/>
    <s v="Majandamiskulud"/>
    <s v="Põhitegevuse kulu"/>
  </r>
  <r>
    <s v="09"/>
    <x v="2"/>
    <x v="2"/>
    <s v="Alusharidus"/>
    <s v="Haridus"/>
    <s v="Muuga-Laekvere kool"/>
    <s v="transport"/>
    <n v="500"/>
    <m/>
    <n v="5524"/>
    <s v="Õppevahendid"/>
    <n v="55"/>
    <s v="55"/>
    <s v="Muud tegevuskulud"/>
    <s v="Majandamiskulud"/>
    <s v="Põhitegevuse kulu"/>
  </r>
  <r>
    <s v="09"/>
    <x v="2"/>
    <x v="2"/>
    <s v="Alusharidus"/>
    <s v="Haridus"/>
    <s v="Muuga-Laekvere kool"/>
    <s v="ühisüritused"/>
    <n v="100"/>
    <m/>
    <n v="5524"/>
    <s v="Õppevahendid"/>
    <n v="55"/>
    <s v="55"/>
    <s v="Muud tegevuskulud"/>
    <s v="Majandamiskulud"/>
    <s v="Põhitegevuse kulu"/>
  </r>
  <r>
    <s v="09"/>
    <x v="2"/>
    <x v="2"/>
    <s v="Alusharidus"/>
    <s v="Haridus"/>
    <s v="Muuga-Laekvere kool"/>
    <s v="mänguasjad"/>
    <n v="900"/>
    <m/>
    <n v="5524"/>
    <s v="Õppevahendid"/>
    <n v="55"/>
    <s v="55"/>
    <s v="Muud tegevuskulud"/>
    <s v="Majandamiskulud"/>
    <s v="Põhitegevuse kulu"/>
  </r>
  <r>
    <s v="09"/>
    <x v="2"/>
    <x v="2"/>
    <s v="Alusharidus"/>
    <s v="Haridus"/>
    <s v="Muuga-Laekvere kool"/>
    <s v="õppematerjalid"/>
    <n v="800"/>
    <m/>
    <n v="5524"/>
    <s v="Õppevahendid"/>
    <n v="55"/>
    <s v="55"/>
    <s v="Muud tegevuskulud"/>
    <s v="Majandamiskulud"/>
    <s v="Põhitegevuse kulu"/>
  </r>
  <r>
    <s v="09"/>
    <x v="2"/>
    <x v="2"/>
    <s v="Alusharidus"/>
    <s v="Haridus"/>
    <s v="Muuga-Laekvere kool"/>
    <s v="õpikud, töövihikud"/>
    <n v="800"/>
    <m/>
    <n v="5524"/>
    <s v="Õppevahendid"/>
    <n v="55"/>
    <s v="55"/>
    <s v="Muud tegevuskulud"/>
    <s v="Majandamiskulud"/>
    <s v="Põhitegevuse kulu"/>
  </r>
  <r>
    <s v="09"/>
    <x v="2"/>
    <x v="2"/>
    <s v="Alusharidus"/>
    <s v="Haridus"/>
    <s v="Muuga-Laekvere kool"/>
    <s v="prillid"/>
    <n v="300"/>
    <m/>
    <n v="5522"/>
    <s v="Meditsiinikulud ja hügieenitarbed"/>
    <n v="55"/>
    <s v="55"/>
    <s v="Muud tegevuskulud"/>
    <s v="Majandamiskulud"/>
    <s v="Põhitegevuse kulu"/>
  </r>
  <r>
    <s v="09"/>
    <x v="2"/>
    <x v="2"/>
    <s v="Alusharidus"/>
    <s v="Haridus"/>
    <s v="Muuga-Laekvere kool"/>
    <s v="tervisekontroll"/>
    <n v="50"/>
    <m/>
    <n v="5522"/>
    <s v="Meditsiinikulud ja hügieenitarbed"/>
    <n v="55"/>
    <s v="55"/>
    <s v="Muud tegevuskulud"/>
    <s v="Majandamiskulud"/>
    <s v="Põhitegevuse kulu"/>
  </r>
  <r>
    <s v="09"/>
    <x v="2"/>
    <x v="2"/>
    <s v="Alusharidus"/>
    <s v="Haridus"/>
    <s v="Muuga-Laekvere kool"/>
    <s v="esmaabi"/>
    <n v="50"/>
    <m/>
    <n v="5522"/>
    <s v="Meditsiinikulud ja hügieenitarbed"/>
    <n v="55"/>
    <s v="55"/>
    <s v="Muud tegevuskulud"/>
    <s v="Majandamiskulud"/>
    <s v="Põhitegevuse kulu"/>
  </r>
  <r>
    <s v="09"/>
    <x v="2"/>
    <x v="2"/>
    <s v="Alusharidus"/>
    <s v="Haridus"/>
    <s v="Muuga-Laekvere kool"/>
    <s v="Toiduained"/>
    <n v="8000"/>
    <m/>
    <n v="5521"/>
    <s v="Toiduained ja toitlustusteenused"/>
    <n v="55"/>
    <s v="55"/>
    <s v="Muud tegevuskulud"/>
    <s v="Majandamiskulud"/>
    <s v="Põhitegevuse kulu"/>
  </r>
  <r>
    <s v="09"/>
    <x v="2"/>
    <x v="2"/>
    <s v="Alusharidus"/>
    <s v="Haridus"/>
    <s v="Muuga-Laekvere kool"/>
    <s v="muud inventari kulud"/>
    <n v="300"/>
    <m/>
    <n v="5515"/>
    <s v="Inventari kulud, v.a infotehnoloogia ja kaitseotstarbelised kulud"/>
    <n v="55"/>
    <s v="55"/>
    <s v="Muud tegevuskulud"/>
    <s v="Majandamiskulud"/>
    <s v="Põhitegevuse kulu"/>
  </r>
  <r>
    <s v="09"/>
    <x v="2"/>
    <x v="2"/>
    <s v="Alusharidus"/>
    <s v="Haridus"/>
    <s v="Muuga-Laekvere kool"/>
    <s v="hooldus ja remont"/>
    <n v="500"/>
    <m/>
    <n v="5515"/>
    <s v="Inventari kulud, v.a infotehnoloogia ja kaitseotstarbelised kulud"/>
    <n v="55"/>
    <s v="55"/>
    <s v="Muud tegevuskulud"/>
    <s v="Majandamiskulud"/>
    <s v="Põhitegevuse kulu"/>
  </r>
  <r>
    <s v="09"/>
    <x v="2"/>
    <x v="2"/>
    <s v="Alusharidus"/>
    <s v="Haridus"/>
    <s v="Muuga-Laekvere kool"/>
    <s v="isikliku sõiduki kasutamine"/>
    <n v="500"/>
    <m/>
    <n v="5513"/>
    <s v="Sõidukite ülalpidamise kulud"/>
    <n v="55"/>
    <s v="55"/>
    <s v="Muud tegevuskulud"/>
    <s v="Majandamiskulud"/>
    <s v="Põhitegevuse kulu"/>
  </r>
  <r>
    <s v="09"/>
    <x v="2"/>
    <x v="2"/>
    <s v="Alusharidus"/>
    <s v="Haridus"/>
    <s v="Muuga-Laekvere kool"/>
    <s v="Koolitused"/>
    <n v="500"/>
    <m/>
    <n v="5504"/>
    <s v="Koolituskulud"/>
    <n v="55"/>
    <s v="55"/>
    <s v="Muud tegevuskulud"/>
    <s v="Majandamiskulud"/>
    <s v="Põhitegevuse kulu"/>
  </r>
  <r>
    <s v="09"/>
    <x v="2"/>
    <x v="2"/>
    <s v="Alusharidus"/>
    <s v="Haridus"/>
    <s v="Muuga-Laekvere kool"/>
    <s v="Muud admin.kulud"/>
    <n v="100"/>
    <m/>
    <n v="5500"/>
    <s v="Administreerimiskulud"/>
    <n v="55"/>
    <s v="55"/>
    <s v="Muud tegevuskulud"/>
    <s v="Majandamiskulud"/>
    <s v="Põhitegevuse kulu"/>
  </r>
  <r>
    <s v="09"/>
    <x v="2"/>
    <x v="2"/>
    <s v="Alusharidus"/>
    <s v="Haridus"/>
    <s v="Muuga-Laekvere kool"/>
    <s v="kuulutused"/>
    <n v="50"/>
    <m/>
    <n v="5500"/>
    <s v="Administreerimiskulud"/>
    <n v="55"/>
    <s v="55"/>
    <s v="Muud tegevuskulud"/>
    <s v="Majandamiskulud"/>
    <s v="Põhitegevuse kulu"/>
  </r>
  <r>
    <s v="09"/>
    <x v="2"/>
    <x v="2"/>
    <s v="Alusharidus"/>
    <s v="Haridus"/>
    <s v="Muuga-Laekvere kool"/>
    <s v="esindamine"/>
    <n v="130"/>
    <m/>
    <n v="5500"/>
    <s v="Administreerimiskulud"/>
    <n v="55"/>
    <s v="55"/>
    <s v="Muud tegevuskulud"/>
    <s v="Majandamiskulud"/>
    <s v="Põhitegevuse kulu"/>
  </r>
  <r>
    <s v="09"/>
    <x v="2"/>
    <x v="2"/>
    <s v="Alusharidus"/>
    <s v="Haridus"/>
    <s v="Muuga-Laekvere kool"/>
    <s v="kingitused"/>
    <n v="100"/>
    <m/>
    <n v="5500"/>
    <s v="Administreerimiskulud"/>
    <n v="55"/>
    <s v="55"/>
    <s v="Muud tegevuskulud"/>
    <s v="Majandamiskulud"/>
    <s v="Põhitegevuse kulu"/>
  </r>
  <r>
    <s v="09"/>
    <x v="2"/>
    <x v="2"/>
    <s v="Alusharidus"/>
    <s v="Haridus"/>
    <s v="Muuga-Laekvere kool"/>
    <s v="mobiiltel"/>
    <n v="0"/>
    <m/>
    <n v="5500"/>
    <s v="Administreerimiskulud"/>
    <n v="55"/>
    <s v="55"/>
    <s v="Muud tegevuskulud"/>
    <s v="Majandamiskulud"/>
    <s v="Põhitegevuse kulu"/>
  </r>
  <r>
    <s v="09"/>
    <x v="2"/>
    <x v="2"/>
    <s v="Alusharidus"/>
    <s v="Haridus"/>
    <s v="Muuga-Laekvere kool"/>
    <s v="telefon"/>
    <n v="300"/>
    <m/>
    <n v="5500"/>
    <s v="Administreerimiskulud"/>
    <n v="55"/>
    <s v="55"/>
    <s v="Muud tegevuskulud"/>
    <s v="Majandamiskulud"/>
    <s v="Põhitegevuse kulu"/>
  </r>
  <r>
    <s v="09"/>
    <x v="2"/>
    <x v="2"/>
    <s v="Alusharidus"/>
    <s v="Haridus"/>
    <s v="Muuga-Laekvere kool"/>
    <s v="post"/>
    <n v="50"/>
    <m/>
    <n v="5500"/>
    <s v="Administreerimiskulud"/>
    <n v="55"/>
    <s v="55"/>
    <s v="Muud tegevuskulud"/>
    <s v="Majandamiskulud"/>
    <s v="Põhitegevuse kulu"/>
  </r>
  <r>
    <s v="09"/>
    <x v="2"/>
    <x v="2"/>
    <s v="Alusharidus"/>
    <s v="Haridus"/>
    <s v="Muuga-Laekvere kool"/>
    <s v="trükised"/>
    <n v="100"/>
    <m/>
    <n v="5500"/>
    <s v="Administreerimiskulud"/>
    <n v="55"/>
    <s v="55"/>
    <s v="Muud tegevuskulud"/>
    <s v="Majandamiskulud"/>
    <s v="Põhitegevuse kulu"/>
  </r>
  <r>
    <s v="09"/>
    <x v="2"/>
    <x v="2"/>
    <s v="Alusharidus"/>
    <s v="Haridus"/>
    <s v="Muuga-Laekvere kool"/>
    <s v="tahm"/>
    <n v="400"/>
    <m/>
    <n v="5500"/>
    <s v="Administreerimiskulud"/>
    <n v="55"/>
    <s v="55"/>
    <s v="Muud tegevuskulud"/>
    <s v="Majandamiskulud"/>
    <s v="Põhitegevuse kulu"/>
  </r>
  <r>
    <s v="09"/>
    <x v="2"/>
    <x v="2"/>
    <s v="Alusharidus"/>
    <s v="Haridus"/>
    <s v="Muuga-Laekvere kool"/>
    <s v="büroo"/>
    <n v="600"/>
    <m/>
    <n v="5500"/>
    <s v="Administreerimiskulud"/>
    <n v="55"/>
    <s v="55"/>
    <s v="Muud tegevuskulud"/>
    <s v="Majandamiskulud"/>
    <s v="Põhitegevuse kulu"/>
  </r>
  <r>
    <s v="09"/>
    <x v="2"/>
    <x v="2"/>
    <s v="Alusharidus"/>
    <s v="Haridus"/>
    <s v="Muuga-Laekvere kool"/>
    <s v="ohutusvahendite kontroll"/>
    <n v="150"/>
    <m/>
    <n v="5511"/>
    <s v="Kinnistute, hoonete ja ruumide majandamiskulud"/>
    <n v="55"/>
    <s v="55"/>
    <s v="Muud tegevuskulud"/>
    <s v="Majandamiskulud"/>
    <s v="Põhitegevuse kulu"/>
  </r>
  <r>
    <s v="09"/>
    <x v="2"/>
    <x v="2"/>
    <s v="Alusharidus"/>
    <s v="Haridus"/>
    <s v="Muuga-Laekvere kool"/>
    <s v="voodipesu"/>
    <n v="500"/>
    <m/>
    <n v="5511"/>
    <s v="Kinnistute, hoonete ja ruumide majandamiskulud"/>
    <n v="55"/>
    <s v="55"/>
    <s v="Muud tegevuskulud"/>
    <s v="Majandamiskulud"/>
    <s v="Põhitegevuse kulu"/>
  </r>
  <r>
    <s v="09"/>
    <x v="2"/>
    <x v="2"/>
    <s v="Alusharidus"/>
    <s v="Haridus"/>
    <s v="Muuga-Laekvere kool"/>
    <s v="Muud kinnistukulud"/>
    <n v="200"/>
    <m/>
    <n v="5511"/>
    <s v="Kinnistute, hoonete ja ruumide majandamiskulud"/>
    <n v="55"/>
    <s v="55"/>
    <s v="Muud tegevuskulud"/>
    <s v="Majandamiskulud"/>
    <s v="Põhitegevuse kulu"/>
  </r>
  <r>
    <s v="09"/>
    <x v="2"/>
    <x v="2"/>
    <s v="Alusharidus"/>
    <s v="Haridus"/>
    <s v="Muuga-Laekvere kool"/>
    <s v="kindlustus"/>
    <n v="1200"/>
    <m/>
    <n v="5511"/>
    <s v="Kinnistute, hoonete ja ruumide majandamiskulud"/>
    <n v="55"/>
    <s v="55"/>
    <s v="Muud tegevuskulud"/>
    <s v="Majandamiskulud"/>
    <s v="Põhitegevuse kulu"/>
  </r>
  <r>
    <s v="09"/>
    <x v="2"/>
    <x v="2"/>
    <s v="Alusharidus"/>
    <s v="Haridus"/>
    <s v="Muuga-Laekvere kool"/>
    <s v="rem tööd"/>
    <n v="500"/>
    <m/>
    <n v="5511"/>
    <s v="Kinnistute, hoonete ja ruumide majandamiskulud"/>
    <n v="55"/>
    <s v="55"/>
    <s v="Muud tegevuskulud"/>
    <s v="Majandamiskulud"/>
    <s v="Põhitegevuse kulu"/>
  </r>
  <r>
    <s v="09"/>
    <x v="2"/>
    <x v="2"/>
    <s v="Alusharidus"/>
    <s v="Haridus"/>
    <s v="Muuga-Laekvere kool"/>
    <s v="vesi kanalisatsioon"/>
    <n v="1900"/>
    <m/>
    <n v="5511"/>
    <s v="Kinnistute, hoonete ja ruumide majandamiskulud"/>
    <n v="55"/>
    <s v="55"/>
    <s v="Muud tegevuskulud"/>
    <s v="Majandamiskulud"/>
    <s v="Põhitegevuse kulu"/>
  </r>
  <r>
    <s v="09"/>
    <x v="2"/>
    <x v="2"/>
    <s v="Alusharidus"/>
    <s v="Haridus"/>
    <s v="Muuga-Laekvere kool"/>
    <s v="korstnapühkija"/>
    <n v="0"/>
    <m/>
    <n v="5511"/>
    <s v="Kinnistute, hoonete ja ruumide majandamiskulud"/>
    <n v="55"/>
    <s v="55"/>
    <s v="Muud tegevuskulud"/>
    <s v="Majandamiskulud"/>
    <s v="Põhitegevuse kulu"/>
  </r>
  <r>
    <s v="09"/>
    <x v="2"/>
    <x v="2"/>
    <s v="Alusharidus"/>
    <s v="Haridus"/>
    <s v="Muuga-Laekvere kool"/>
    <s v="prügi"/>
    <n v="500"/>
    <m/>
    <n v="5511"/>
    <s v="Kinnistute, hoonete ja ruumide majandamiskulud"/>
    <n v="55"/>
    <s v="55"/>
    <s v="Muud tegevuskulud"/>
    <s v="Majandamiskulud"/>
    <s v="Põhitegevuse kulu"/>
  </r>
  <r>
    <s v="09"/>
    <x v="2"/>
    <x v="2"/>
    <s v="Alusharidus"/>
    <s v="Haridus"/>
    <s v="Muuga-Laekvere kool"/>
    <s v="korrashoid"/>
    <n v="3500"/>
    <m/>
    <n v="5511"/>
    <s v="Kinnistute, hoonete ja ruumide majandamiskulud"/>
    <n v="55"/>
    <s v="55"/>
    <s v="Muud tegevuskulud"/>
    <s v="Majandamiskulud"/>
    <s v="Põhitegevuse kulu"/>
  </r>
  <r>
    <s v="09"/>
    <x v="2"/>
    <x v="2"/>
    <s v="Alusharidus"/>
    <s v="Haridus"/>
    <s v="Muuga-Laekvere kool"/>
    <s v="el.käitlus"/>
    <n v="400"/>
    <m/>
    <n v="5511"/>
    <s v="Kinnistute, hoonete ja ruumide majandamiskulud"/>
    <n v="55"/>
    <s v="55"/>
    <s v="Muud tegevuskulud"/>
    <s v="Majandamiskulud"/>
    <s v="Põhitegevuse kulu"/>
  </r>
  <r>
    <s v="09"/>
    <x v="2"/>
    <x v="2"/>
    <s v="Alusharidus"/>
    <s v="Haridus"/>
    <s v="Muuga-Laekvere kool"/>
    <s v="elekter"/>
    <n v="4000"/>
    <m/>
    <n v="5511"/>
    <s v="Kinnistute, hoonete ja ruumide majandamiskulud"/>
    <n v="55"/>
    <s v="55"/>
    <s v="Muud tegevuskulud"/>
    <s v="Majandamiskulud"/>
    <s v="Põhitegevuse kulu"/>
  </r>
  <r>
    <s v="09"/>
    <x v="2"/>
    <x v="2"/>
    <s v="Alusharidus"/>
    <s v="Haridus"/>
    <s v="Muuga-Laekvere kool"/>
    <s v="küte"/>
    <n v="9000"/>
    <m/>
    <n v="5511"/>
    <s v="Kinnistute, hoonete ja ruumide majandamiskulud"/>
    <n v="55"/>
    <s v="55"/>
    <s v="Muud tegevuskulud"/>
    <s v="Majandamiskulud"/>
    <s v="Põhitegevuse kulu"/>
  </r>
  <r>
    <s v="09"/>
    <x v="3"/>
    <x v="3"/>
    <s v="Alusharidus"/>
    <s v="Haridus"/>
    <s v="Ulvi lasteaed"/>
    <s v="IT alane hooldus"/>
    <n v="500"/>
    <m/>
    <n v="5514"/>
    <s v="Info- ja kommunikatsioonitehnoliigised kulud"/>
    <n v="55"/>
    <s v="55"/>
    <s v="Muud tegevuskulud"/>
    <s v="Majandamiskulud"/>
    <s v="Põhitegevuse kulu"/>
  </r>
  <r>
    <s v="09"/>
    <x v="3"/>
    <x v="3"/>
    <s v="Alusharidus"/>
    <s v="Haridus"/>
    <s v="Ulvi lasteaed"/>
    <s v="muruniidukile bensiin"/>
    <n v="100"/>
    <m/>
    <n v="5511"/>
    <s v="Kinnistute, hoonete ja ruumide majandamiskulud"/>
    <n v="55"/>
    <s v="55"/>
    <s v="Muud tegevuskulud"/>
    <s v="Majandamiskulud"/>
    <s v="Põhitegevuse kulu"/>
  </r>
  <r>
    <s v="09"/>
    <x v="3"/>
    <x v="3"/>
    <s v="Alusharidus"/>
    <s v="Haridus"/>
    <s v="Ulvi lasteaed"/>
    <s v="ventilatsiooni väljaehitus"/>
    <n v="6000"/>
    <m/>
    <n v="5511"/>
    <s v="Kinnistute, hoonete ja ruumide majandamiskulud"/>
    <n v="55"/>
    <s v="55"/>
    <s v="Muud tegevuskulud"/>
    <s v="Majandamiskulud"/>
    <s v="Põhitegevuse kulu"/>
  </r>
  <r>
    <s v="09"/>
    <x v="3"/>
    <x v="3"/>
    <s v="Alusharidus"/>
    <s v="Haridus"/>
    <s v="Ulvi lasteaed"/>
    <s v="majanduskaup"/>
    <n v="2400"/>
    <m/>
    <n v="5511"/>
    <s v="Kinnistute, hoonete ja ruumide majandamiskulud"/>
    <n v="55"/>
    <s v="55"/>
    <s v="Muud tegevuskulud"/>
    <s v="Majandamiskulud"/>
    <s v="Põhitegevuse kulu"/>
  </r>
  <r>
    <s v="09"/>
    <x v="3"/>
    <x v="3"/>
    <s v="Alusharidus"/>
    <s v="Haridus"/>
    <s v="Ulvi lasteaed"/>
    <s v="prügi"/>
    <n v="250"/>
    <m/>
    <n v="5511"/>
    <s v="Kinnistute, hoonete ja ruumide majandamiskulud"/>
    <n v="55"/>
    <s v="55"/>
    <s v="Muud tegevuskulud"/>
    <s v="Majandamiskulud"/>
    <s v="Põhitegevuse kulu"/>
  </r>
  <r>
    <s v="09"/>
    <x v="3"/>
    <x v="3"/>
    <s v="Alusharidus"/>
    <s v="Haridus"/>
    <s v="Ulvi lasteaed"/>
    <s v="koridori remont"/>
    <n v="1000"/>
    <m/>
    <n v="5511"/>
    <s v="Kinnistute, hoonete ja ruumide majandamiskulud"/>
    <n v="55"/>
    <s v="55"/>
    <s v="Muud tegevuskulud"/>
    <s v="Majandamiskulud"/>
    <s v="Põhitegevuse kulu"/>
  </r>
  <r>
    <s v="09"/>
    <x v="3"/>
    <x v="3"/>
    <s v="Alusharidus"/>
    <s v="Haridus"/>
    <s v="Ulvi lasteaed"/>
    <s v="elekter"/>
    <n v="3500"/>
    <m/>
    <n v="5511"/>
    <s v="Kinnistute, hoonete ja ruumide majandamiskulud"/>
    <n v="55"/>
    <s v="55"/>
    <s v="Muud tegevuskulud"/>
    <s v="Majandamiskulud"/>
    <s v="Põhitegevuse kulu"/>
  </r>
  <r>
    <s v="09"/>
    <x v="3"/>
    <x v="3"/>
    <s v="Alusharidus"/>
    <s v="Haridus"/>
    <s v="Ulvi lasteaed"/>
    <s v="analüüsid"/>
    <n v="200"/>
    <m/>
    <n v="5511"/>
    <s v="Kinnistute, hoonete ja ruumide majandamiskulud"/>
    <n v="55"/>
    <s v="55"/>
    <s v="Muud tegevuskulud"/>
    <s v="Majandamiskulud"/>
    <s v="Põhitegevuse kulu"/>
  </r>
  <r>
    <s v="09"/>
    <x v="3"/>
    <x v="3"/>
    <s v="Alusharidus"/>
    <s v="Haridus"/>
    <s v="Ulvi lasteaed"/>
    <s v="ruumide küte"/>
    <n v="4500"/>
    <m/>
    <n v="5511"/>
    <s v="Kinnistute, hoonete ja ruumide majandamiskulud"/>
    <n v="55"/>
    <s v="55"/>
    <s v="Muud tegevuskulud"/>
    <s v="Majandamiskulud"/>
    <s v="Põhitegevuse kulu"/>
  </r>
  <r>
    <s v="09"/>
    <x v="3"/>
    <x v="3"/>
    <s v="Alusharidus"/>
    <s v="Haridus"/>
    <s v="Ulvi lasteaed"/>
    <s v="Ürituste transport"/>
    <n v="250"/>
    <m/>
    <n v="5525"/>
    <s v="Kommunikatsiooni-, kultuuri- ja vaba aja sisustamise kulud"/>
    <n v="55"/>
    <s v="55"/>
    <s v="Muud tegevuskulud"/>
    <s v="Majandamiskulud"/>
    <s v="Põhitegevuse kulu"/>
  </r>
  <r>
    <s v="09"/>
    <x v="3"/>
    <x v="3"/>
    <s v="Alusharidus"/>
    <s v="Haridus"/>
    <s v="Ulvi lasteaed"/>
    <s v="Ühisüritused"/>
    <n v="250"/>
    <m/>
    <n v="5525"/>
    <s v="Kommunikatsiooni-, kultuuri- ja vaba aja sisustamise kulud"/>
    <n v="55"/>
    <s v="55"/>
    <s v="Muud tegevuskulud"/>
    <s v="Majandamiskulud"/>
    <s v="Põhitegevuse kulu"/>
  </r>
  <r>
    <s v="09"/>
    <x v="3"/>
    <x v="3"/>
    <s v="Alusharidus"/>
    <s v="Haridus"/>
    <s v="Ulvi lasteaed"/>
    <s v="mänguasjad"/>
    <n v="2000"/>
    <m/>
    <n v="5524"/>
    <s v="Õppevahendid"/>
    <n v="55"/>
    <s v="55"/>
    <s v="Muud tegevuskulud"/>
    <s v="Majandamiskulud"/>
    <s v="Põhitegevuse kulu"/>
  </r>
  <r>
    <s v="09"/>
    <x v="3"/>
    <x v="3"/>
    <s v="Alusharidus"/>
    <s v="Haridus"/>
    <s v="Ulvi lasteaed"/>
    <s v="Õppevahendid"/>
    <n v="1000"/>
    <m/>
    <n v="5524"/>
    <s v="Õppevahendid"/>
    <n v="55"/>
    <s v="55"/>
    <s v="Muud tegevuskulud"/>
    <s v="Majandamiskulud"/>
    <s v="Põhitegevuse kulu"/>
  </r>
  <r>
    <s v="09"/>
    <x v="3"/>
    <x v="3"/>
    <s v="Alusharidus"/>
    <s v="Haridus"/>
    <s v="Ulvi lasteaed"/>
    <s v="õppekäigud"/>
    <n v="1000"/>
    <m/>
    <n v="5524"/>
    <s v="Õppevahendid"/>
    <n v="55"/>
    <s v="55"/>
    <s v="Muud tegevuskulud"/>
    <s v="Majandamiskulud"/>
    <s v="Põhitegevuse kulu"/>
  </r>
  <r>
    <s v="09"/>
    <x v="3"/>
    <x v="3"/>
    <s v="Alusharidus"/>
    <s v="Haridus"/>
    <s v="Ulvi lasteaed"/>
    <s v="Meditsiinikulud"/>
    <n v="100"/>
    <m/>
    <n v="5522"/>
    <s v="Meditsiinikulud ja hügieenitarbed"/>
    <n v="55"/>
    <s v="55"/>
    <s v="Muud tegevuskulud"/>
    <s v="Majandamiskulud"/>
    <s v="Põhitegevuse kulu"/>
  </r>
  <r>
    <s v="09"/>
    <x v="3"/>
    <x v="3"/>
    <s v="Alusharidus"/>
    <s v="Haridus"/>
    <s v="Ulvi lasteaed"/>
    <s v="toiduained 30 last x230 päeva x 1.40"/>
    <n v="7000"/>
    <m/>
    <n v="5521"/>
    <s v="Toiduained ja toitlustusteenused"/>
    <n v="55"/>
    <s v="55"/>
    <s v="Muud tegevuskulud"/>
    <s v="Majandamiskulud"/>
    <s v="Põhitegevuse kulu"/>
  </r>
  <r>
    <s v="09"/>
    <x v="3"/>
    <x v="3"/>
    <s v="Alusharidus"/>
    <s v="Haridus"/>
    <s v="Ulvi lasteaed"/>
    <s v="toolid tk.15  500 eurot"/>
    <n v="500"/>
    <s v="Planeerin 15 tk soetada, ühe tk.hind umbes 33 eurot"/>
    <n v="5515"/>
    <s v="Inventari kulud, v.a infotehnoloogia ja kaitseotstarbelised kulud"/>
    <n v="55"/>
    <s v="55"/>
    <s v="Muud tegevuskulud"/>
    <s v="Majandamiskulud"/>
    <s v="Põhitegevuse kulu"/>
  </r>
  <r>
    <s v="09"/>
    <x v="3"/>
    <x v="3"/>
    <s v="Alusharidus"/>
    <s v="Haridus"/>
    <s v="Ulvi lasteaed"/>
    <s v="3 kohal voodi kompl. Tk.1 500 eurot"/>
    <n v="500"/>
    <s v="Planeerin ühe"/>
    <n v="5515"/>
    <s v="Inventari kulud, v.a infotehnoloogia ja kaitseotstarbelised kulud"/>
    <n v="55"/>
    <s v="55"/>
    <s v="Muud tegevuskulud"/>
    <s v="Majandamiskulud"/>
    <s v="Põhitegevuse kulu"/>
  </r>
  <r>
    <s v="09"/>
    <x v="3"/>
    <x v="3"/>
    <s v="Alusharidus"/>
    <s v="Haridus"/>
    <s v="Ulvi lasteaed"/>
    <s v="4 kohal voodi kompl. Tk.1 600 eurot"/>
    <n v="600"/>
    <s v="Planeerin ühe"/>
    <n v="5515"/>
    <s v="Inventari kulud, v.a infotehnoloogia ja kaitseotstarbelised kulud"/>
    <n v="55"/>
    <s v="55"/>
    <s v="Muud tegevuskulud"/>
    <s v="Majandamiskulud"/>
    <s v="Põhitegevuse kulu"/>
  </r>
  <r>
    <s v="09"/>
    <x v="3"/>
    <x v="3"/>
    <s v="Alusharidus"/>
    <s v="Haridus"/>
    <s v="Ulvi lasteaed"/>
    <s v="Riiul tk.1 100 eurot"/>
    <n v="100"/>
    <m/>
    <n v="5515"/>
    <s v="Inventari kulud, v.a infotehnoloogia ja kaitseotstarbelised kulud"/>
    <n v="55"/>
    <s v="55"/>
    <s v="Muud tegevuskulud"/>
    <s v="Majandamiskulud"/>
    <s v="Põhitegevuse kulu"/>
  </r>
  <r>
    <s v="09"/>
    <x v="3"/>
    <x v="3"/>
    <s v="Alusharidus"/>
    <s v="Haridus"/>
    <s v="Ulvi lasteaed"/>
    <s v="Laud tk.2  200 eurot"/>
    <n v="200"/>
    <s v="Planeerin kaks, ühe tk.hind 100 eurot"/>
    <n v="5515"/>
    <s v="Inventari kulud, v.a infotehnoloogia ja kaitseotstarbelised kulud"/>
    <n v="55"/>
    <s v="55"/>
    <s v="Muud tegevuskulud"/>
    <s v="Majandamiskulud"/>
    <s v="Põhitegevuse kulu"/>
  </r>
  <r>
    <s v="09"/>
    <x v="3"/>
    <x v="3"/>
    <s v="Alusharidus"/>
    <s v="Haridus"/>
    <s v="Ulvi lasteaed"/>
    <s v="Inventari jooksev hooldus "/>
    <n v="150"/>
    <m/>
    <n v="5515"/>
    <s v="Inventari kulud, v.a infotehnoloogia ja kaitseotstarbelised kulud"/>
    <n v="55"/>
    <s v="55"/>
    <s v="Muud tegevuskulud"/>
    <s v="Majandamiskulud"/>
    <s v="Põhitegevuse kulu"/>
  </r>
  <r>
    <s v="09"/>
    <x v="3"/>
    <x v="3"/>
    <s v="Alusharidus"/>
    <s v="Haridus"/>
    <s v="Ulvi lasteaed"/>
    <s v="Koolitused"/>
    <n v="600"/>
    <m/>
    <n v="5504"/>
    <s v="Koolituskulud"/>
    <n v="55"/>
    <s v="55"/>
    <s v="Muud tegevuskulud"/>
    <s v="Majandamiskulud"/>
    <s v="Põhitegevuse kulu"/>
  </r>
  <r>
    <s v="09"/>
    <x v="4"/>
    <x v="4"/>
    <s v="Alusharidus"/>
    <s v="Haridus"/>
    <s v="Tudu lasteaed"/>
    <s v="eriped tegevus"/>
    <n v="900"/>
    <m/>
    <n v="5524"/>
    <s v="Õppevahendid"/>
    <n v="55"/>
    <s v="55"/>
    <s v="Muud tegevuskulud"/>
    <s v="Majandamiskulud"/>
    <s v="Põhitegevuse kulu"/>
  </r>
  <r>
    <s v="09"/>
    <x v="4"/>
    <x v="4"/>
    <s v="Alusharidus"/>
    <s v="Haridus"/>
    <s v="Tudu lasteaed"/>
    <s v="mänguasjad, paber, värvid jm"/>
    <n v="150"/>
    <m/>
    <n v="5524"/>
    <s v="Õppevahendid"/>
    <n v="55"/>
    <s v="55"/>
    <s v="Muud tegevuskulud"/>
    <s v="Majandamiskulud"/>
    <s v="Põhitegevuse kulu"/>
  </r>
  <r>
    <s v="09"/>
    <x v="4"/>
    <x v="4"/>
    <s v="Alusharidus"/>
    <s v="Haridus"/>
    <s v="Tudu lasteaed"/>
    <s v="töövihikud"/>
    <n v="50"/>
    <m/>
    <n v="5524"/>
    <s v="Õppevahendid"/>
    <n v="55"/>
    <s v="55"/>
    <s v="Muud tegevuskulud"/>
    <s v="Majandamiskulud"/>
    <s v="Põhitegevuse kulu"/>
  </r>
  <r>
    <s v="09"/>
    <x v="4"/>
    <x v="4"/>
    <s v="Alusharidus"/>
    <s v="Haridus"/>
    <s v="Tudu lasteaed"/>
    <s v="õpikud "/>
    <n v="150"/>
    <m/>
    <n v="5524"/>
    <s v="Õppevahendid"/>
    <n v="55"/>
    <s v="55"/>
    <s v="Muud tegevuskulud"/>
    <s v="Majandamiskulud"/>
    <s v="Põhitegevuse kulu"/>
  </r>
  <r>
    <s v="09"/>
    <x v="4"/>
    <x v="4"/>
    <s v="Alusharidus"/>
    <s v="Haridus"/>
    <s v="Tudu lasteaed"/>
    <s v="lasteaia toidukaup"/>
    <n v="4073"/>
    <m/>
    <n v="5521"/>
    <s v="Toiduained ja toitlustusteenused"/>
    <n v="55"/>
    <s v="55"/>
    <s v="Muud tegevuskulud"/>
    <s v="Majandamiskulud"/>
    <s v="Põhitegevuse kulu"/>
  </r>
  <r>
    <s v="09"/>
    <x v="4"/>
    <x v="4"/>
    <s v="Alusharidus"/>
    <s v="Haridus"/>
    <s v="Tudu lasteaed"/>
    <s v="uue õppekava rakend"/>
    <n v="100"/>
    <m/>
    <n v="5504"/>
    <s v="Koolituskulud"/>
    <n v="55"/>
    <s v="55"/>
    <s v="Muud tegevuskulud"/>
    <s v="Majandamiskulud"/>
    <s v="Põhitegevuse kulu"/>
  </r>
  <r>
    <s v="09"/>
    <x v="5"/>
    <x v="5"/>
    <s v="Alusharidus"/>
    <s v="Haridus"/>
    <s v="Kulina lasteaed"/>
    <s v="arvutikõlarid"/>
    <n v="50"/>
    <s v="mesimummu rühma arvutile"/>
    <n v="5514"/>
    <s v="Info- ja kommunikatsioonitehnoliigised kulud"/>
    <n v="55"/>
    <s v="55"/>
    <s v="Muud tegevuskulud"/>
    <s v="Majandamiskulud"/>
    <s v="Põhitegevuse kulu"/>
  </r>
  <r>
    <s v="09"/>
    <x v="5"/>
    <x v="5"/>
    <s v="Alusharidus"/>
    <s v="Haridus"/>
    <s v="Kulina lasteaed"/>
    <s v="rulood"/>
    <n v="975"/>
    <s v="Lepatriinu rühma magamistuba, praegused rulood osaliselt katki, kinnitusklambrid muutunud rabedaks"/>
    <n v="5511"/>
    <s v="Kinnistute, hoonete ja ruumide majandamiskulud"/>
    <n v="55"/>
    <s v="55"/>
    <s v="Muud tegevuskulud"/>
    <s v="Majandamiskulud"/>
    <s v="Põhitegevuse kulu"/>
  </r>
  <r>
    <s v="09"/>
    <x v="5"/>
    <x v="5"/>
    <s v="Alusharidus"/>
    <s v="Haridus"/>
    <s v="Kulina lasteaed"/>
    <s v="paviljonide korrastamine"/>
    <n v="200"/>
    <s v="tasandusegu põrandaaukude parandamiseks, värvid"/>
    <n v="5511"/>
    <s v="Kinnistute, hoonete ja ruumide majandamiskulud"/>
    <n v="55"/>
    <s v="55"/>
    <s v="Muud tegevuskulud"/>
    <s v="Majandamiskulud"/>
    <s v="Põhitegevuse kulu"/>
  </r>
  <r>
    <s v="09"/>
    <x v="5"/>
    <x v="5"/>
    <s v="Alusharidus"/>
    <s v="Haridus"/>
    <s v="Kulina lasteaed"/>
    <s v="muruniitmine"/>
    <n v="120"/>
    <s v="õli, bensiin, hooldus"/>
    <n v="5511"/>
    <s v="Kinnistute, hoonete ja ruumide majandamiskulud"/>
    <n v="55"/>
    <s v="55"/>
    <s v="Muud tegevuskulud"/>
    <s v="Majandamiskulud"/>
    <s v="Põhitegevuse kulu"/>
  </r>
  <r>
    <s v="09"/>
    <x v="5"/>
    <x v="5"/>
    <s v="Alusharidus"/>
    <s v="Haridus"/>
    <s v="Kulina lasteaed"/>
    <s v="maakütte aastane hooldus"/>
    <n v="690"/>
    <s v="TJ Hooldus OÜ"/>
    <n v="5511"/>
    <s v="Kinnistute, hoonete ja ruumide majandamiskulud"/>
    <n v="55"/>
    <s v="55"/>
    <s v="Muud tegevuskulud"/>
    <s v="Majandamiskulud"/>
    <s v="Põhitegevuse kulu"/>
  </r>
  <r>
    <s v="09"/>
    <x v="5"/>
    <x v="5"/>
    <s v="Alusharidus"/>
    <s v="Haridus"/>
    <s v="Kulina lasteaed"/>
    <s v="Puhastussool veefiltrile"/>
    <n v="110"/>
    <s v="FEB AS"/>
    <n v="5511"/>
    <s v="Kinnistute, hoonete ja ruumide majandamiskulud"/>
    <n v="55"/>
    <s v="55"/>
    <s v="Muud tegevuskulud"/>
    <s v="Majandamiskulud"/>
    <s v="Põhitegevuse kulu"/>
  </r>
  <r>
    <s v="09"/>
    <x v="5"/>
    <x v="5"/>
    <s v="Alusharidus"/>
    <s v="Haridus"/>
    <s v="Kulina lasteaed"/>
    <s v="Turvavalgustus, elektritööd"/>
    <n v="145"/>
    <s v="E.Ilves"/>
    <n v="5511"/>
    <s v="Kinnistute, hoonete ja ruumide majandamiskulud"/>
    <n v="55"/>
    <s v="55"/>
    <s v="Muud tegevuskulud"/>
    <s v="Majandamiskulud"/>
    <s v="Põhitegevuse kulu"/>
  </r>
  <r>
    <s v="09"/>
    <x v="5"/>
    <x v="5"/>
    <s v="Alusharidus"/>
    <s v="Haridus"/>
    <s v="Kulina lasteaed"/>
    <s v="ATS hooldus"/>
    <n v="276"/>
    <s v="U.K.V.Grupp kord kvartalis"/>
    <n v="5511"/>
    <s v="Kinnistute, hoonete ja ruumide majandamiskulud"/>
    <n v="55"/>
    <s v="55"/>
    <s v="Muud tegevuskulud"/>
    <s v="Majandamiskulud"/>
    <s v="Põhitegevuse kulu"/>
  </r>
  <r>
    <s v="09"/>
    <x v="5"/>
    <x v="5"/>
    <s v="Alusharidus"/>
    <s v="Haridus"/>
    <s v="Kulina lasteaed"/>
    <s v="prügi"/>
    <n v="160"/>
    <s v="L-Viru Jäätmekeskus (6,56*12)+ ohtlikud jäätmed jms"/>
    <n v="5511"/>
    <s v="Kinnistute, hoonete ja ruumide majandamiskulud"/>
    <n v="55"/>
    <s v="55"/>
    <s v="Muud tegevuskulud"/>
    <s v="Majandamiskulud"/>
    <s v="Põhitegevuse kulu"/>
  </r>
  <r>
    <s v="09"/>
    <x v="5"/>
    <x v="5"/>
    <s v="Alusharidus"/>
    <s v="Haridus"/>
    <s v="Kulina lasteaed"/>
    <s v="Korrashoiuvahendid"/>
    <n v="600"/>
    <s v="puhastusvahendid, tarvikud, WC paber jms"/>
    <n v="5511"/>
    <s v="Kinnistute, hoonete ja ruumide majandamiskulud"/>
    <n v="55"/>
    <s v="55"/>
    <s v="Muud tegevuskulud"/>
    <s v="Majandamiskulud"/>
    <s v="Põhitegevuse kulu"/>
  </r>
  <r>
    <s v="09"/>
    <x v="5"/>
    <x v="5"/>
    <s v="Alusharidus"/>
    <s v="Haridus"/>
    <s v="Kulina lasteaed"/>
    <s v="vesi-ja kanalisatsioon"/>
    <n v="360"/>
    <s v="Emajõe Veevärk"/>
    <n v="5511"/>
    <s v="Kinnistute, hoonete ja ruumide majandamiskulud"/>
    <n v="55"/>
    <s v="55"/>
    <s v="Muud tegevuskulud"/>
    <s v="Majandamiskulud"/>
    <s v="Põhitegevuse kulu"/>
  </r>
  <r>
    <s v="09"/>
    <x v="5"/>
    <x v="5"/>
    <s v="Alusharidus"/>
    <s v="Haridus"/>
    <s v="Kulina lasteaed"/>
    <s v="elekter"/>
    <n v="6000"/>
    <s v="keskmine tarbimine 30860KWhx0,11652 euri kwh"/>
    <n v="5511"/>
    <s v="Kinnistute, hoonete ja ruumide majandamiskulud"/>
    <n v="55"/>
    <s v="55"/>
    <s v="Muud tegevuskulud"/>
    <s v="Majandamiskulud"/>
    <s v="Põhitegevuse kulu"/>
  </r>
  <r>
    <s v="09"/>
    <x v="5"/>
    <x v="5"/>
    <s v="Alusharidus"/>
    <s v="Haridus"/>
    <s v="Kulina lasteaed"/>
    <s v="õppekäigud"/>
    <n v="500"/>
    <s v="õppekäigud, ekskursioon, jõulupidu, lõpupidu, lasteaia sünnipäev"/>
    <n v="5525"/>
    <s v="Kommunikatsiooni-, kultuuri- ja vaba aja sisustamise kulud"/>
    <n v="55"/>
    <s v="55"/>
    <s v="Muud tegevuskulud"/>
    <s v="Majandamiskulud"/>
    <s v="Põhitegevuse kulu"/>
  </r>
  <r>
    <s v="09"/>
    <x v="5"/>
    <x v="5"/>
    <s v="Alusharidus"/>
    <s v="Haridus"/>
    <s v="Kulina lasteaed"/>
    <s v="Matatalab, ozobot"/>
    <n v="740"/>
    <s v="robootikaseadmed, võimalusel taotleme kevadel projektirahasid, kus omafinantseering 15% taotletud summast"/>
    <n v="5524"/>
    <s v="Õppevahendid"/>
    <n v="55"/>
    <s v="55"/>
    <s v="Muud tegevuskulud"/>
    <s v="Majandamiskulud"/>
    <s v="Põhitegevuse kulu"/>
  </r>
  <r>
    <s v="09"/>
    <x v="5"/>
    <x v="5"/>
    <s v="Alusharidus"/>
    <s v="Haridus"/>
    <s v="Kulina lasteaed"/>
    <s v="õppevahendid"/>
    <n v="1700"/>
    <s v="kunstitarbed, õppemängud, mänguasjad, õppematerjal, metoodiline kirjandus jms"/>
    <n v="5524"/>
    <s v="Õppevahendid"/>
    <n v="55"/>
    <s v="55"/>
    <s v="Muud tegevuskulud"/>
    <s v="Majandamiskulud"/>
    <s v="Põhitegevuse kulu"/>
  </r>
  <r>
    <s v="09"/>
    <x v="5"/>
    <x v="5"/>
    <s v="Alusharidus"/>
    <s v="Haridus"/>
    <s v="Kulina lasteaed"/>
    <s v="tervisekontroll"/>
    <n v="120"/>
    <s v="(orienteeruv summa) TTOSt tulev kohustus-kokk"/>
    <n v="5522"/>
    <s v="Meditsiinikulud ja hügieenitarbed"/>
    <n v="55"/>
    <s v="55"/>
    <s v="Muud tegevuskulud"/>
    <s v="Majandamiskulud"/>
    <s v="Põhitegevuse kulu"/>
  </r>
  <r>
    <s v="09"/>
    <x v="5"/>
    <x v="5"/>
    <s v="Alusharidus"/>
    <s v="Haridus"/>
    <s v="Kulina lasteaed"/>
    <s v="toitlustamine"/>
    <n v="6200"/>
    <s v="toidupäevade arv*lastearv*toidupäevamaksumus-30%, kokandustunnid 2 korda kuus  rühmades"/>
    <n v="5521"/>
    <s v="Toiduained ja toitlustusteenused"/>
    <n v="55"/>
    <s v="55"/>
    <s v="Muud tegevuskulud"/>
    <s v="Majandamiskulud"/>
    <s v="Põhitegevuse kulu"/>
  </r>
  <r>
    <s v="09"/>
    <x v="5"/>
    <x v="5"/>
    <s v="Alusharidus"/>
    <s v="Haridus"/>
    <s v="Kulina lasteaed"/>
    <s v="liivakast 3000mm*3000mm"/>
    <n v="250"/>
    <s v="Lepatriinu rühm, ilmastikukindel, taaskasutatavast plastmaterjalist, kaetav-praegune liivakastiraam lagunev"/>
    <n v="5515"/>
    <s v="Inventari kulud, v.a infotehnoloogia ja kaitseotstarbelised kulud"/>
    <n v="55"/>
    <s v="55"/>
    <s v="Muud tegevuskulud"/>
    <s v="Majandamiskulud"/>
    <s v="Põhitegevuse kulu"/>
  </r>
  <r>
    <s v="09"/>
    <x v="5"/>
    <x v="5"/>
    <s v="Alusharidus"/>
    <s v="Haridus"/>
    <s v="Kulina lasteaed"/>
    <s v="magnettahvel"/>
    <n v="75"/>
    <s v="mesimummu rühm"/>
    <n v="5515"/>
    <s v="Inventari kulud, v.a infotehnoloogia ja kaitseotstarbelised kulud"/>
    <n v="55"/>
    <s v="55"/>
    <s v="Muud tegevuskulud"/>
    <s v="Majandamiskulud"/>
    <s v="Põhitegevuse kulu"/>
  </r>
  <r>
    <s v="09"/>
    <x v="5"/>
    <x v="5"/>
    <s v="Alusharidus"/>
    <s v="Haridus"/>
    <s v="Kulina lasteaed"/>
    <s v="vaip 1,35*1,7"/>
    <n v="80"/>
    <s v="mesimummurühma mängunurk"/>
    <n v="5515"/>
    <s v="Inventari kulud, v.a infotehnoloogia ja kaitseotstarbelised kulud"/>
    <n v="55"/>
    <s v="55"/>
    <s v="Muud tegevuskulud"/>
    <s v="Majandamiskulud"/>
    <s v="Põhitegevuse kulu"/>
  </r>
  <r>
    <s v="09"/>
    <x v="5"/>
    <x v="5"/>
    <s v="Alusharidus"/>
    <s v="Haridus"/>
    <s v="Kulina lasteaed"/>
    <s v="muusikaesitaja"/>
    <n v="300"/>
    <s v="et mängiks mp3 formaati, võimendusega ühildatav-muusikaõpetaja"/>
    <n v="5515"/>
    <s v="Inventari kulud, v.a infotehnoloogia ja kaitseotstarbelised kulud"/>
    <n v="55"/>
    <s v="55"/>
    <s v="Muud tegevuskulud"/>
    <s v="Majandamiskulud"/>
    <s v="Põhitegevuse kulu"/>
  </r>
  <r>
    <s v="09"/>
    <x v="5"/>
    <x v="5"/>
    <s v="Alusharidus"/>
    <s v="Haridus"/>
    <s v="Kulina lasteaed"/>
    <s v="mängunurga köögimööbel"/>
    <n v="350"/>
    <s v="mesimuumu rühma mängunurk"/>
    <n v="5515"/>
    <s v="Inventari kulud, v.a infotehnoloogia ja kaitseotstarbelised kulud"/>
    <n v="55"/>
    <s v="55"/>
    <s v="Muud tegevuskulud"/>
    <s v="Majandamiskulud"/>
    <s v="Põhitegevuse kulu"/>
  </r>
  <r>
    <s v="09"/>
    <x v="5"/>
    <x v="5"/>
    <s v="Alusharidus"/>
    <s v="Haridus"/>
    <s v="Kulina lasteaed"/>
    <s v="paberipurustaja"/>
    <n v="250"/>
    <s v="andmekaitse"/>
    <n v="5515"/>
    <s v="Inventari kulud, v.a infotehnoloogia ja kaitseotstarbelised kulud"/>
    <n v="55"/>
    <s v="55"/>
    <s v="Muud tegevuskulud"/>
    <s v="Majandamiskulud"/>
    <s v="Põhitegevuse kulu"/>
  </r>
  <r>
    <s v="09"/>
    <x v="5"/>
    <x v="5"/>
    <s v="Alusharidus"/>
    <s v="Haridus"/>
    <s v="Kulina lasteaed"/>
    <s v="Isikliku sõiduauto komp."/>
    <n v="1430"/>
    <s v="130*11 isikliku sõiduauto kasutamine"/>
    <n v="5513"/>
    <s v="Sõidukite ülalpidamise kulud"/>
    <n v="55"/>
    <s v="55"/>
    <s v="Muud tegevuskulud"/>
    <s v="Majandamiskulud"/>
    <s v="Põhitegevuse kulu"/>
  </r>
  <r>
    <s v="09"/>
    <x v="5"/>
    <x v="5"/>
    <s v="Alusharidus"/>
    <s v="Haridus"/>
    <s v="Kulina lasteaed"/>
    <s v="Esmaabi"/>
    <n v="165"/>
    <m/>
    <n v="5504"/>
    <s v="Koolituskulud"/>
    <n v="55"/>
    <s v="55"/>
    <s v="Muud tegevuskulud"/>
    <s v="Majandamiskulud"/>
    <s v="Põhitegevuse kulu"/>
  </r>
  <r>
    <s v="09"/>
    <x v="5"/>
    <x v="5"/>
    <s v="Alusharidus"/>
    <s v="Haridus"/>
    <s v="Kulina lasteaed"/>
    <s v="koolituste plaan"/>
    <n v="504"/>
    <m/>
    <n v="5504"/>
    <s v="Koolituskulud"/>
    <n v="55"/>
    <s v="55"/>
    <s v="Muud tegevuskulud"/>
    <s v="Majandamiskulud"/>
    <s v="Põhitegevuse kulu"/>
  </r>
  <r>
    <s v="09"/>
    <x v="5"/>
    <x v="5"/>
    <s v="Alusharidus"/>
    <s v="Haridus"/>
    <s v="Kulina lasteaed"/>
    <s v="Täheke"/>
    <n v="18"/>
    <s v="aastatellimus"/>
    <n v="5500"/>
    <s v="Administreerimiskulud"/>
    <n v="55"/>
    <s v="55"/>
    <s v="Muud tegevuskulud"/>
    <s v="Majandamiskulud"/>
    <s v="Põhitegevuse kulu"/>
  </r>
  <r>
    <s v="09"/>
    <x v="5"/>
    <x v="5"/>
    <s v="Alusharidus"/>
    <s v="Haridus"/>
    <s v="Kulina lasteaed"/>
    <s v="Õpetajate leht"/>
    <n v="28"/>
    <s v="aastatellimus"/>
    <n v="5500"/>
    <s v="Administreerimiskulud"/>
    <n v="55"/>
    <s v="55"/>
    <s v="Muud tegevuskulud"/>
    <s v="Majandamiskulud"/>
    <s v="Põhitegevuse kulu"/>
  </r>
  <r>
    <s v="09"/>
    <x v="5"/>
    <x v="5"/>
    <s v="Alusharidus"/>
    <s v="Haridus"/>
    <s v="Kulina lasteaed"/>
    <s v="Eliis"/>
    <n v="288"/>
    <s v="24*12 "/>
    <n v="5500"/>
    <s v="Administreerimiskulud"/>
    <n v="55"/>
    <s v="55"/>
    <s v="Muud tegevuskulud"/>
    <s v="Majandamiskulud"/>
    <s v="Põhitegevuse kulu"/>
  </r>
  <r>
    <s v="09"/>
    <x v="5"/>
    <x v="5"/>
    <s v="Alusharidus"/>
    <s v="Haridus"/>
    <s v="Kulina lasteaed"/>
    <s v="Haridus 2019"/>
    <n v="25"/>
    <s v="aasta tellimus"/>
    <n v="5500"/>
    <s v="Administreerimiskulud"/>
    <n v="55"/>
    <s v="55"/>
    <s v="Muud tegevuskulud"/>
    <s v="Majandamiskulud"/>
    <s v="Põhitegevuse kulu"/>
  </r>
  <r>
    <s v="09"/>
    <x v="5"/>
    <x v="5"/>
    <s v="Alusharidus"/>
    <s v="Haridus"/>
    <s v="Kulina lasteaed"/>
    <s v="liikmemaks"/>
    <n v="16"/>
    <s v="L-Viru Haridusjuhtide Liit"/>
    <n v="5500"/>
    <s v="Administreerimiskulud"/>
    <n v="55"/>
    <s v="55"/>
    <s v="Muud tegevuskulud"/>
    <s v="Majandamiskulud"/>
    <s v="Põhitegevuse kulu"/>
  </r>
  <r>
    <s v="09"/>
    <x v="5"/>
    <x v="5"/>
    <s v="Alusharidus"/>
    <s v="Haridus"/>
    <s v="Kulina lasteaed"/>
    <s v="printeritahm"/>
    <n v="120"/>
    <m/>
    <n v="5500"/>
    <s v="Administreerimiskulud"/>
    <n v="55"/>
    <s v="55"/>
    <s v="Muud tegevuskulud"/>
    <s v="Majandamiskulud"/>
    <s v="Põhitegevuse kulu"/>
  </r>
  <r>
    <s v="09"/>
    <x v="5"/>
    <x v="5"/>
    <s v="Alusharidus"/>
    <s v="Haridus"/>
    <s v="Kulina lasteaed"/>
    <s v="kantseleikaup"/>
    <n v="100"/>
    <s v="koopiapaber, kilekaaned jms"/>
    <n v="5500"/>
    <s v="Administreerimiskulud"/>
    <n v="55"/>
    <s v="55"/>
    <s v="Muud tegevuskulud"/>
    <s v="Majandamiskulud"/>
    <s v="Põhitegevuse kulu"/>
  </r>
  <r>
    <s v="09"/>
    <x v="5"/>
    <x v="5"/>
    <s v="Alusharidus"/>
    <s v="Haridus"/>
    <s v="Kulina lasteaed"/>
    <s v="telefon ja internet"/>
    <n v="650"/>
    <s v="Elion"/>
    <n v="5500"/>
    <s v="Administreerimiskulud"/>
    <n v="55"/>
    <s v="55"/>
    <s v="Muud tegevuskulud"/>
    <s v="Majandamiskulud"/>
    <s v="Põhitegevuse kulu"/>
  </r>
  <r>
    <s v="09"/>
    <x v="6"/>
    <x v="6"/>
    <s v="Alusharidus"/>
    <s v="Haridus"/>
    <s v="Pajusti lasteaed"/>
    <s v="Mänguväljaku rajamine"/>
    <n v="5500"/>
    <m/>
    <n v="5511"/>
    <s v="Kinnistute, hoonete ja ruumide majandamiskulud"/>
    <n v="55"/>
    <s v="55"/>
    <s v="Muud tegevuskulud"/>
    <s v="Majandamiskulud"/>
    <s v="Põhitegevuse kulu"/>
  </r>
  <r>
    <s v="09"/>
    <x v="6"/>
    <x v="6"/>
    <s v="Alusharidus"/>
    <s v="Haridus"/>
    <s v="Pajusti lasteaed"/>
    <s v="Korrashoiu- ja puhastusvahendid"/>
    <n v="967"/>
    <m/>
    <n v="5511"/>
    <s v="Kinnistute, hoonete ja ruumide majandamiskulud"/>
    <n v="55"/>
    <s v="55"/>
    <s v="Muud tegevuskulud"/>
    <s v="Majandamiskulud"/>
    <s v="Põhitegevuse kulu"/>
  </r>
  <r>
    <s v="09"/>
    <x v="6"/>
    <x v="6"/>
    <s v="Alusharidus"/>
    <s v="Haridus"/>
    <s v="Ehitusnõunik"/>
    <s v="Pajusti Lasteaia rühmaruumide remont"/>
    <n v="80000"/>
    <m/>
    <n v="1551"/>
    <s v="Rajatiste ja hoonete soetamine ja renoveerimine"/>
    <n v="15"/>
    <s v="15"/>
    <s v="Põhivara soetus (-)"/>
    <s v="Põhivara soetus (-)"/>
    <s v="Investeerimistegevus"/>
  </r>
  <r>
    <s v="09"/>
    <x v="6"/>
    <x v="6"/>
    <s v="Alusharidus"/>
    <s v="Haridus"/>
    <s v="Pajusti lasteaed"/>
    <s v="hooldused, remont, varuosad"/>
    <n v="120"/>
    <m/>
    <n v="5514"/>
    <s v="Info- ja kommunikatsioonitehnoliigised kulud"/>
    <n v="55"/>
    <s v="55"/>
    <s v="Muud tegevuskulud"/>
    <s v="Majandamiskulud"/>
    <s v="Põhitegevuse kulu"/>
  </r>
  <r>
    <s v="09"/>
    <x v="6"/>
    <x v="6"/>
    <s v="Alusharidus"/>
    <s v="Haridus"/>
    <s v="Pajusti lasteaed"/>
    <s v="ELIIS"/>
    <n v="260"/>
    <m/>
    <n v="5514"/>
    <s v="Info- ja kommunikatsioonitehnoliigised kulud"/>
    <n v="55"/>
    <s v="55"/>
    <s v="Muud tegevuskulud"/>
    <s v="Majandamiskulud"/>
    <s v="Põhitegevuse kulu"/>
  </r>
  <r>
    <s v="09"/>
    <x v="6"/>
    <x v="6"/>
    <s v="Alusharidus"/>
    <s v="Haridus"/>
    <s v="Pajusti lasteaed"/>
    <s v="prügivedu ja konteineri rent"/>
    <n v="117"/>
    <s v="R-S 3.86 J 5.84x12 kuud"/>
    <n v="5511"/>
    <s v="Kinnistute, hoonete ja ruumide majandamiskulud"/>
    <n v="55"/>
    <s v="55"/>
    <s v="Muud tegevuskulud"/>
    <s v="Majandamiskulud"/>
    <s v="Põhitegevuse kulu"/>
  </r>
  <r>
    <s v="09"/>
    <x v="6"/>
    <x v="6"/>
    <s v="Alusharidus"/>
    <s v="Haridus"/>
    <s v="Pajusti lasteaed"/>
    <s v="kanal.pumpade hooldus"/>
    <n v="240"/>
    <s v="60x 4 korda aastas"/>
    <n v="5511"/>
    <s v="Kinnistute, hoonete ja ruumide majandamiskulud"/>
    <n v="55"/>
    <s v="55"/>
    <s v="Muud tegevuskulud"/>
    <s v="Majandamiskulud"/>
    <s v="Põhitegevuse kulu"/>
  </r>
  <r>
    <s v="09"/>
    <x v="6"/>
    <x v="6"/>
    <s v="Alusharidus"/>
    <s v="Haridus"/>
    <s v="Pajusti lasteaed"/>
    <s v="pesupesemise teenus"/>
    <n v="540"/>
    <s v="45x 12 korda"/>
    <n v="5511"/>
    <s v="Kinnistute, hoonete ja ruumide majandamiskulud"/>
    <n v="55"/>
    <s v="55"/>
    <s v="Muud tegevuskulud"/>
    <s v="Majandamiskulud"/>
    <s v="Põhitegevuse kulu"/>
  </r>
  <r>
    <s v="09"/>
    <x v="6"/>
    <x v="6"/>
    <s v="Alusharidus"/>
    <s v="Haridus"/>
    <s v="Pajusti lasteaed"/>
    <s v="ATS hooldus"/>
    <n v="184"/>
    <s v="46x 4 kvartalit"/>
    <n v="5511"/>
    <s v="Kinnistute, hoonete ja ruumide majandamiskulud"/>
    <n v="55"/>
    <s v="55"/>
    <s v="Muud tegevuskulud"/>
    <s v="Majandamiskulud"/>
    <s v="Põhitegevuse kulu"/>
  </r>
  <r>
    <s v="09"/>
    <x v="6"/>
    <x v="6"/>
    <s v="Alusharidus"/>
    <s v="Haridus"/>
    <s v="Pajusti lasteaed"/>
    <s v="korrashoiuvahendid"/>
    <n v="1300"/>
    <s v="puhastusvahendid, lapid, mopid, paber"/>
    <n v="5511"/>
    <s v="Kinnistute, hoonete ja ruumide majandamiskulud"/>
    <n v="55"/>
    <s v="55"/>
    <s v="Muud tegevuskulud"/>
    <s v="Majandamiskulud"/>
    <s v="Põhitegevuse kulu"/>
  </r>
  <r>
    <s v="09"/>
    <x v="6"/>
    <x v="6"/>
    <s v="Alusharidus"/>
    <s v="Haridus"/>
    <s v="Pajusti lasteaed"/>
    <s v="vesi ja kanalisatsioon"/>
    <n v="927"/>
    <s v="2,376 eur x 390m3"/>
    <n v="5511"/>
    <s v="Kinnistute, hoonete ja ruumide majandamiskulud"/>
    <n v="55"/>
    <s v="55"/>
    <s v="Muud tegevuskulud"/>
    <s v="Majandamiskulud"/>
    <s v="Põhitegevuse kulu"/>
  </r>
  <r>
    <s v="09"/>
    <x v="6"/>
    <x v="6"/>
    <s v="Alusharidus"/>
    <s v="Haridus"/>
    <s v="Pajusti lasteaed"/>
    <s v="elekter"/>
    <n v="2860"/>
    <s v="2018.a.+ 10%"/>
    <n v="5511"/>
    <s v="Kinnistute, hoonete ja ruumide majandamiskulud"/>
    <n v="55"/>
    <s v="55"/>
    <s v="Muud tegevuskulud"/>
    <s v="Majandamiskulud"/>
    <s v="Põhitegevuse kulu"/>
  </r>
  <r>
    <s v="09"/>
    <x v="6"/>
    <x v="6"/>
    <s v="Alusharidus"/>
    <s v="Haridus"/>
    <s v="Pajusti lasteaed"/>
    <s v="küte"/>
    <n v="6951"/>
    <s v="77,2x90MVH"/>
    <n v="5511"/>
    <s v="Kinnistute, hoonete ja ruumide majandamiskulud"/>
    <n v="55"/>
    <s v="55"/>
    <s v="Muud tegevuskulud"/>
    <s v="Majandamiskulud"/>
    <s v="Põhitegevuse kulu"/>
  </r>
  <r>
    <s v="09"/>
    <x v="6"/>
    <x v="6"/>
    <s v="Alusharidus"/>
    <s v="Haridus"/>
    <s v="Pajusti lasteaed"/>
    <s v="laste õppereisid"/>
    <n v="350"/>
    <m/>
    <n v="5525"/>
    <s v="Kommunikatsiooni-, kultuuri- ja vaba aja sisustamise kulud"/>
    <n v="55"/>
    <s v="55"/>
    <s v="Muud tegevuskulud"/>
    <s v="Majandamiskulud"/>
    <s v="Põhitegevuse kulu"/>
  </r>
  <r>
    <s v="09"/>
    <x v="6"/>
    <x v="6"/>
    <s v="Alusharidus"/>
    <s v="Haridus"/>
    <s v="Pajusti lasteaed"/>
    <s v="üritused"/>
    <n v="200"/>
    <m/>
    <n v="5525"/>
    <s v="Kommunikatsiooni-, kultuuri- ja vaba aja sisustamise kulud"/>
    <n v="55"/>
    <s v="55"/>
    <s v="Muud tegevuskulud"/>
    <s v="Majandamiskulud"/>
    <s v="Põhitegevuse kulu"/>
  </r>
  <r>
    <s v="09"/>
    <x v="6"/>
    <x v="6"/>
    <s v="Alusharidus"/>
    <s v="Haridus"/>
    <s v="Pajusti lasteaed"/>
    <s v="töövihikud, raamatud, mänguasjad, metoodilised vahendid ja kirjandus"/>
    <n v="4800"/>
    <m/>
    <n v="5524"/>
    <s v="Õppevahendid"/>
    <n v="55"/>
    <s v="55"/>
    <s v="Muud tegevuskulud"/>
    <s v="Majandamiskulud"/>
    <s v="Põhitegevuse kulu"/>
  </r>
  <r>
    <s v="09"/>
    <x v="6"/>
    <x v="6"/>
    <s v="Alusharidus"/>
    <s v="Haridus"/>
    <s v="Pajusti lasteaed"/>
    <s v="töötajate tervisetõendid, esmaabivahendid"/>
    <n v="80"/>
    <m/>
    <n v="5522"/>
    <s v="Meditsiinikulud ja hügieenitarbed"/>
    <n v="55"/>
    <s v="55"/>
    <s v="Muud tegevuskulud"/>
    <s v="Majandamiskulud"/>
    <s v="Põhitegevuse kulu"/>
  </r>
  <r>
    <s v="09"/>
    <x v="6"/>
    <x v="6"/>
    <s v="Alusharidus"/>
    <s v="Haridus"/>
    <s v="Pajusti lasteaed"/>
    <s v="toiduained "/>
    <n v="6500"/>
    <s v="5483 toidupäeva (so 55%) x1.15"/>
    <n v="5521"/>
    <s v="Toiduained ja toitlustusteenused"/>
    <n v="55"/>
    <s v="55"/>
    <s v="Muud tegevuskulud"/>
    <s v="Majandamiskulud"/>
    <s v="Põhitegevuse kulu"/>
  </r>
  <r>
    <s v="09"/>
    <x v="6"/>
    <x v="6"/>
    <s v="Alusharidus"/>
    <s v="Haridus"/>
    <s v="Pajusti lasteaed"/>
    <s v="klaveri häälestamine"/>
    <n v="140"/>
    <m/>
    <n v="5515"/>
    <s v="Inventari kulud, v.a infotehnoloogia ja kaitseotstarbelised kulud"/>
    <n v="55"/>
    <s v="55"/>
    <s v="Muud tegevuskulud"/>
    <s v="Majandamiskulud"/>
    <s v="Põhitegevuse kulu"/>
  </r>
  <r>
    <s v="09"/>
    <x v="6"/>
    <x v="6"/>
    <s v="Alusharidus"/>
    <s v="Haridus"/>
    <s v="Pajusti lasteaed"/>
    <s v="rulood 2 rühma"/>
    <n v="600"/>
    <m/>
    <n v="5515"/>
    <s v="Inventari kulud, v.a infotehnoloogia ja kaitseotstarbelised kulud"/>
    <n v="55"/>
    <s v="55"/>
    <s v="Muud tegevuskulud"/>
    <s v="Majandamiskulud"/>
    <s v="Põhitegevuse kulu"/>
  </r>
  <r>
    <s v="09"/>
    <x v="6"/>
    <x v="6"/>
    <s v="Alusharidus"/>
    <s v="Haridus"/>
    <s v="Pajusti lasteaed"/>
    <s v="isikliku sõiduauto kasutus"/>
    <n v="704"/>
    <s v="64.- x 11 kuud"/>
    <n v="5513"/>
    <s v="Sõidukite ülalpidamise kulud"/>
    <n v="55"/>
    <s v="55"/>
    <s v="Muud tegevuskulud"/>
    <s v="Majandamiskulud"/>
    <s v="Põhitegevuse kulu"/>
  </r>
  <r>
    <s v="09"/>
    <x v="6"/>
    <x v="6"/>
    <s v="Alusharidus"/>
    <s v="Haridus"/>
    <s v="Pajusti lasteaed"/>
    <s v="Koolitused"/>
    <n v="300"/>
    <m/>
    <n v="5504"/>
    <s v="Koolituskulud"/>
    <n v="55"/>
    <s v="55"/>
    <s v="Muud tegevuskulud"/>
    <s v="Majandamiskulud"/>
    <s v="Põhitegevuse kulu"/>
  </r>
  <r>
    <s v="09"/>
    <x v="6"/>
    <x v="6"/>
    <s v="Alusharidus"/>
    <s v="Haridus"/>
    <s v="Pajusti lasteaed"/>
    <s v="printerite tahmad"/>
    <n v="500"/>
    <m/>
    <n v="5500"/>
    <s v="Administreerimiskulud"/>
    <n v="55"/>
    <s v="55"/>
    <s v="Muud tegevuskulud"/>
    <s v="Majandamiskulud"/>
    <s v="Põhitegevuse kulu"/>
  </r>
  <r>
    <s v="09"/>
    <x v="6"/>
    <x v="6"/>
    <s v="Alusharidus"/>
    <s v="Haridus"/>
    <s v="Pajusti lasteaed"/>
    <s v="kuulutused/ postikulu"/>
    <n v="60"/>
    <m/>
    <n v="5500"/>
    <s v="Administreerimiskulud"/>
    <n v="55"/>
    <s v="55"/>
    <s v="Muud tegevuskulud"/>
    <s v="Majandamiskulud"/>
    <s v="Põhitegevuse kulu"/>
  </r>
  <r>
    <s v="09"/>
    <x v="6"/>
    <x v="6"/>
    <s v="Alusharidus"/>
    <s v="Haridus"/>
    <s v="Pajusti lasteaed"/>
    <s v="mobiil"/>
    <n v="25"/>
    <m/>
    <n v="5500"/>
    <s v="Administreerimiskulud"/>
    <n v="55"/>
    <s v="55"/>
    <s v="Muud tegevuskulud"/>
    <s v="Majandamiskulud"/>
    <s v="Põhitegevuse kulu"/>
  </r>
  <r>
    <s v="09"/>
    <x v="6"/>
    <x v="6"/>
    <s v="Alusharidus"/>
    <s v="Haridus"/>
    <s v="Pajusti lasteaed"/>
    <s v="telefonid ja internet"/>
    <n v="760"/>
    <m/>
    <n v="5500"/>
    <s v="Administreerimiskulud"/>
    <n v="55"/>
    <s v="55"/>
    <s v="Muud tegevuskulud"/>
    <s v="Majandamiskulud"/>
    <s v="Põhitegevuse kulu"/>
  </r>
  <r>
    <s v="09"/>
    <x v="7"/>
    <x v="7"/>
    <s v="Alusharidus"/>
    <s v="Haridus"/>
    <s v="Vinni lasteaed"/>
    <s v="Kiige tn poolne trepp"/>
    <n v="500"/>
    <s v="materjali kulu"/>
    <n v="5511"/>
    <s v="Kinnistute, hoonete ja ruumide majandamiskulud"/>
    <n v="55"/>
    <s v="55"/>
    <s v="Muud tegevuskulud"/>
    <s v="Majandamiskulud"/>
    <s v="Põhitegevuse kulu"/>
  </r>
  <r>
    <s v="09"/>
    <x v="7"/>
    <x v="7"/>
    <s v="Alusharidus"/>
    <s v="Haridus"/>
    <s v="Vinni lasteaed"/>
    <s v="Mõisa kiviaed +tööriistakuur"/>
    <n v="5000"/>
    <s v="VALLA ETTEPANEK"/>
    <n v="5511"/>
    <s v="Kinnistute, hoonete ja ruumide majandamiskulud"/>
    <n v="55"/>
    <s v="55"/>
    <s v="Muud tegevuskulud"/>
    <s v="Majandamiskulud"/>
    <s v="Põhitegevuse kulu"/>
  </r>
  <r>
    <s v="09"/>
    <x v="7"/>
    <x v="7"/>
    <s v="Alusharidus"/>
    <s v="Haridus"/>
    <s v="Vinni lasteaed"/>
    <s v="Remont"/>
    <n v="200"/>
    <m/>
    <n v="5514"/>
    <s v="Info- ja kommunikatsioonitehnoliigised kulud"/>
    <n v="55"/>
    <s v="55"/>
    <s v="Muud tegevuskulud"/>
    <s v="Majandamiskulud"/>
    <s v="Põhitegevuse kulu"/>
  </r>
  <r>
    <s v="09"/>
    <x v="7"/>
    <x v="7"/>
    <s v="Alusharidus"/>
    <s v="Haridus"/>
    <s v="Vinni lasteaed"/>
    <s v="Arvutiprogrammid, hooldused"/>
    <n v="350"/>
    <s v="viirusetõrje 10x25, dropbox"/>
    <n v="5514"/>
    <s v="Info- ja kommunikatsioonitehnoliigised kulud"/>
    <n v="55"/>
    <s v="55"/>
    <s v="Muud tegevuskulud"/>
    <s v="Majandamiskulud"/>
    <s v="Põhitegevuse kulu"/>
  </r>
  <r>
    <s v="09"/>
    <x v="7"/>
    <x v="7"/>
    <s v="Alusharidus"/>
    <s v="Haridus"/>
    <s v="Vinni lasteaed"/>
    <s v="Eliis, Anc programm"/>
    <n v="850"/>
    <m/>
    <n v="5514"/>
    <s v="Info- ja kommunikatsioonitehnoliigised kulud"/>
    <n v="55"/>
    <s v="55"/>
    <s v="Muud tegevuskulud"/>
    <s v="Majandamiskulud"/>
    <s v="Põhitegevuse kulu"/>
  </r>
  <r>
    <s v="09"/>
    <x v="7"/>
    <x v="7"/>
    <s v="Alusharidus"/>
    <s v="Haridus"/>
    <s v="Vinni lasteaed"/>
    <s v="Jooksev remont-santehniline töö, turvavalgustus, mänguväljak jne"/>
    <n v="3000"/>
    <s v="materjalid, töö"/>
    <n v="5511"/>
    <s v="Kinnistute, hoonete ja ruumide majandamiskulud"/>
    <n v="55"/>
    <s v="55"/>
    <s v="Muud tegevuskulud"/>
    <s v="Majandamiskulud"/>
    <s v="Põhitegevuse kulu"/>
  </r>
  <r>
    <s v="09"/>
    <x v="7"/>
    <x v="7"/>
    <s v="Alusharidus"/>
    <s v="Haridus"/>
    <s v="Vinni lasteaed"/>
    <s v="Koristusvahendid, puhastusvahendid, paberid jne"/>
    <n v="4000"/>
    <s v="Puhastusimport OÜ, Kaupmees, Bauhof"/>
    <n v="5511"/>
    <s v="Kinnistute, hoonete ja ruumide majandamiskulud"/>
    <n v="55"/>
    <s v="55"/>
    <s v="Muud tegevuskulud"/>
    <s v="Majandamiskulud"/>
    <s v="Põhitegevuse kulu"/>
  </r>
  <r>
    <s v="09"/>
    <x v="7"/>
    <x v="7"/>
    <s v="Alusharidus"/>
    <s v="Haridus"/>
    <s v="Vinni lasteaed"/>
    <s v="Muruniiduk, murutraktor, trimmer"/>
    <n v="200"/>
    <s v="bensiin, remont, damiil"/>
    <n v="5511"/>
    <s v="Kinnistute, hoonete ja ruumide majandamiskulud"/>
    <n v="55"/>
    <s v="55"/>
    <s v="Muud tegevuskulud"/>
    <s v="Majandamiskulud"/>
    <s v="Põhitegevuse kulu"/>
  </r>
  <r>
    <s v="09"/>
    <x v="7"/>
    <x v="7"/>
    <s v="Alusharidus"/>
    <s v="Haridus"/>
    <s v="Vinni lasteaed"/>
    <s v="Kahjurtõrje"/>
    <n v="192"/>
    <s v="Rentokil OÜ 48x4"/>
    <n v="5511"/>
    <s v="Kinnistute, hoonete ja ruumide majandamiskulud"/>
    <n v="55"/>
    <s v="55"/>
    <s v="Muud tegevuskulud"/>
    <s v="Majandamiskulud"/>
    <s v="Põhitegevuse kulu"/>
  </r>
  <r>
    <s v="09"/>
    <x v="7"/>
    <x v="7"/>
    <s v="Alusharidus"/>
    <s v="Haridus"/>
    <s v="Vinni lasteaed"/>
    <s v="Liivafiltri hooldus, rasvakoguja"/>
    <n v="1200"/>
    <s v="Virumaa Veepumbakeskus OÜ, Protectpipe OÜ"/>
    <n v="5511"/>
    <s v="Kinnistute, hoonete ja ruumide majandamiskulud"/>
    <n v="55"/>
    <s v="55"/>
    <s v="Muud tegevuskulud"/>
    <s v="Majandamiskulud"/>
    <s v="Põhitegevuse kulu"/>
  </r>
  <r>
    <s v="09"/>
    <x v="7"/>
    <x v="7"/>
    <s v="Alusharidus"/>
    <s v="Haridus"/>
    <s v="Vinni lasteaed"/>
    <s v="Ats hooldus"/>
    <n v="460"/>
    <s v="U.K.V Grupp OÜ  4x115"/>
    <n v="5511"/>
    <s v="Kinnistute, hoonete ja ruumide majandamiskulud"/>
    <n v="55"/>
    <s v="55"/>
    <s v="Muud tegevuskulud"/>
    <s v="Majandamiskulud"/>
    <s v="Põhitegevuse kulu"/>
  </r>
  <r>
    <s v="09"/>
    <x v="7"/>
    <x v="7"/>
    <s v="Alusharidus"/>
    <s v="Haridus"/>
    <s v="Vinni lasteaed"/>
    <s v="Pesu pesemine"/>
    <n v="1020"/>
    <s v="Pesumaja teenus 85x12"/>
    <n v="5511"/>
    <s v="Kinnistute, hoonete ja ruumide majandamiskulud"/>
    <n v="55"/>
    <s v="55"/>
    <s v="Muud tegevuskulud"/>
    <s v="Majandamiskulud"/>
    <s v="Põhitegevuse kulu"/>
  </r>
  <r>
    <s v="09"/>
    <x v="7"/>
    <x v="7"/>
    <s v="Alusharidus"/>
    <s v="Haridus"/>
    <s v="Vinni lasteaed"/>
    <s v="Prügi"/>
    <n v="360"/>
    <s v="MTÜ L- Virumaa Jäätmekeskus, Ragnr Sells OÜ"/>
    <n v="5511"/>
    <s v="Kinnistute, hoonete ja ruumide majandamiskulud"/>
    <n v="55"/>
    <s v="55"/>
    <s v="Muud tegevuskulud"/>
    <s v="Majandamiskulud"/>
    <s v="Põhitegevuse kulu"/>
  </r>
  <r>
    <s v="09"/>
    <x v="7"/>
    <x v="7"/>
    <s v="Alusharidus"/>
    <s v="Haridus"/>
    <s v="Vinni lasteaed"/>
    <s v="Elekter"/>
    <n v="6000"/>
    <s v="Eesti Energia AS"/>
    <n v="5511"/>
    <s v="Kinnistute, hoonete ja ruumide majandamiskulud"/>
    <n v="55"/>
    <s v="55"/>
    <s v="Muud tegevuskulud"/>
    <s v="Majandamiskulud"/>
    <s v="Põhitegevuse kulu"/>
  </r>
  <r>
    <s v="09"/>
    <x v="7"/>
    <x v="7"/>
    <s v="Alusharidus"/>
    <s v="Haridus"/>
    <s v="Vinni lasteaed"/>
    <s v="Vesi, kanalisatsioon"/>
    <n v="2500"/>
    <s v="Emajõe Veevärk AS"/>
    <n v="5511"/>
    <s v="Kinnistute, hoonete ja ruumide majandamiskulud"/>
    <n v="55"/>
    <s v="55"/>
    <s v="Muud tegevuskulud"/>
    <s v="Majandamiskulud"/>
    <s v="Põhitegevuse kulu"/>
  </r>
  <r>
    <s v="09"/>
    <x v="7"/>
    <x v="7"/>
    <s v="Alusharidus"/>
    <s v="Haridus"/>
    <s v="Vinni lasteaed"/>
    <s v="soojus"/>
    <n v="18000"/>
    <s v="Askoterm OÜ"/>
    <n v="5511"/>
    <s v="Kinnistute, hoonete ja ruumide majandamiskulud"/>
    <n v="55"/>
    <s v="55"/>
    <s v="Muud tegevuskulud"/>
    <s v="Majandamiskulud"/>
    <s v="Põhitegevuse kulu"/>
  </r>
  <r>
    <s v="09"/>
    <x v="7"/>
    <x v="7"/>
    <s v="Alusharidus"/>
    <s v="Haridus"/>
    <s v="Vinni lasteaed"/>
    <s v="Ühisüritused personalile, väljasõidud"/>
    <n v="2000"/>
    <s v="bussi tellimine, ruumide rent"/>
    <n v="5525"/>
    <s v="Kommunikatsiooni-, kultuuri- ja vaba aja sisustamise kulud"/>
    <n v="55"/>
    <s v="55"/>
    <s v="Muud tegevuskulud"/>
    <s v="Majandamiskulud"/>
    <s v="Põhitegevuse kulu"/>
  </r>
  <r>
    <s v="09"/>
    <x v="7"/>
    <x v="7"/>
    <s v="Alusharidus"/>
    <s v="Haridus"/>
    <s v="Vinni lasteaed"/>
    <s v="Mängupeod, väljasõidud, ühisüritused lastele"/>
    <n v="2000"/>
    <s v="auhinnad, bussi tellimine"/>
    <n v="5525"/>
    <s v="Kommunikatsiooni-, kultuuri- ja vaba aja sisustamise kulud"/>
    <n v="55"/>
    <s v="55"/>
    <s v="Muud tegevuskulud"/>
    <s v="Majandamiskulud"/>
    <s v="Põhitegevuse kulu"/>
  </r>
  <r>
    <s v="09"/>
    <x v="7"/>
    <x v="7"/>
    <s v="Alusharidus"/>
    <s v="Haridus"/>
    <s v="Vinni lasteaed"/>
    <s v="Mänguvahendid, õpikud, töövihikud"/>
    <n v="4400"/>
    <m/>
    <n v="5524"/>
    <s v="Õppevahendid"/>
    <n v="55"/>
    <s v="55"/>
    <s v="Muud tegevuskulud"/>
    <s v="Majandamiskulud"/>
    <s v="Põhitegevuse kulu"/>
  </r>
  <r>
    <s v="09"/>
    <x v="7"/>
    <x v="7"/>
    <s v="Alusharidus"/>
    <s v="Haridus"/>
    <s v="Vinni lasteaed"/>
    <s v="Paberid, värvid, pliiatsid, pintslid, liimid,meisterdamis vahendid jne"/>
    <n v="4400"/>
    <m/>
    <n v="5524"/>
    <s v="Õppevahendid"/>
    <n v="55"/>
    <s v="55"/>
    <s v="Muud tegevuskulud"/>
    <s v="Majandamiskulud"/>
    <s v="Põhitegevuse kulu"/>
  </r>
  <r>
    <s v="09"/>
    <x v="7"/>
    <x v="7"/>
    <s v="Alusharidus"/>
    <s v="Haridus"/>
    <s v="Vinni lasteaed"/>
    <s v="Lasteraamatud ja teatmeteosed"/>
    <n v="500"/>
    <m/>
    <n v="5523"/>
    <s v="Teavikud ja kunstiesemed"/>
    <n v="55"/>
    <s v="55"/>
    <s v="Muud tegevuskulud"/>
    <s v="Majandamiskulud"/>
    <s v="Põhitegevuse kulu"/>
  </r>
  <r>
    <s v="09"/>
    <x v="7"/>
    <x v="7"/>
    <s v="Alusharidus"/>
    <s v="Haridus"/>
    <s v="Vinni lasteaed"/>
    <s v="Erialane pedagoogiline kirjandus"/>
    <n v="500"/>
    <m/>
    <n v="5523"/>
    <s v="Teavikud ja kunstiesemed"/>
    <n v="55"/>
    <s v="55"/>
    <s v="Muud tegevuskulud"/>
    <s v="Majandamiskulud"/>
    <s v="Põhitegevuse kulu"/>
  </r>
  <r>
    <s v="09"/>
    <x v="7"/>
    <x v="7"/>
    <s v="Alusharidus"/>
    <s v="Haridus"/>
    <s v="Vinni lasteaed"/>
    <s v="Korralised med. tõendid"/>
    <n v="200"/>
    <s v="tervise tõend, töötervishoiu arst"/>
    <n v="5522"/>
    <s v="Meditsiinikulud ja hügieenitarbed"/>
    <n v="55"/>
    <s v="55"/>
    <s v="Muud tegevuskulud"/>
    <s v="Majandamiskulud"/>
    <s v="Põhitegevuse kulu"/>
  </r>
  <r>
    <s v="09"/>
    <x v="7"/>
    <x v="7"/>
    <s v="Alusharidus"/>
    <s v="Haridus"/>
    <s v="Vinni lasteaed"/>
    <s v="Hügieenitarbed"/>
    <n v="300"/>
    <s v="plaastrid, des.vahendid jne"/>
    <n v="5522"/>
    <s v="Meditsiinikulud ja hügieenitarbed"/>
    <n v="55"/>
    <s v="55"/>
    <s v="Muud tegevuskulud"/>
    <s v="Majandamiskulud"/>
    <s v="Põhitegevuse kulu"/>
  </r>
  <r>
    <s v="09"/>
    <x v="7"/>
    <x v="7"/>
    <s v="Alusharidus"/>
    <s v="Haridus"/>
    <s v="Vinni lasteaed"/>
    <s v="toidupäevade arv x 1,60 euroga- 25% puudumised"/>
    <n v="22000"/>
    <m/>
    <n v="5521"/>
    <s v="Toiduained ja toitlustusteenused"/>
    <n v="55"/>
    <s v="55"/>
    <s v="Muud tegevuskulud"/>
    <s v="Majandamiskulud"/>
    <s v="Põhitegevuse kulu"/>
  </r>
  <r>
    <s v="09"/>
    <x v="7"/>
    <x v="7"/>
    <s v="Alusharidus"/>
    <s v="Haridus"/>
    <s v="Vinni lasteaed"/>
    <s v="Lumepuhur"/>
    <n v="1000"/>
    <m/>
    <n v="5515"/>
    <s v="Inventari kulud, v.a infotehnoloogia ja kaitseotstarbelised kulud"/>
    <n v="55"/>
    <s v="55"/>
    <s v="Muud tegevuskulud"/>
    <s v="Majandamiskulud"/>
    <s v="Põhitegevuse kulu"/>
  </r>
  <r>
    <s v="09"/>
    <x v="7"/>
    <x v="7"/>
    <s v="Alusharidus"/>
    <s v="Haridus"/>
    <s v="Vinni lasteaed"/>
    <s v="Süntesaator"/>
    <n v="1500"/>
    <m/>
    <n v="5515"/>
    <s v="Inventari kulud, v.a infotehnoloogia ja kaitseotstarbelised kulud"/>
    <n v="55"/>
    <s v="55"/>
    <s v="Muud tegevuskulud"/>
    <s v="Majandamiskulud"/>
    <s v="Põhitegevuse kulu"/>
  </r>
  <r>
    <s v="09"/>
    <x v="7"/>
    <x v="7"/>
    <s v="Alusharidus"/>
    <s v="Haridus"/>
    <s v="Vinni lasteaed"/>
    <s v="Isikliku sõiduauto kasutus"/>
    <n v="1536"/>
    <s v="12x 64 x 2autot"/>
    <n v="5513"/>
    <s v="Sõidukite ülalpidamise kulud"/>
    <n v="55"/>
    <s v="55"/>
    <s v="Muud tegevuskulud"/>
    <s v="Majandamiskulud"/>
    <s v="Põhitegevuse kulu"/>
  </r>
  <r>
    <s v="09"/>
    <x v="7"/>
    <x v="7"/>
    <s v="Alusharidus"/>
    <s v="Haridus"/>
    <s v="Vinni lasteaed"/>
    <s v="Lähetus"/>
    <n v="300"/>
    <s v="bussipiletid, kütus"/>
    <n v="5504"/>
    <s v="Koolituskulud"/>
    <n v="55"/>
    <s v="55"/>
    <s v="Muud tegevuskulud"/>
    <s v="Majandamiskulud"/>
    <s v="Põhitegevuse kulu"/>
  </r>
  <r>
    <s v="09"/>
    <x v="7"/>
    <x v="7"/>
    <s v="Alusharidus"/>
    <s v="Haridus"/>
    <s v="Vinni lasteaed"/>
    <s v="Ainesektsioonid"/>
    <n v="300"/>
    <m/>
    <n v="5504"/>
    <s v="Koolituskulud"/>
    <n v="55"/>
    <s v="55"/>
    <s v="Muud tegevuskulud"/>
    <s v="Majandamiskulud"/>
    <s v="Põhitegevuse kulu"/>
  </r>
  <r>
    <s v="09"/>
    <x v="7"/>
    <x v="7"/>
    <s v="Alusharidus"/>
    <s v="Haridus"/>
    <s v="Vinni lasteaed"/>
    <s v="Tellitud koolitused majja"/>
    <n v="500"/>
    <m/>
    <n v="5504"/>
    <s v="Koolituskulud"/>
    <n v="55"/>
    <s v="55"/>
    <s v="Muud tegevuskulud"/>
    <s v="Majandamiskulud"/>
    <s v="Põhitegevuse kulu"/>
  </r>
  <r>
    <s v="09"/>
    <x v="7"/>
    <x v="7"/>
    <s v="Alusharidus"/>
    <s v="Haridus"/>
    <s v="Vinni lasteaed"/>
    <s v="Koolitused pedagoogidele"/>
    <n v="1200"/>
    <m/>
    <n v="5504"/>
    <s v="Koolituskulud"/>
    <n v="55"/>
    <s v="55"/>
    <s v="Muud tegevuskulud"/>
    <s v="Majandamiskulud"/>
    <s v="Põhitegevuse kulu"/>
  </r>
  <r>
    <s v="09"/>
    <x v="7"/>
    <x v="7"/>
    <s v="Alusharidus"/>
    <s v="Haridus"/>
    <s v="Vinni lasteaed"/>
    <s v="Kantseleikaubad"/>
    <n v="450"/>
    <s v="paber, pastakad, tahm jne"/>
    <n v="5500"/>
    <s v="Administreerimiskulud"/>
    <n v="55"/>
    <s v="55"/>
    <s v="Muud tegevuskulud"/>
    <s v="Majandamiskulud"/>
    <s v="Põhitegevuse kulu"/>
  </r>
  <r>
    <s v="09"/>
    <x v="7"/>
    <x v="7"/>
    <s v="Alusharidus"/>
    <s v="Haridus"/>
    <s v="Vinni lasteaed"/>
    <s v="Ajalehed, tööalane kirjandus, kuulutused"/>
    <n v="500"/>
    <s v="Õpetajate leht, tööalased teavikud jne"/>
    <n v="5500"/>
    <s v="Administreerimiskulud"/>
    <n v="55"/>
    <s v="55"/>
    <s v="Muud tegevuskulud"/>
    <s v="Majandamiskulud"/>
    <s v="Põhitegevuse kulu"/>
  </r>
  <r>
    <s v="09"/>
    <x v="7"/>
    <x v="7"/>
    <s v="Alusharidus"/>
    <s v="Haridus"/>
    <s v="Vinni lasteaed"/>
    <s v="Telefonid, internett"/>
    <n v="800"/>
    <s v="Telia"/>
    <n v="5500"/>
    <s v="Administreerimiskulud"/>
    <n v="55"/>
    <s v="55"/>
    <s v="Muud tegevuskulud"/>
    <s v="Majandamiskulud"/>
    <s v="Põhitegevuse kulu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87">
  <r>
    <s v="09"/>
    <s v="0921207         "/>
    <x v="0"/>
    <s v="Põhihariduse otsekulud"/>
    <s v="Haridus"/>
    <s v="Põlula kool"/>
    <s v="Pedagoogilised õppevahendid"/>
    <n v="627"/>
    <s v="Ped."/>
    <n v="5524"/>
    <s v="Õppevahendid"/>
    <n v="55"/>
    <s v="55"/>
    <s v="Muud tegevuskulud"/>
    <s v="Majandamiskulud"/>
    <s v="Põhitegevuse kulu"/>
  </r>
  <r>
    <s v="09"/>
    <s v="0921207         "/>
    <x v="0"/>
    <s v="Põhihariduse otsekulud"/>
    <s v="Haridus"/>
    <s v="Põlula kool"/>
    <s v="IT alased hooldustööd"/>
    <n v="2500"/>
    <m/>
    <n v="5514"/>
    <s v="Info- ja kommunikatsioonitehnoliigised kulud"/>
    <n v="55"/>
    <s v="55"/>
    <s v="Muud tegevuskulud"/>
    <s v="Majandamiskulud"/>
    <s v="Põhitegevuse kulu"/>
  </r>
  <r>
    <s v="09"/>
    <s v="0921207         "/>
    <x v="0"/>
    <s v="Põhihariduse otsekulud"/>
    <s v="Haridus"/>
    <s v="Põlula kool"/>
    <s v="käiduteenus"/>
    <n v="500"/>
    <m/>
    <n v="5511"/>
    <s v="Kinnistute, hoonete ja ruumide majandamiskulud"/>
    <n v="55"/>
    <s v="55"/>
    <s v="Muud tegevuskulud"/>
    <s v="Majandamiskulud"/>
    <s v="Põhitegevuse kulu"/>
  </r>
  <r>
    <s v="09"/>
    <s v="0921207         "/>
    <x v="0"/>
    <s v="Põhihariduse otsekulud"/>
    <s v="Haridus"/>
    <s v="Põlula kool"/>
    <s v="laboratoorsed analüüsid"/>
    <n v="500"/>
    <m/>
    <n v="5511"/>
    <s v="Kinnistute, hoonete ja ruumide majandamiskulud"/>
    <n v="55"/>
    <s v="55"/>
    <s v="Muud tegevuskulud"/>
    <s v="Majandamiskulud"/>
    <s v="Põhitegevuse kulu"/>
  </r>
  <r>
    <s v="09"/>
    <s v="0921207         "/>
    <x v="0"/>
    <s v="Põhihariduse otsekulud"/>
    <s v="Haridus"/>
    <s v="Põlula kool"/>
    <s v="prügi vedu"/>
    <n v="600"/>
    <m/>
    <n v="5511"/>
    <s v="Kinnistute, hoonete ja ruumide majandamiskulud"/>
    <n v="55"/>
    <s v="55"/>
    <s v="Muud tegevuskulud"/>
    <s v="Majandamiskulud"/>
    <s v="Põhitegevuse kulu"/>
  </r>
  <r>
    <s v="09"/>
    <s v="0921207         "/>
    <x v="0"/>
    <s v="Põhihariduse otsekulud"/>
    <s v="Haridus"/>
    <s v="Põlula kool"/>
    <s v="valvesignalisatsioon"/>
    <n v="1500"/>
    <m/>
    <n v="5511"/>
    <s v="Kinnistute, hoonete ja ruumide majandamiskulud"/>
    <n v="55"/>
    <s v="55"/>
    <s v="Muud tegevuskulud"/>
    <s v="Majandamiskulud"/>
    <s v="Põhitegevuse kulu"/>
  </r>
  <r>
    <s v="09"/>
    <s v="0921207         "/>
    <x v="0"/>
    <s v="Põhihariduse otsekulud"/>
    <s v="Haridus"/>
    <s v="Põlula kool"/>
    <s v="elekter"/>
    <n v="17000"/>
    <m/>
    <n v="5511"/>
    <s v="Kinnistute, hoonete ja ruumide majandamiskulud"/>
    <n v="55"/>
    <s v="55"/>
    <s v="Muud tegevuskulud"/>
    <s v="Majandamiskulud"/>
    <s v="Põhitegevuse kulu"/>
  </r>
  <r>
    <s v="09"/>
    <s v="0921207         "/>
    <x v="0"/>
    <s v="Põhihariduse otsekulud"/>
    <s v="Haridus"/>
    <s v="Põlula kool"/>
    <s v="majanduskaup kooli ja sööklasse"/>
    <n v="3000"/>
    <m/>
    <n v="5511"/>
    <s v="Kinnistute, hoonete ja ruumide majandamiskulud"/>
    <n v="55"/>
    <s v="55"/>
    <s v="Muud tegevuskulud"/>
    <s v="Majandamiskulud"/>
    <s v="Põhitegevuse kulu"/>
  </r>
  <r>
    <s v="09"/>
    <s v="0921207         "/>
    <x v="0"/>
    <s v="Põhihariduse otsekulud"/>
    <s v="Haridus"/>
    <s v="Põlula kool"/>
    <s v="hoonete kindlustus"/>
    <n v="600"/>
    <m/>
    <n v="5511"/>
    <s v="Kinnistute, hoonete ja ruumide majandamiskulud"/>
    <n v="55"/>
    <s v="55"/>
    <s v="Muud tegevuskulud"/>
    <s v="Majandamiskulud"/>
    <s v="Põhitegevuse kulu"/>
  </r>
  <r>
    <s v="09"/>
    <s v="0921207         "/>
    <x v="0"/>
    <s v="Põhihariduse otsekulud"/>
    <s v="Haridus"/>
    <s v="Põlula kool"/>
    <s v="Ürituste transport"/>
    <n v="1000"/>
    <m/>
    <n v="5525"/>
    <s v="Kommunikatsiooni-, kultuuri- ja vaba aja sisustamise kulud"/>
    <n v="55"/>
    <s v="55"/>
    <s v="Muud tegevuskulud"/>
    <s v="Majandamiskulud"/>
    <s v="Põhitegevuse kulu"/>
  </r>
  <r>
    <s v="09"/>
    <s v="0921207         "/>
    <x v="0"/>
    <s v="Põhihariduse otsekulud"/>
    <s v="Haridus"/>
    <s v="Põlula kool"/>
    <s v="koopiapaber 100 eurot, värviline paber 100 eurot, kunstitarbed 600 eurot"/>
    <n v="800"/>
    <m/>
    <n v="5524"/>
    <s v="Õppevahendid"/>
    <n v="55"/>
    <s v="55"/>
    <s v="Muud tegevuskulud"/>
    <s v="Majandamiskulud"/>
    <s v="Põhitegevuse kulu"/>
  </r>
  <r>
    <s v="09"/>
    <s v="0921207         "/>
    <x v="0"/>
    <s v="Põhihariduse otsekulud"/>
    <s v="Haridus"/>
    <s v="Põlula kool"/>
    <s v="õpikud, töövihikud  300 eurot"/>
    <n v="300"/>
    <m/>
    <n v="5524"/>
    <s v="Õppevahendid"/>
    <n v="55"/>
    <s v="55"/>
    <s v="Muud tegevuskulud"/>
    <s v="Majandamiskulud"/>
    <s v="Põhitegevuse kulu"/>
  </r>
  <r>
    <s v="09"/>
    <s v="0921207         "/>
    <x v="0"/>
    <s v="Põhihariduse otsekulud"/>
    <s v="Haridus"/>
    <s v="Põlula kool"/>
    <s v="tööõpetuse abivahendid- 500 eurot"/>
    <n v="500"/>
    <m/>
    <n v="5524"/>
    <s v="Õppevahendid"/>
    <n v="55"/>
    <s v="55"/>
    <s v="Muud tegevuskulud"/>
    <s v="Majandamiskulud"/>
    <s v="Põhitegevuse kulu"/>
  </r>
  <r>
    <s v="09"/>
    <s v="0921207         "/>
    <x v="0"/>
    <s v="Põhihariduse otsekulud"/>
    <s v="Haridus"/>
    <s v="Põlula kool"/>
    <s v="tavatoonerid tk. 5  400 eurot"/>
    <n v="400"/>
    <m/>
    <n v="5500"/>
    <s v="Administreerimiskulud"/>
    <n v="55"/>
    <s v="55"/>
    <s v="Muud tegevuskulud"/>
    <s v="Majandamiskulud"/>
    <s v="Põhitegevuse kulu"/>
  </r>
  <r>
    <s v="09"/>
    <s v="0921207         "/>
    <x v="0"/>
    <s v="Põhihariduse otsekulud"/>
    <s v="Haridus"/>
    <s v="Põlula kool"/>
    <s v="värvitoonerid tk.3 300 eurot"/>
    <n v="300"/>
    <m/>
    <n v="5500"/>
    <s v="Administreerimiskulud"/>
    <n v="55"/>
    <s v="55"/>
    <s v="Muud tegevuskulud"/>
    <s v="Majandamiskulud"/>
    <s v="Põhitegevuse kulu"/>
  </r>
  <r>
    <s v="09"/>
    <s v="0921207         "/>
    <x v="0"/>
    <s v="Põhihariduse otsekulud"/>
    <s v="Haridus"/>
    <s v="Põlula kool"/>
    <s v="muud õppevahendid 300 eurot"/>
    <n v="300"/>
    <m/>
    <n v="5524"/>
    <s v="Õppevahendid"/>
    <n v="55"/>
    <s v="55"/>
    <s v="Muud tegevuskulud"/>
    <s v="Majandamiskulud"/>
    <s v="Põhitegevuse kulu"/>
  </r>
  <r>
    <s v="09"/>
    <s v="0921207         "/>
    <x v="0"/>
    <s v="Põhihariduse otsekulud"/>
    <s v="Haridus"/>
    <s v="Põlula kool"/>
    <s v="esmaabivahendid 100 eurot"/>
    <n v="100"/>
    <m/>
    <n v="5522"/>
    <s v="Meditsiinikulud ja hügieenitarbed"/>
    <n v="55"/>
    <s v="55"/>
    <s v="Muud tegevuskulud"/>
    <s v="Majandamiskulud"/>
    <s v="Põhitegevuse kulu"/>
  </r>
  <r>
    <s v="09"/>
    <s v="0921207         "/>
    <x v="0"/>
    <s v="Põhihariduse otsekulud"/>
    <s v="Haridus"/>
    <s v="Põlula kool"/>
    <s v="Toiduained"/>
    <n v="1925"/>
    <s v="Ped."/>
    <n v="5521"/>
    <s v="Toiduained ja toitlustusteenused"/>
    <n v="55"/>
    <s v="55"/>
    <s v="Muud tegevuskulud"/>
    <s v="Majandamiskulud"/>
    <s v="Põhitegevuse kulu"/>
  </r>
  <r>
    <s v="09"/>
    <s v="0921207         "/>
    <x v="0"/>
    <s v="Põhihariduse otsekulud"/>
    <s v="Haridus"/>
    <s v="Põlula kool"/>
    <s v="Toiduained"/>
    <n v="3075"/>
    <m/>
    <n v="5521"/>
    <s v="Toiduained ja toitlustusteenused"/>
    <n v="55"/>
    <s v="55"/>
    <s v="Muud tegevuskulud"/>
    <s v="Majandamiskulud"/>
    <s v="Põhitegevuse kulu"/>
  </r>
  <r>
    <s v="09"/>
    <s v="0921207         "/>
    <x v="0"/>
    <s v="Põhihariduse otsekulud"/>
    <s v="Haridus"/>
    <s v="Põlula kool"/>
    <s v="murutrimmeri remont 100 eurot"/>
    <n v="100"/>
    <m/>
    <n v="5515"/>
    <s v="Inventari kulud, v.a infotehnoloogia ja kaitseotstarbelised kulud"/>
    <n v="55"/>
    <s v="55"/>
    <s v="Muud tegevuskulud"/>
    <s v="Majandamiskulud"/>
    <s v="Põhitegevuse kulu"/>
  </r>
  <r>
    <s v="09"/>
    <s v="0921207         "/>
    <x v="0"/>
    <s v="Põhihariduse otsekulud"/>
    <s v="Haridus"/>
    <s v="Põlula kool"/>
    <s v="aiakäru soetus tk.1 100 eurot"/>
    <n v="100"/>
    <m/>
    <n v="5515"/>
    <s v="Inventari kulud, v.a infotehnoloogia ja kaitseotstarbelised kulud"/>
    <n v="55"/>
    <s v="55"/>
    <s v="Muud tegevuskulud"/>
    <s v="Majandamiskulud"/>
    <s v="Põhitegevuse kulu"/>
  </r>
  <r>
    <s v="09"/>
    <s v="0921207         "/>
    <x v="0"/>
    <s v="Põhihariduse otsekulud"/>
    <s v="Haridus"/>
    <s v="Põlula kool"/>
    <s v="nõudepesumasina hooldus 200 eurot"/>
    <n v="200"/>
    <m/>
    <n v="5515"/>
    <s v="Inventari kulud, v.a infotehnoloogia ja kaitseotstarbelised kulud"/>
    <n v="55"/>
    <s v="55"/>
    <s v="Muud tegevuskulud"/>
    <s v="Majandamiskulud"/>
    <s v="Põhitegevuse kulu"/>
  </r>
  <r>
    <s v="09"/>
    <s v="0921207         "/>
    <x v="0"/>
    <s v="Põhihariduse otsekulud"/>
    <s v="Haridus"/>
    <s v="Põlula kool"/>
    <s v="muud ettenägematud kulud 200 eurot"/>
    <n v="200"/>
    <m/>
    <n v="5515"/>
    <s v="Inventari kulud, v.a infotehnoloogia ja kaitseotstarbelised kulud"/>
    <n v="55"/>
    <s v="55"/>
    <s v="Muud tegevuskulud"/>
    <s v="Majandamiskulud"/>
    <s v="Põhitegevuse kulu"/>
  </r>
  <r>
    <s v="09"/>
    <s v="0921207         "/>
    <x v="0"/>
    <s v="Põhihariduse otsekulud"/>
    <s v="Haridus"/>
    <s v="Põlula kool"/>
    <s v="autopargi hooldus"/>
    <n v="100"/>
    <m/>
    <n v="5513"/>
    <s v="Sõidukite ülalpidamise kulud"/>
    <n v="55"/>
    <s v="55"/>
    <s v="Muud tegevuskulud"/>
    <s v="Majandamiskulud"/>
    <s v="Põhitegevuse kulu"/>
  </r>
  <r>
    <s v="09"/>
    <s v="0921207         "/>
    <x v="0"/>
    <s v="Põhihariduse otsekulud"/>
    <s v="Haridus"/>
    <s v="Põlula kool"/>
    <s v="isikliku auto kasutus"/>
    <n v="2750"/>
    <m/>
    <n v="5513"/>
    <s v="Sõidukite ülalpidamise kulud"/>
    <n v="55"/>
    <s v="55"/>
    <s v="Muud tegevuskulud"/>
    <s v="Majandamiskulud"/>
    <s v="Põhitegevuse kulu"/>
  </r>
  <r>
    <s v="09"/>
    <s v="0921207         "/>
    <x v="0"/>
    <s v="Põhihariduse otsekulud"/>
    <s v="Haridus"/>
    <s v="Põlula kool"/>
    <s v="Pedagoogilised koolitused"/>
    <n v="200"/>
    <s v="Ped."/>
    <n v="5504"/>
    <s v="Koolituskulud"/>
    <n v="55"/>
    <s v="55"/>
    <s v="Muud tegevuskulud"/>
    <s v="Majandamiskulud"/>
    <s v="Põhitegevuse kulu"/>
  </r>
  <r>
    <s v="09"/>
    <s v="0921207         "/>
    <x v="0"/>
    <s v="Põhihariduse otsekulud"/>
    <s v="Haridus"/>
    <s v="Põlula kool"/>
    <s v="koolitused"/>
    <n v="1300"/>
    <m/>
    <n v="5504"/>
    <s v="Koolituskulud"/>
    <n v="55"/>
    <s v="55"/>
    <s v="Muud tegevuskulud"/>
    <s v="Majandamiskulud"/>
    <s v="Põhitegevuse kulu"/>
  </r>
  <r>
    <s v="09"/>
    <s v="0921207         "/>
    <x v="0"/>
    <s v="Põhihariduse otsekulud"/>
    <s v="Haridus"/>
    <s v="Põlula kool"/>
    <s v="kontoritarbed"/>
    <n v="500"/>
    <m/>
    <n v="5500"/>
    <s v="Administreerimiskulud"/>
    <n v="55"/>
    <s v="55"/>
    <s v="Muud tegevuskulud"/>
    <s v="Majandamiskulud"/>
    <s v="Põhitegevuse kulu"/>
  </r>
  <r>
    <s v="09"/>
    <s v="0921206         "/>
    <x v="1"/>
    <s v="Põhihariduse otsekulud"/>
    <s v="Haridus"/>
    <s v="Haridusnõunik"/>
    <s v="Kohatasud "/>
    <n v="87579"/>
    <s v="põhikool"/>
    <n v="5524"/>
    <s v="Õppevahendi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Pedagoogilised õppevahendid"/>
    <n v="22971"/>
    <s v="Ped."/>
    <n v="5524"/>
    <s v="Õppevahendi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Pedagoogilised koolitused"/>
    <n v="7036"/>
    <s v="Ped."/>
    <n v="5504"/>
    <s v="Koolitus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Infotabloo"/>
    <n v="8000"/>
    <s v="Info edastamine õpilastele, õpetajatele ja vanematele"/>
    <n v="5515"/>
    <s v="Inventari kulud, v.a infotehnoloogia ja kaitseotstarbelised 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Valveseadmed"/>
    <n v="1000"/>
    <s v="Valveseadmete korrastamine ja uuendamine"/>
    <n v="5511"/>
    <s v="Kinnistute, hoonete ja ruumide majandamis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Arvutipargi uuendus"/>
    <n v="2500"/>
    <s v="Vananevad arvutid vajavad uuendust ja vahetamist "/>
    <n v="5514"/>
    <s v="Info- ja kommunikatsioonitehnoliigised 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Klassimööbel"/>
    <n v="8500"/>
    <s v="Õppevahendite hoiustamise kapid (6 klassi)"/>
    <n v="5515"/>
    <s v="Inventari kulud, v.a infotehnoloogia ja kaitseotstarbelised 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Võrguseadmed"/>
    <n v="1000"/>
    <s v="Sisevõrgu korrastamine ja uuendamine"/>
    <n v="5514"/>
    <s v="Info- ja kommunikatsioonitehnoliigised 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Projektorid"/>
    <n v="2500"/>
    <s v="5 projektorit vajavad vahetamist"/>
    <n v="5515"/>
    <s v="Inventari kulud, v.a infotehnoloogia ja kaitseotstarbelised 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Spordiinventaar"/>
    <n v="10000"/>
    <s v="Matid on vanad ja vajavad vahetamist ning uuendamist,"/>
    <n v="5515"/>
    <s v="Inventari kulud, v.a infotehnoloogia ja kaitseotstarbelised 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Toiduained"/>
    <n v="70525"/>
    <s v="Ped."/>
    <n v="5521"/>
    <s v="Toiduained ja toitlustusteenuse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Vinni-Pajusti Gümnaasiumi küttesüsteemi rekonstrueerimine"/>
    <n v="60000"/>
    <m/>
    <n v="1551"/>
    <s v="Rajatiste ja hoonete soetamine ja renoveerimine"/>
    <n v="15"/>
    <s v="15"/>
    <s v="Põhivara soetus (-)"/>
    <s v="Põhivara soetus (-)"/>
    <s v="Investeerimistegevus"/>
  </r>
  <r>
    <s v="09"/>
    <s v="0921205         "/>
    <x v="2"/>
    <s v="Põhihariduse otsekulud"/>
    <s v="Haridus"/>
    <s v="Vinni-Pajusti Gümnaasium"/>
    <s v="tarkvara litsensid"/>
    <n v="2500"/>
    <m/>
    <n v="5514"/>
    <s v="Info- ja kommunikatsioonitehnoliigised 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arvutite värskendus(mälu,kõvaketad"/>
    <n v="2000"/>
    <m/>
    <n v="5514"/>
    <s v="Info- ja kommunikatsioonitehnoliigised 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remont"/>
    <n v="10000"/>
    <s v="pisiremont(san.remont)"/>
    <n v="5511"/>
    <s v="Kinnistute, hoonete ja ruumide majandamis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ventilatsiooni hooldus"/>
    <n v="2500"/>
    <s v="hooldus+filtrid"/>
    <n v="5511"/>
    <s v="Kinnistute, hoonete ja ruumide majandamis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Rentokil-kahjuritõrjeteenus"/>
    <n v="260"/>
    <m/>
    <n v="5511"/>
    <s v="Kinnistute, hoonete ja ruumide majandamis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USS Securiry"/>
    <n v="385"/>
    <m/>
    <n v="5511"/>
    <s v="Kinnistute, hoonete ja ruumide majandamis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G4S AS"/>
    <n v="940"/>
    <m/>
    <n v="5511"/>
    <s v="Kinnistute, hoonete ja ruumide majandamis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KH ENERGIA KONSULT"/>
    <n v="922"/>
    <m/>
    <n v="5511"/>
    <s v="Kinnistute, hoonete ja ruumide majandamis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ATS hooldus"/>
    <n v="1420"/>
    <s v="KEK Elekter"/>
    <n v="5511"/>
    <s v="Kinnistute, hoonete ja ruumide majandamis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Lindström vaipade pesu"/>
    <n v="986"/>
    <m/>
    <n v="5511"/>
    <s v="Kinnistute, hoonete ja ruumide majandamis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prügivedu"/>
    <n v="850"/>
    <m/>
    <n v="5511"/>
    <s v="Kinnistute, hoonete ja ruumide majandamis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korrashoiuvahendid"/>
    <n v="10000"/>
    <s v="puh.vahendid, paber jne"/>
    <n v="5511"/>
    <s v="Kinnistute, hoonete ja ruumide majandamis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vesi- ja kanalisatsioon"/>
    <n v="11000"/>
    <s v="aasta tarbimine 2800m3 x ???"/>
    <n v="5511"/>
    <s v="Kinnistute, hoonete ja ruumide majandamis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elekter"/>
    <n v="37894"/>
    <s v="24000 Kwa x"/>
    <n v="5511"/>
    <s v="Kinnistute, hoonete ja ruumide majandamis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küte"/>
    <n v="115000"/>
    <s v="1200 MWH x ???"/>
    <n v="5511"/>
    <s v="Kinnistute, hoonete ja ruumide majandamis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meened"/>
    <n v="3500"/>
    <m/>
    <n v="5525"/>
    <s v="Kommunikatsiooni-, kultuuri- ja vaba aja sisustamise 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mälumängud,spordivõistlused jm"/>
    <n v="13000"/>
    <m/>
    <n v="5525"/>
    <s v="Kommunikatsiooni-, kultuuri- ja vaba aja sisustamise 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õppetransport"/>
    <n v="20000"/>
    <m/>
    <n v="5524"/>
    <s v="Õppevahendi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paljunduspaber"/>
    <n v="1700"/>
    <m/>
    <n v="5524"/>
    <s v="Õppevahendi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õpik,töövihik,mänguasjad jm"/>
    <n v="35000"/>
    <m/>
    <n v="5524"/>
    <s v="Õppevahendi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esmaabi vahendid,korral.med"/>
    <n v="1500"/>
    <s v="med.tõend, vaktsineerimised,esmaabi vahendid"/>
    <n v="5522"/>
    <s v="Meditsiinikulud ja hügieenitarbe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remonditööd ja hooldus"/>
    <n v="5000"/>
    <m/>
    <n v="5515"/>
    <s v="Inventari kulud, v.a infotehnoloogia ja kaitseotstarbelised 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tehn.hoole"/>
    <n v="850"/>
    <s v="3 autot"/>
    <n v="5513"/>
    <s v="Sõidukite ülalpidamise 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autohüvitus(toiger,reimets)"/>
    <n v="1900"/>
    <s v="(40+150)x10kuud"/>
    <n v="5513"/>
    <s v="Sõidukite ülalpidamise 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kindlustus"/>
    <n v="1750"/>
    <s v="liiklus+kasko 3 autot"/>
    <n v="5513"/>
    <s v="Sõidukite ülalpidamise 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remont+liising"/>
    <n v="11000"/>
    <s v="Kallaste 249,Albert 220,buss 420x12 kuud "/>
    <n v="5513"/>
    <s v="Sõidukite ülalpidamise 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Kütus ja isikliku sõiduauto komp."/>
    <n v="7000"/>
    <s v="Kallaste 135,Albert 185,buss 200 x 12 kuud"/>
    <n v="5513"/>
    <s v="Sõidukite ülalpidamise 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koolituste plaan"/>
    <n v="800"/>
    <s v="lisatud eraldi dokumendina"/>
    <n v="5504"/>
    <s v="Koolitus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televisioon"/>
    <n v="150"/>
    <s v="kaabel TV, Telia"/>
    <n v="5500"/>
    <s v="Administreerimis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eKool"/>
    <n v="960"/>
    <s v="eKool 80 x 12"/>
    <n v="5500"/>
    <s v="Administreerimis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kantseleikaup"/>
    <n v="4000"/>
    <s v="paljundused, paber, pliiats jne"/>
    <n v="5500"/>
    <s v="Administreerimis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kuulutused"/>
    <n v="550"/>
    <s v="kaastunne, tööpakkumine"/>
    <n v="5500"/>
    <s v="Administreerimis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veebimajutus"/>
    <n v="1320"/>
    <s v="andmesidevõrk 110 x 12"/>
    <n v="5500"/>
    <s v="Administreerimis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raamatukogutarvikud"/>
    <n v="350"/>
    <s v="Deltmar(rmtk programm), raamatukile"/>
    <n v="5500"/>
    <s v="Administreerimis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ajalehed ja muu teabekirjandus"/>
    <n v="750"/>
    <s v="päevaleht,õpetajate leht,virumaa teataja"/>
    <n v="5500"/>
    <s v="Administreerimis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postikulu"/>
    <n v="250"/>
    <s v="aruanded jne "/>
    <n v="5500"/>
    <s v="Administreerimis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mobiilside"/>
    <n v="210"/>
    <s v="Telia "/>
    <n v="5500"/>
    <s v="Administreerimiskulud"/>
    <n v="55"/>
    <s v="55"/>
    <s v="Muud tegevuskulud"/>
    <s v="Majandamiskulud"/>
    <s v="Põhitegevuse kulu"/>
  </r>
  <r>
    <s v="09"/>
    <s v="0921205         "/>
    <x v="2"/>
    <s v="Põhihariduse otsekulud"/>
    <s v="Haridus"/>
    <s v="Vinni-Pajusti Gümnaasium"/>
    <s v="telefonid ja internet "/>
    <n v="5940"/>
    <s v="Telia Ettevõted, internet ja telefonid"/>
    <n v="5500"/>
    <s v="Administreerimis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Pedagoogilised õppevahendid"/>
    <n v="741"/>
    <s v="Ped."/>
    <n v="5524"/>
    <s v="Õppevahendi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Pedagoogilised koolitused"/>
    <n v="200"/>
    <s v="Ped."/>
    <n v="5504"/>
    <s v="Koolitus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koopiamasin"/>
    <n v="100"/>
    <m/>
    <n v="5514"/>
    <s v="Info- ja kommunikatsioonitehnoliigised 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IT-tarvikud"/>
    <n v="150"/>
    <m/>
    <n v="5514"/>
    <s v="Info- ja kommunikatsioonitehnoliigised 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arvutiprogrammid, hooldused"/>
    <n v="650"/>
    <m/>
    <n v="5514"/>
    <s v="Info- ja kommunikatsioonitehnoliigised 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ATS hooldus"/>
    <n v="500"/>
    <m/>
    <n v="5511"/>
    <s v="Kinnistute, hoonete ja ruumide majandamis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avariivalgustus"/>
    <n v="200"/>
    <m/>
    <n v="5511"/>
    <s v="Kinnistute, hoonete ja ruumide majandamis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kooliaed(seemned, istikud)"/>
    <n v="150"/>
    <m/>
    <n v="5511"/>
    <s v="Kinnistute, hoonete ja ruumide majandamis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riigi sümboolika"/>
    <n v="150"/>
    <m/>
    <n v="5511"/>
    <s v="Kinnistute, hoonete ja ruumide majandamis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jooksev remont"/>
    <n v="600"/>
    <m/>
    <n v="5511"/>
    <s v="Kinnistute, hoonete ja ruumide majandamis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vesi, kanalisatsioon"/>
    <n v="1100"/>
    <m/>
    <n v="5511"/>
    <s v="Kinnistute, hoonete ja ruumide majandamis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vee analüüsid"/>
    <n v="80"/>
    <m/>
    <n v="5511"/>
    <s v="Kinnistute, hoonete ja ruumide majandamis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korstnapühkimine"/>
    <n v="200"/>
    <m/>
    <n v="5511"/>
    <s v="Kinnistute, hoonete ja ruumide majandamis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elektritööd"/>
    <n v="600"/>
    <m/>
    <n v="5511"/>
    <s v="Kinnistute, hoonete ja ruumide majandamis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prügi"/>
    <n v="400"/>
    <m/>
    <n v="5511"/>
    <s v="Kinnistute, hoonete ja ruumide majandamis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aknapesuteenus"/>
    <n v="500"/>
    <m/>
    <n v="5511"/>
    <s v="Kinnistute, hoonete ja ruumide majandamis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korrashoiuvahendid"/>
    <n v="300"/>
    <m/>
    <n v="5511"/>
    <s v="Kinnistute, hoonete ja ruumide majandamis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elekter"/>
    <n v="2700"/>
    <m/>
    <n v="5511"/>
    <s v="Kinnistute, hoonete ja ruumide majandamis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küte"/>
    <n v="6500"/>
    <m/>
    <n v="5511"/>
    <s v="Kinnistute, hoonete ja ruumide majandamis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Tudu hariduselu 170 tähist"/>
    <n v="200"/>
    <m/>
    <n v="5525"/>
    <s v="Kommunikatsiooni-, kultuuri- ja vaba aja sisustamise 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õpetajate päev "/>
    <n v="20"/>
    <m/>
    <n v="5525"/>
    <s v="Kommunikatsiooni-, kultuuri- ja vaba aja sisustamise 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õa lõpetamine"/>
    <n v="30"/>
    <m/>
    <n v="5525"/>
    <s v="Kommunikatsiooni-, kultuuri- ja vaba aja sisustamise 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ekskursioonid, õppepäevad"/>
    <n v="500"/>
    <m/>
    <n v="5525"/>
    <s v="Kommunikatsiooni-, kultuuri- ja vaba aja sisustamise 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isadepäev, emadepäev"/>
    <n v="50"/>
    <m/>
    <n v="5525"/>
    <s v="Kommunikatsiooni-, kultuuri- ja vaba aja sisustamise 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jõuluvana"/>
    <n v="75"/>
    <m/>
    <n v="5525"/>
    <s v="Kommunikatsiooni-, kultuuri- ja vaba aja sisustamise 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etenduse dekor"/>
    <n v="40"/>
    <m/>
    <n v="5525"/>
    <s v="Kommunikatsiooni-, kultuuri- ja vaba aja sisustamise 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EV aastpäev"/>
    <n v="20"/>
    <m/>
    <n v="5525"/>
    <s v="Kommunikatsiooni-, kultuuri- ja vaba aja sisustamise 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vastlapäev"/>
    <n v="10"/>
    <m/>
    <n v="5525"/>
    <s v="Kommunikatsiooni-, kultuuri- ja vaba aja sisustamise 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paber, värvid jm"/>
    <n v="100"/>
    <m/>
    <n v="5524"/>
    <s v="Õppevahendi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eriped teenus"/>
    <n v="900"/>
    <m/>
    <n v="5524"/>
    <s v="Õppevahendi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tehnoloogia, kodund õppev"/>
    <n v="300"/>
    <m/>
    <n v="5524"/>
    <s v="Õppevahendi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töövihikud"/>
    <n v="400"/>
    <m/>
    <n v="5524"/>
    <s v="Õppevahendi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õpikud sh etunni mälupulgad õpet"/>
    <n v="1200"/>
    <m/>
    <n v="5524"/>
    <s v="Õppevahendi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esmaabi kapp"/>
    <n v="100"/>
    <m/>
    <n v="5522"/>
    <s v="Meditsiinikulud ja hügieenitarbe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tervisekontroll"/>
    <n v="50"/>
    <m/>
    <n v="5522"/>
    <s v="Meditsiinikulud ja hügieenitarbe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kool"/>
    <n v="2275"/>
    <s v="Ped."/>
    <n v="5521"/>
    <s v="Toiduained ja toitlustusteenuse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tolmuimeja"/>
    <n v="100"/>
    <m/>
    <n v="5515"/>
    <s v="Inventari kulud, v.a infotehnoloogia ja kaitseotstarbelised 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köögikombain"/>
    <n v="150"/>
    <m/>
    <n v="5515"/>
    <s v="Inventari kulud, v.a infotehnoloogia ja kaitseotstarbelised 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muruniiduk"/>
    <n v="250"/>
    <m/>
    <n v="5515"/>
    <s v="Inventari kulud, v.a infotehnoloogia ja kaitseotstarbelised 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robootika õppevah"/>
    <n v="160"/>
    <m/>
    <n v="5524"/>
    <s v="Õppevahendi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rehvivahetus"/>
    <n v="100"/>
    <m/>
    <n v="5513"/>
    <s v="Sõidukite ülalpidamise 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liising"/>
    <n v="4824"/>
    <m/>
    <n v="5513"/>
    <s v="Sõidukite ülalpidamise 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autohüvitised"/>
    <n v="200"/>
    <m/>
    <n v="5513"/>
    <s v="Sõidukite ülalpidamise 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kütus"/>
    <n v="5000"/>
    <m/>
    <n v="5513"/>
    <s v="Sõidukite ülalpidamise 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hooldus"/>
    <n v="500"/>
    <m/>
    <n v="5513"/>
    <s v="Sõidukite ülalpidamise 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kindlustus"/>
    <n v="684"/>
    <m/>
    <n v="5513"/>
    <s v="Sõidukite ülalpidamise 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enesekehtestamine"/>
    <n v="300"/>
    <m/>
    <n v="5504"/>
    <s v="Koolitus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robootika ainetundides"/>
    <n v="100"/>
    <m/>
    <n v="5504"/>
    <s v="Koolitus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erivajadustega laste õpet"/>
    <n v="200"/>
    <m/>
    <n v="5504"/>
    <s v="Koolitus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ajakirjanduse tellimine"/>
    <n v="230"/>
    <s v="ajalehed"/>
    <n v="5500"/>
    <s v="Administreerimis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kuulutused"/>
    <n v="50"/>
    <m/>
    <n v="5500"/>
    <s v="Administreerimis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kantseleitarbed"/>
    <n v="200"/>
    <s v="paber, kladed, pliiatsid jne"/>
    <n v="5500"/>
    <s v="Administreerimis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printeritahm ja tint"/>
    <n v="200"/>
    <m/>
    <n v="5500"/>
    <s v="Administreerimis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postikulu"/>
    <n v="50"/>
    <m/>
    <n v="5500"/>
    <s v="Administreerimiskulud"/>
    <n v="55"/>
    <s v="55"/>
    <s v="Muud tegevuskulud"/>
    <s v="Majandamiskulud"/>
    <s v="Põhitegevuse kulu"/>
  </r>
  <r>
    <s v="09"/>
    <s v="0921204         "/>
    <x v="3"/>
    <s v="Põhihariduse otsekulud"/>
    <s v="Haridus"/>
    <s v="Tudu Põhikool"/>
    <s v="telefonid ja internet"/>
    <n v="800"/>
    <s v="EMT 200; lauatel+neti=600"/>
    <n v="5500"/>
    <s v="Administreerimiskulud"/>
    <n v="55"/>
    <s v="55"/>
    <s v="Muud tegevuskulud"/>
    <s v="Majandamiskulud"/>
    <s v="Põhitegevuse kulu"/>
  </r>
  <r>
    <s v="09"/>
    <s v="0921204         "/>
    <x v="3"/>
    <s v="Põhihariduse otsekulud"/>
    <s v="Haridus"/>
    <s v="Ehitusnõunik"/>
    <s v="Tudu Kooli küttesüsteemi üleviimine pelletküttele"/>
    <n v="51000"/>
    <m/>
    <n v="1551"/>
    <s v="Rajatiste ja hoonete soetamine ja renoveerimine"/>
    <n v="15"/>
    <s v="15"/>
    <s v="Põhivara soetus (-)"/>
    <s v="Põhivara soetus (-)"/>
    <s v="Investeerimistegevus"/>
  </r>
  <r>
    <s v="09"/>
    <s v="0921203         "/>
    <x v="4"/>
    <s v="Põhihariduse otsekulud"/>
    <s v="Haridus"/>
    <s v="Ferdinand von Wrangelli nim Roela Lasteaed-Põhikool"/>
    <s v="Pedagoogilised õppevahendid"/>
    <n v="3477"/>
    <s v="Ped."/>
    <n v="5524"/>
    <s v="Õppevahendi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Pedagoogilised koolitused"/>
    <n v="1100"/>
    <s v="Ped."/>
    <n v="5504"/>
    <s v="Koolituskulud"/>
    <n v="55"/>
    <s v="55"/>
    <s v="Muud tegevuskulud"/>
    <s v="Majandamiskulud"/>
    <s v="Põhitegevuse kulu"/>
  </r>
  <r>
    <s v="09"/>
    <s v="0921203         "/>
    <x v="4"/>
    <s v="Põhihariduse otsekulud"/>
    <s v="Haridus"/>
    <s v="Roela kool"/>
    <s v="1. klassi ujumise transport (19 x 40.-)"/>
    <n v="760"/>
    <s v="õppekavas ette nähtud"/>
    <n v="5540"/>
    <s v="Mitmesugused majanduskulud"/>
    <n v="55"/>
    <s v="55"/>
    <s v="Muud tegevuskulud"/>
    <s v="Majandamiskulud"/>
    <s v="Põhitegevuse kulu"/>
  </r>
  <r>
    <s v="09"/>
    <s v="0921203         "/>
    <x v="4"/>
    <s v="Põhihariduse otsekulud"/>
    <s v="Haridus"/>
    <s v="Roela kool"/>
    <s v="Kooli ja LA juubel (40/45)"/>
    <n v="4580"/>
    <s v="Esinejad, toitlustamine, meened"/>
    <n v="5525"/>
    <s v="Kommunikatsiooni-, kultuuri- ja vaba aja sisustamise kulud"/>
    <n v="55"/>
    <s v="55"/>
    <s v="Muud tegevuskulud"/>
    <s v="Majandamiskulud"/>
    <s v="Põhitegevuse kulu"/>
  </r>
  <r>
    <s v="09"/>
    <s v="0921203         "/>
    <x v="4"/>
    <s v="Põhihariduse otsekulud"/>
    <s v="Haridus"/>
    <s v="Roela kool"/>
    <s v="Signalisatsioon ühendada (LA, r/k, kool)"/>
    <n v="785.4"/>
    <s v="LA ja r/k signal. puudub"/>
    <n v="5511"/>
    <s v="Kinnistute, hoonete ja ruumide majandamiskulud"/>
    <n v="55"/>
    <s v="55"/>
    <s v="Muud tegevuskulud"/>
    <s v="Majandamiskulud"/>
    <s v="Põhitegevuse kulu"/>
  </r>
  <r>
    <s v="09"/>
    <s v="0921203         "/>
    <x v="4"/>
    <s v="Põhihariduse otsekulud"/>
    <s v="Haridus"/>
    <s v="Ehitusnõunik"/>
    <s v="Roela kool-küttesüsteem ja fassaad"/>
    <n v="95000"/>
    <m/>
    <n v="1551"/>
    <s v="Rajatiste ja hoonete soetamine ja renoveerimine"/>
    <n v="15"/>
    <s v="15"/>
    <s v="Põhivara soetus (-)"/>
    <s v="Põhivara soetus (-)"/>
    <s v="Investeerimistegevus"/>
  </r>
  <r>
    <s v="09"/>
    <s v="0921203         "/>
    <x v="4"/>
    <s v="Põhihariduse otsekulud"/>
    <s v="Haridus"/>
    <s v="Ferdinand von Wrangelli nim Roela Lasteaed-Põhikool"/>
    <s v="sülearvuti (2 tk)"/>
    <n v="1000"/>
    <s v="õpetajatele vanade asendamiseks"/>
    <n v="5514"/>
    <s v="Info- ja kommunikatsioonitehnoliigised 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haridusserver"/>
    <n v="20"/>
    <m/>
    <n v="5514"/>
    <s v="Info- ja kommunikatsioonitehnoliigised 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arvutiprogrammid, hooldused"/>
    <n v="250"/>
    <s v="viiruse tõrje"/>
    <n v="5514"/>
    <s v="Info- ja kommunikatsioonitehnoliigised 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e-kool"/>
    <n v="400"/>
    <s v="12 x 33,33"/>
    <n v="5514"/>
    <s v="Info- ja kommunikatsioonitehnoliigised 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pisiremont (pahtel, värv jne)"/>
    <n v="4500"/>
    <m/>
    <n v="5511"/>
    <s v="Kinnistute, hoonete ja ruumide majandamis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korrashoiuvahendid"/>
    <n v="1400"/>
    <s v="WC paber, puhastusvahendid jne"/>
    <n v="5511"/>
    <s v="Kinnistute, hoonete ja ruumide majandamis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tulekustutite kontroll"/>
    <n v="113"/>
    <s v="23 x 4,90"/>
    <n v="5511"/>
    <s v="Kinnistute, hoonete ja ruumide majandamis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söökla kahjuritõrje"/>
    <n v="92"/>
    <s v="4 x 23.01"/>
    <n v="5511"/>
    <s v="Kinnistute, hoonete ja ruumide majandamis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söökla uhteproovid, vee analüüsid"/>
    <n v="106"/>
    <s v="2 x 53"/>
    <n v="5511"/>
    <s v="Kinnistute, hoonete ja ruumide majandamis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söökla ventilatsiooni puhastus"/>
    <n v="450"/>
    <s v="1 kord aastas kohustuslik"/>
    <n v="5511"/>
    <s v="Kinnistute, hoonete ja ruumide majandamis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el.käiduleping"/>
    <n v="800"/>
    <s v="48 x 12 + materjalid"/>
    <n v="5511"/>
    <s v="Kinnistute, hoonete ja ruumide majandamis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valvesignalisatsioon"/>
    <n v="850"/>
    <s v="4 x 153.40 + materjalid + G4S (200.-)"/>
    <n v="5511"/>
    <s v="Kinnistute, hoonete ja ruumide majandamis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prügi"/>
    <n v="489"/>
    <s v="14 x 20,50 + 12 x16,80 (konteineri laenutus)"/>
    <n v="5511"/>
    <s v="Kinnistute, hoonete ja ruumide majandamis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vesi + kanalisatsioon + san tehnilised tööd"/>
    <n v="4000"/>
    <m/>
    <n v="5511"/>
    <s v="Kinnistute, hoonete ja ruumide majandamis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elekter"/>
    <n v="6500"/>
    <m/>
    <n v="5511"/>
    <s v="Kinnistute, hoonete ja ruumide majandamis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küte"/>
    <n v="37000"/>
    <m/>
    <n v="5511"/>
    <s v="Kinnistute, hoonete ja ruumide majandamis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õppeekskursioon õpetajatele"/>
    <n v="700"/>
    <m/>
    <n v="5525"/>
    <s v="Kommunikatsiooni-, kultuuri- ja vaba aja sisustamise 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spordipäevade auhinnad"/>
    <n v="100"/>
    <m/>
    <n v="5525"/>
    <s v="Kommunikatsiooni-, kultuuri- ja vaba aja sisustamise 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lilled ürituste dekoreerimiseks"/>
    <n v="200"/>
    <m/>
    <n v="5525"/>
    <s v="Kommunikatsiooni-, kultuuri- ja vaba aja sisustamise 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õpilaste premeerimine saavutuste puhul"/>
    <n v="150"/>
    <m/>
    <n v="5525"/>
    <s v="Kommunikatsiooni-, kultuuri- ja vaba aja sisustamise 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kooli logoga meened kingitusteks"/>
    <n v="150"/>
    <m/>
    <n v="5525"/>
    <s v="Kommunikatsiooni-, kultuuri- ja vaba aja sisustamise 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lõpetamine (kingitused lõpetajatele)"/>
    <n v="150"/>
    <s v="kool + LA"/>
    <n v="5525"/>
    <s v="Kommunikatsiooni-, kultuuri- ja vaba aja sisustamise 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ATV bensiin suusaradade hoolduseks ja korrashoid"/>
    <n v="150"/>
    <m/>
    <n v="5524"/>
    <s v="Õppevahendi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õppeköök"/>
    <n v="200"/>
    <s v="köögi tarvikud (pannid, kausid, noad)"/>
    <n v="5524"/>
    <s v="Õppevahendi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kodundus"/>
    <n v="200"/>
    <s v="käsitöövahendid, toiduained"/>
    <n v="5524"/>
    <s v="Õppevahendi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poiste tööõpetus"/>
    <n v="100"/>
    <s v="kruvid, naelad, vineerisaelehed,liivapaber"/>
    <n v="5524"/>
    <s v="Õppevahendi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sporditarbed"/>
    <n v="500"/>
    <s v="pallid, kõrgushüppe postid, tõkked"/>
    <n v="5524"/>
    <s v="Õppevahendi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Õppevahendid"/>
    <n v="500"/>
    <s v="värvil.paber,joonistuspaber,värvid,mänguasjad"/>
    <n v="5524"/>
    <s v="Õppevahendi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õpetajate tööraamatud, CD"/>
    <n v="100"/>
    <m/>
    <n v="5524"/>
    <s v="Õppevahendi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töövihikud"/>
    <n v="3023"/>
    <s v="tellimislehti pole veel"/>
    <n v="5524"/>
    <s v="Õppevahendi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õpikud"/>
    <n v="200"/>
    <m/>
    <n v="5524"/>
    <s v="Õppevahendi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plaastrid, sidemed jne"/>
    <n v="100"/>
    <m/>
    <n v="5522"/>
    <s v="Meditsiinikulud ja hügieenitarbe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töötervishoiuarst"/>
    <n v="150"/>
    <s v="3 töötajat"/>
    <n v="5522"/>
    <s v="Meditsiinikulud ja hügieenitarbe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toiduained  "/>
    <n v="10675"/>
    <m/>
    <n v="5521"/>
    <s v="Toiduained ja toitlustusteenuse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ekraan + projektor(1 tk)"/>
    <n v="1000"/>
    <s v="aula"/>
    <n v="5515"/>
    <s v="Inventari kulud, v.a infotehnoloogia ja kaitseotstarbelised 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seadmete remondid"/>
    <n v="200"/>
    <m/>
    <n v="5515"/>
    <s v="Inventari kulud, v.a infotehnoloogia ja kaitseotstarbelised 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klaverihäälestamine"/>
    <n v="200"/>
    <s v=" klaverit"/>
    <n v="5515"/>
    <s v="Inventari kulud, v.a infotehnoloogia ja kaitseotstarbelised 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isikliku sõduauto kasutus"/>
    <n v="704"/>
    <s v="S. Kalme (11 x 64)"/>
    <n v="5513"/>
    <s v="Sõidukite ülalpidamise 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isikliku sõduauto kasutus"/>
    <n v="640"/>
    <s v="U. Kruusimägi (10 x 64)"/>
    <n v="5513"/>
    <s v="Sõidukite ülalpidamise 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isikliku sõduauto kasutus"/>
    <n v="640"/>
    <s v="H. Supper (10 x 64)"/>
    <n v="5513"/>
    <s v="Sõidukite ülalpidamise 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isikliku sõduauto kasutus"/>
    <n v="640"/>
    <s v="M. Mirt (10 x 64)"/>
    <n v="5513"/>
    <s v="Sõidukite ülalpidamise 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isikliku sõduauto kasutus"/>
    <n v="640"/>
    <s v="V. Klemmer (10 x 64)"/>
    <n v="5513"/>
    <s v="Sõidukite ülalpidamise 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remont ja hooldus"/>
    <n v="1000"/>
    <m/>
    <n v="5513"/>
    <s v="Sõidukite ülalpidamise 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kütus"/>
    <n v="2700"/>
    <m/>
    <n v="5513"/>
    <s v="Sõidukite ülalpidamise 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bussi liikluskindlustus"/>
    <n v="620"/>
    <m/>
    <n v="5513"/>
    <s v="Sõidukite ülalpidamise 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koolituste plaan"/>
    <n v="1650"/>
    <m/>
    <n v="5504"/>
    <s v="Koolitus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külalised"/>
    <n v="100"/>
    <m/>
    <n v="5500"/>
    <s v="Administreerimis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printeripaber"/>
    <n v="276"/>
    <s v="20 karpi"/>
    <n v="5500"/>
    <s v="Administreerimis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kantseleitarbed (kalendrid, pastapl., liim jne)"/>
    <n v="200"/>
    <m/>
    <n v="5500"/>
    <s v="Administreerimis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veebimajutus"/>
    <n v="24"/>
    <m/>
    <n v="5500"/>
    <s v="Administreerimis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tahmakassetid (värviline, õp.tuba, kantselei, direktor, LA)"/>
    <n v="1200"/>
    <m/>
    <n v="5500"/>
    <s v="Administreerimis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postikulu, kuulutused"/>
    <n v="50"/>
    <m/>
    <n v="5500"/>
    <s v="Administreerimiskulud"/>
    <n v="55"/>
    <s v="55"/>
    <s v="Muud tegevuskulud"/>
    <s v="Majandamiskulud"/>
    <s v="Põhitegevuse kulu"/>
  </r>
  <r>
    <s v="09"/>
    <s v="0921203         "/>
    <x v="4"/>
    <s v="Põhihariduse otsekulud"/>
    <s v="Haridus"/>
    <s v="Ferdinand von Wrangelli nim Roela Lasteaed-Põhikool"/>
    <s v="telefonid ja internet"/>
    <n v="1140"/>
    <s v="95 x 12"/>
    <n v="5500"/>
    <s v="Administreerimiskulu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Pedagoogilised õppevahendid"/>
    <n v="2186.58"/>
    <s v="Ped."/>
    <n v="5524"/>
    <s v="Õppevahendi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Pedagoogilised koolitused"/>
    <n v="615.36"/>
    <s v="Ped."/>
    <n v="5504"/>
    <s v="Koolituskulu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rent"/>
    <n v="500"/>
    <m/>
    <n v="5514"/>
    <s v="Info- ja kommunikatsioonitehnoliigised kulu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remont ja hooldus"/>
    <n v="300"/>
    <m/>
    <n v="5514"/>
    <s v="Info- ja kommunikatsioonitehnoliigised kulu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andmeside"/>
    <n v="700"/>
    <m/>
    <n v="5514"/>
    <s v="Info- ja kommunikatsioonitehnoliigised kulu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soetamine"/>
    <n v="500"/>
    <m/>
    <n v="5514"/>
    <s v="Info- ja kommunikatsioonitehnoliigised kulu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programmid"/>
    <n v="1000"/>
    <m/>
    <n v="5514"/>
    <s v="Info- ja kommunikatsioonitehnoliigised kulu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õpilaste üritused, autasud"/>
    <n v="750"/>
    <m/>
    <n v="5525"/>
    <s v="Kommunikatsiooni-, kultuuri- ja vaba aja sisustamise kulu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osalustasud"/>
    <n v="300"/>
    <m/>
    <n v="5525"/>
    <s v="Kommunikatsiooni-, kultuuri- ja vaba aja sisustamise kulu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etendused, kontserdid"/>
    <n v="450"/>
    <m/>
    <n v="5525"/>
    <s v="Kommunikatsiooni-, kultuuri- ja vaba aja sisustamise kulu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ujumine"/>
    <n v="800"/>
    <m/>
    <n v="5524"/>
    <s v="Õppevahendi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transport"/>
    <n v="2800"/>
    <m/>
    <n v="5524"/>
    <s v="Õppevahendi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ühisüritused"/>
    <n v="500"/>
    <m/>
    <n v="5524"/>
    <s v="Õppevahendi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õppematerjalid"/>
    <n v="500"/>
    <m/>
    <n v="5524"/>
    <s v="Õppevahendi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õpikud, töövihikud"/>
    <n v="313.42000000000007"/>
    <m/>
    <n v="5524"/>
    <s v="Õppevahendi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prillid"/>
    <n v="300"/>
    <m/>
    <n v="5522"/>
    <s v="Meditsiinikulud ja hügieenitarbe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tervisekontroll"/>
    <n v="50"/>
    <m/>
    <n v="5522"/>
    <s v="Meditsiinikulud ja hügieenitarbe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hügieenivahendid"/>
    <n v="600"/>
    <m/>
    <n v="5522"/>
    <s v="Meditsiinikulud ja hügieenitarbe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esmaabi"/>
    <n v="100"/>
    <m/>
    <n v="5522"/>
    <s v="Meditsiinikulud ja hügieenitarbe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Toiduained"/>
    <n v="5985"/>
    <s v="Ped."/>
    <n v="5521"/>
    <s v="Toiduained ja toitlustusteenuse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rent"/>
    <n v="300"/>
    <m/>
    <n v="5515"/>
    <s v="Inventari kulud, v.a infotehnoloogia ja kaitseotstarbelised kulu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muud inventari kulud"/>
    <n v="700"/>
    <m/>
    <n v="5515"/>
    <s v="Inventari kulud, v.a infotehnoloogia ja kaitseotstarbelised kulu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hooldus ja remont"/>
    <n v="500"/>
    <m/>
    <n v="5515"/>
    <s v="Inventari kulud, v.a infotehnoloogia ja kaitseotstarbelised kulu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Kooli bussi haldamine"/>
    <n v="3500"/>
    <m/>
    <n v="5513"/>
    <s v="Sõidukite ülalpidamise kulu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isikliku sõiduki kasutamine"/>
    <n v="600"/>
    <m/>
    <n v="5513"/>
    <s v="Sõidukite ülalpidamise kulu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koolitused"/>
    <n v="184.64"/>
    <m/>
    <n v="5504"/>
    <s v="Koolituskulu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Muud admin.kulud"/>
    <n v="150"/>
    <m/>
    <n v="5500"/>
    <s v="Administreerimiskulu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kuulutused"/>
    <n v="50"/>
    <m/>
    <n v="5500"/>
    <s v="Administreerimiskulu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esindamine"/>
    <n v="150"/>
    <m/>
    <n v="5500"/>
    <s v="Administreerimiskulu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kingitused"/>
    <n v="150"/>
    <m/>
    <n v="5500"/>
    <s v="Administreerimiskulu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mobiiltel"/>
    <n v="0"/>
    <m/>
    <n v="5500"/>
    <s v="Administreerimiskulu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telefon"/>
    <n v="300"/>
    <m/>
    <n v="5500"/>
    <s v="Administreerimiskulu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post"/>
    <n v="50"/>
    <m/>
    <n v="5500"/>
    <s v="Administreerimiskulu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trükised"/>
    <n v="170"/>
    <m/>
    <n v="5500"/>
    <s v="Administreerimiskulu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tahm"/>
    <n v="250"/>
    <m/>
    <n v="5500"/>
    <s v="Administreerimiskulu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büroo"/>
    <n v="400"/>
    <m/>
    <n v="5500"/>
    <s v="Administreerimiskulu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ohutusvahendite kontroll"/>
    <n v="150"/>
    <m/>
    <n v="5511"/>
    <s v="Kinnistute, hoonete ja ruumide majandamiskulu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Muud kinnistukulud"/>
    <n v="700"/>
    <m/>
    <n v="5511"/>
    <s v="Kinnistute, hoonete ja ruumide majandamiskulu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kindlustus"/>
    <n v="900"/>
    <m/>
    <n v="5511"/>
    <s v="Kinnistute, hoonete ja ruumide majandamiskulu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rem tööd"/>
    <n v="500"/>
    <m/>
    <n v="5511"/>
    <s v="Kinnistute, hoonete ja ruumide majandamiskulu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vesi kanalisatsioon"/>
    <n v="1500"/>
    <m/>
    <n v="5511"/>
    <s v="Kinnistute, hoonete ja ruumide majandamiskulu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korstnapühkija"/>
    <n v="0"/>
    <m/>
    <n v="5511"/>
    <s v="Kinnistute, hoonete ja ruumide majandamiskulu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prügi"/>
    <n v="500"/>
    <m/>
    <n v="5511"/>
    <s v="Kinnistute, hoonete ja ruumide majandamiskulu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korrashoid"/>
    <n v="2000"/>
    <m/>
    <n v="5511"/>
    <s v="Kinnistute, hoonete ja ruumide majandamiskulu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el.käitlus"/>
    <n v="400"/>
    <m/>
    <n v="5511"/>
    <s v="Kinnistute, hoonete ja ruumide majandamiskulu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elekter"/>
    <n v="5300"/>
    <m/>
    <n v="5511"/>
    <s v="Kinnistute, hoonete ja ruumide majandamiskulud"/>
    <n v="55"/>
    <s v="55"/>
    <s v="Muud tegevuskulud"/>
    <s v="Majandamiskulud"/>
    <s v="Põhitegevuse kulu"/>
  </r>
  <r>
    <s v="09"/>
    <s v="0921202         "/>
    <x v="5"/>
    <s v="Põhihariduse otsekulud"/>
    <s v="Haridus"/>
    <s v="Muuga-Laekvere kool"/>
    <s v="küte"/>
    <n v="27000"/>
    <m/>
    <n v="5511"/>
    <s v="Kinnistute, hoonete ja ruumide majandamiskulu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Pedagoogilised õppevahendid"/>
    <n v="4311.42"/>
    <s v="Ped."/>
    <n v="5524"/>
    <s v="Õppevahendi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Pedagoogilised koolitused"/>
    <n v="1384.56"/>
    <s v="Ped."/>
    <n v="5504"/>
    <s v="Koolituskulud"/>
    <n v="55"/>
    <s v="55"/>
    <s v="Muud tegevuskulud"/>
    <s v="Majandamiskulud"/>
    <s v="Põhitegevuse kulu"/>
  </r>
  <r>
    <s v="09"/>
    <s v="0921201         "/>
    <x v="6"/>
    <s v="Põhihariduse otsekulud"/>
    <s v="Haridus"/>
    <s v="Ehitusnõunik"/>
    <s v="Muuga-Laekvere Kooli Laekvere koolimaja katuse vahetus, fassaadi remont"/>
    <n v="350000"/>
    <m/>
    <n v="1551"/>
    <s v="Rajatiste ja hoonete soetamine ja renoveerimine"/>
    <n v="15"/>
    <s v="15"/>
    <s v="Põhivara soetus (-)"/>
    <s v="Põhivara soetus (-)"/>
    <s v="Investeerimistegevus"/>
  </r>
  <r>
    <s v="09"/>
    <s v="0921201         "/>
    <x v="6"/>
    <s v="Põhihariduse otsekulud"/>
    <s v="Haridus"/>
    <s v="Muuga-Laekvere kool"/>
    <s v="remont ja hooldus"/>
    <n v="300"/>
    <m/>
    <n v="5514"/>
    <s v="Info- ja kommunikatsioonitehnoliigised kulu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andmeside"/>
    <n v="600"/>
    <m/>
    <n v="5514"/>
    <s v="Info- ja kommunikatsioonitehnoliigised kulu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soetamine"/>
    <n v="500"/>
    <m/>
    <n v="5514"/>
    <s v="Info- ja kommunikatsioonitehnoliigised kulu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programmid"/>
    <n v="1000"/>
    <m/>
    <n v="5514"/>
    <s v="Info- ja kommunikatsioonitehnoliigised kulu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õpilaste üritused"/>
    <n v="2000"/>
    <m/>
    <n v="5525"/>
    <s v="Kommunikatsiooni-, kultuuri- ja vaba aja sisustamise kulu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aastapäevad"/>
    <n v="3000"/>
    <m/>
    <n v="5525"/>
    <s v="Kommunikatsiooni-, kultuuri- ja vaba aja sisustamise kulu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osalustasud"/>
    <n v="100"/>
    <m/>
    <n v="5525"/>
    <s v="Kommunikatsiooni-, kultuuri- ja vaba aja sisustamise kulu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etendused, kontserdid"/>
    <n v="150"/>
    <m/>
    <n v="5525"/>
    <s v="Kommunikatsiooni-, kultuuri- ja vaba aja sisustamise kulu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ujumine"/>
    <n v="900"/>
    <m/>
    <n v="5524"/>
    <s v="Õppevahendi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transport"/>
    <n v="4000"/>
    <m/>
    <n v="5524"/>
    <s v="Õppevahendi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ühisüritused"/>
    <n v="600"/>
    <m/>
    <n v="5524"/>
    <s v="Õppevahendi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mänguasjad"/>
    <n v="0"/>
    <m/>
    <n v="5524"/>
    <s v="Õppevahendi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õppematerjalid"/>
    <n v="1400"/>
    <m/>
    <n v="5524"/>
    <s v="Õppevahendi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õpikud, töövihikud"/>
    <n v="2788.58"/>
    <m/>
    <n v="5524"/>
    <s v="Õppevahendi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prillid"/>
    <n v="300"/>
    <m/>
    <n v="5522"/>
    <s v="Meditsiinikulud ja hügieenitarbe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tervisekontroll"/>
    <n v="50"/>
    <m/>
    <n v="5522"/>
    <s v="Meditsiinikulud ja hügieenitarbe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hügieenivahendid"/>
    <n v="600"/>
    <m/>
    <n v="5522"/>
    <s v="Meditsiinikulud ja hügieenitarbe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esmaabi"/>
    <n v="100"/>
    <m/>
    <n v="5522"/>
    <s v="Meditsiinikulud ja hügieenitarbe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toiduained"/>
    <n v="13965"/>
    <s v="Ped."/>
    <n v="5521"/>
    <s v="Toiduained ja toitlustusteenuse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muud inventari kulud"/>
    <n v="500"/>
    <m/>
    <n v="5515"/>
    <s v="Inventari kulud, v.a infotehnoloogia ja kaitseotstarbelised kulu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hooldus ja remont"/>
    <n v="3000"/>
    <m/>
    <n v="5515"/>
    <s v="Inventari kulud, v.a infotehnoloogia ja kaitseotstarbelised kulu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Kooli bussi haldamine"/>
    <n v="3500"/>
    <m/>
    <n v="5513"/>
    <s v="Sõidukite ülalpidamise kulu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isikliku sõiduki kasutamine"/>
    <n v="2600"/>
    <m/>
    <n v="5513"/>
    <s v="Sõidukite ülalpidamise kulu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koolitused"/>
    <n v="415.44000000000005"/>
    <m/>
    <n v="5504"/>
    <s v="Koolituskulu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Muud admin.kulud"/>
    <n v="150"/>
    <m/>
    <n v="5500"/>
    <s v="Administreerimiskulu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kuulutused"/>
    <n v="50"/>
    <m/>
    <n v="5500"/>
    <s v="Administreerimiskulu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esindamine"/>
    <n v="250"/>
    <m/>
    <n v="5500"/>
    <s v="Administreerimiskulu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kingitused"/>
    <n v="150"/>
    <m/>
    <n v="5500"/>
    <s v="Administreerimiskulu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mobiiltel"/>
    <n v="200"/>
    <m/>
    <n v="5500"/>
    <s v="Administreerimiskulu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telefon"/>
    <n v="350"/>
    <m/>
    <n v="5500"/>
    <s v="Administreerimiskulu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post"/>
    <n v="50"/>
    <m/>
    <n v="5500"/>
    <s v="Administreerimiskulu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trükised"/>
    <n v="150"/>
    <m/>
    <n v="5500"/>
    <s v="Administreerimiskulu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tahm"/>
    <n v="400"/>
    <m/>
    <n v="5500"/>
    <s v="Administreerimiskulu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ohutusvahendite kontroll"/>
    <n v="150"/>
    <m/>
    <n v="5511"/>
    <s v="Kinnistute, hoonete ja ruumide majandamiskulu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Muud kinnistukulud"/>
    <n v="1500"/>
    <m/>
    <n v="5511"/>
    <s v="Kinnistute, hoonete ja ruumide majandamiskulu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kindlustus"/>
    <n v="760"/>
    <m/>
    <n v="5511"/>
    <s v="Kinnistute, hoonete ja ruumide majandamiskulu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rem tööd"/>
    <n v="500"/>
    <m/>
    <n v="5511"/>
    <s v="Kinnistute, hoonete ja ruumide majandamiskulu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vesi kanalisatsioon"/>
    <n v="3000"/>
    <m/>
    <n v="5511"/>
    <s v="Kinnistute, hoonete ja ruumide majandamiskulu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korstnapühkija"/>
    <n v="120"/>
    <m/>
    <n v="5511"/>
    <s v="Kinnistute, hoonete ja ruumide majandamiskulu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prügi"/>
    <n v="500"/>
    <m/>
    <n v="5511"/>
    <s v="Kinnistute, hoonete ja ruumide majandamiskulu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korrashoid"/>
    <n v="2600"/>
    <m/>
    <n v="5511"/>
    <s v="Kinnistute, hoonete ja ruumide majandamiskulu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el.käitlus"/>
    <n v="500"/>
    <m/>
    <n v="5511"/>
    <s v="Kinnistute, hoonete ja ruumide majandamiskulu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elekter"/>
    <n v="6000"/>
    <m/>
    <n v="5511"/>
    <s v="Kinnistute, hoonete ja ruumide majandamiskulud"/>
    <n v="55"/>
    <s v="55"/>
    <s v="Muud tegevuskulud"/>
    <s v="Majandamiskulud"/>
    <s v="Põhitegevuse kulu"/>
  </r>
  <r>
    <s v="09"/>
    <s v="0921201         "/>
    <x v="6"/>
    <s v="Põhihariduse otsekulud"/>
    <s v="Haridus"/>
    <s v="Muuga-Laekvere kool"/>
    <s v="küte"/>
    <n v="20000"/>
    <m/>
    <n v="5511"/>
    <s v="Kinnistute, hoonete ja ruumide majandamiskulud"/>
    <n v="55"/>
    <s v="55"/>
    <s v="Muud tegevuskulud"/>
    <s v="Majandamiskulud"/>
    <s v="Põhitegevuse kulu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75">
  <r>
    <s v="10"/>
    <s v="1020004         "/>
    <x v="0"/>
    <s v="Eakate sotsiaalhoolekande asutused"/>
    <s v="Sotsiaalne kaitse"/>
    <s v="Vinni Päevakeskus"/>
    <s v="puhastus vahendid"/>
    <n v="50"/>
    <m/>
    <n v="5511"/>
    <s v="Kinnistute, hoonete ja ruumide majandamiskulud"/>
    <n v="55"/>
    <s v="55"/>
    <s v="Muud tegevuskulud"/>
    <s v="Majandamiskulud"/>
    <s v="Põhitegevuse kulu"/>
  </r>
  <r>
    <s v="10"/>
    <s v="1020004         "/>
    <x v="0"/>
    <s v="Eakate sotsiaalhoolekande asutused"/>
    <s v="Sotsiaalne kaitse"/>
    <s v="Vinni Päevakeskus"/>
    <s v="vesi ja kanalisatsioon"/>
    <n v="50"/>
    <m/>
    <n v="5511"/>
    <s v="Kinnistute, hoonete ja ruumide majandamiskulud"/>
    <n v="55"/>
    <s v="55"/>
    <s v="Muud tegevuskulud"/>
    <s v="Majandamiskulud"/>
    <s v="Põhitegevuse kulu"/>
  </r>
  <r>
    <s v="10"/>
    <s v="1020004         "/>
    <x v="0"/>
    <s v="Eakate sotsiaalhoolekande asutused"/>
    <s v="Sotsiaalne kaitse"/>
    <s v="Vinni Päevakeskus"/>
    <s v="ettearvamatud"/>
    <n v="100"/>
    <m/>
    <n v="5511"/>
    <s v="Kinnistute, hoonete ja ruumide majandamiskulud"/>
    <n v="55"/>
    <s v="55"/>
    <s v="Muud tegevuskulud"/>
    <s v="Majandamiskulud"/>
    <s v="Põhitegevuse kulu"/>
  </r>
  <r>
    <s v="10"/>
    <s v="1020004         "/>
    <x v="0"/>
    <s v="Eakate sotsiaalhoolekande asutused"/>
    <s v="Sotsiaalne kaitse"/>
    <s v="Vinni Päevakeskus"/>
    <s v="laulmine"/>
    <n v="500"/>
    <m/>
    <n v="5525"/>
    <s v="Kommunikatsiooni-, kultuuri- ja vaba aja sisustamise kulud"/>
    <n v="55"/>
    <s v="55"/>
    <s v="Muud tegevuskulud"/>
    <s v="Majandamiskulud"/>
    <s v="Põhitegevuse kulu"/>
  </r>
  <r>
    <s v="10"/>
    <s v="1020004         "/>
    <x v="0"/>
    <s v="Eakate sotsiaalhoolekande asutused"/>
    <s v="Sotsiaalne kaitse"/>
    <s v="Vinni Päevakeskus"/>
    <s v="võimlemine 4x kuus, 30x 45,00"/>
    <n v="1350"/>
    <m/>
    <n v="5525"/>
    <s v="Kommunikatsiooni-, kultuuri- ja vaba aja sisustamise kulud"/>
    <n v="55"/>
    <s v="55"/>
    <s v="Muud tegevuskulud"/>
    <s v="Majandamiskulud"/>
    <s v="Põhitegevuse kulu"/>
  </r>
  <r>
    <s v="10"/>
    <s v="1020004         "/>
    <x v="0"/>
    <s v="Eakate sotsiaalhoolekande asutused"/>
    <s v="Sotsiaalne kaitse"/>
    <s v="Vinni Päevakeskus"/>
    <s v="mälutreening 2xkuus, 16x40,00"/>
    <n v="640"/>
    <m/>
    <n v="5525"/>
    <s v="Kommunikatsiooni-, kultuuri- ja vaba aja sisustamise kulud"/>
    <n v="55"/>
    <s v="55"/>
    <s v="Muud tegevuskulud"/>
    <s v="Majandamiskulud"/>
    <s v="Põhitegevuse kulu"/>
  </r>
  <r>
    <s v="10"/>
    <s v="1020004         "/>
    <x v="0"/>
    <s v="Eakate sotsiaalhoolekande asutused"/>
    <s v="Sotsiaalne kaitse"/>
    <s v="Vinni Päevakeskus"/>
    <s v="käeline tegevus (materjalid)"/>
    <n v="100"/>
    <m/>
    <n v="5525"/>
    <s v="Kommunikatsiooni-, kultuuri- ja vaba aja sisustamise kulud"/>
    <n v="55"/>
    <s v="55"/>
    <s v="Muud tegevuskulud"/>
    <s v="Majandamiskulud"/>
    <s v="Põhitegevuse kulu"/>
  </r>
  <r>
    <s v="10"/>
    <s v="1020004         "/>
    <x v="0"/>
    <s v="Eakate sotsiaalhoolekande asutused"/>
    <s v="Sotsiaalne kaitse"/>
    <s v="Vinni Päevakeskus"/>
    <s v="eakate päev, jõulud ja kevadpidu"/>
    <n v="200"/>
    <m/>
    <n v="5525"/>
    <s v="Kommunikatsiooni-, kultuuri- ja vaba aja sisustamise kulud"/>
    <n v="55"/>
    <s v="55"/>
    <s v="Muud tegevuskulud"/>
    <s v="Majandamiskulud"/>
    <s v="Põhitegevuse kulu"/>
  </r>
  <r>
    <s v="10"/>
    <s v="1020004         "/>
    <x v="0"/>
    <s v="Eakate sotsiaalhoolekande asutused"/>
    <s v="Sotsiaalne kaitse"/>
    <s v="Vinni Päevakeskus"/>
    <s v="Isikliku sõiduauto komp."/>
    <n v="760"/>
    <m/>
    <n v="5513"/>
    <s v="Sõidukite ülalpidamise kulud"/>
    <n v="55"/>
    <s v="55"/>
    <s v="Muud tegevuskulud"/>
    <s v="Majandamiskulud"/>
    <s v="Põhitegevuse kulu"/>
  </r>
  <r>
    <s v="10"/>
    <s v="1020004         "/>
    <x v="0"/>
    <s v="Eakate sotsiaalhoolekande asutused"/>
    <s v="Sotsiaalne kaitse"/>
    <s v="Vinni Päevakeskus"/>
    <s v="Koolituskulud"/>
    <n v="50"/>
    <m/>
    <n v="5504"/>
    <s v="Koolituskulud"/>
    <n v="55"/>
    <s v="55"/>
    <s v="Muud tegevuskulud"/>
    <s v="Majandamiskulud"/>
    <s v="Põhitegevuse kulu"/>
  </r>
  <r>
    <s v="10"/>
    <s v="1020004         "/>
    <x v="0"/>
    <s v="Eakate sotsiaalhoolekande asutused"/>
    <s v="Sotsiaalne kaitse"/>
    <s v="Vinni Päevakeskus"/>
    <s v="lilled"/>
    <n v="200"/>
    <m/>
    <n v="5500"/>
    <s v="Administreerimiskulud"/>
    <n v="55"/>
    <s v="55"/>
    <s v="Muud tegevuskulud"/>
    <s v="Majandamiskulud"/>
    <s v="Põhitegevuse kulu"/>
  </r>
  <r>
    <s v="10"/>
    <s v="1020004         "/>
    <x v="0"/>
    <s v="Eakate sotsiaalhoolekande asutused"/>
    <s v="Sotsiaalne kaitse"/>
    <s v="Vinni Päevakeskus"/>
    <s v="ajakirjad (Tervendaja ja 60+)"/>
    <n v="50"/>
    <m/>
    <n v="5500"/>
    <s v="Administreerimiskulud"/>
    <n v="55"/>
    <s v="55"/>
    <s v="Muud tegevuskulud"/>
    <s v="Majandamiskulud"/>
    <s v="Põhitegevuse kulu"/>
  </r>
  <r>
    <s v="10"/>
    <s v="1020004         "/>
    <x v="0"/>
    <s v="Eakate sotsiaalhoolekande asutused"/>
    <s v="Sotsiaalne kaitse"/>
    <s v="Vinni Päevakeskus"/>
    <s v="tahm, paber"/>
    <n v="40"/>
    <m/>
    <n v="5500"/>
    <s v="Administreerimiskulud"/>
    <n v="55"/>
    <s v="55"/>
    <s v="Muud tegevuskulud"/>
    <s v="Majandamiskulud"/>
    <s v="Põhitegevuse kulu"/>
  </r>
  <r>
    <s v="10"/>
    <s v="1020003         "/>
    <x v="1"/>
    <s v="Eakate sotsiaalhoolekande asutused"/>
    <s v="Sotsiaalne kaitse"/>
    <s v="Sotsiaalosakond"/>
    <s v="Üldtüüpi hooldekodusse paigut.in.ülalp.kulud"/>
    <n v="70000"/>
    <m/>
    <n v="5526"/>
    <s v="Sotsiaalteenused"/>
    <n v="55"/>
    <s v="55"/>
    <s v="Muud tegevuskulud"/>
    <s v="Majandamiskulud"/>
    <s v="Põhitegevuse kulu"/>
  </r>
  <r>
    <s v="10"/>
    <s v="1020002         "/>
    <x v="2"/>
    <s v="Eakate sotsiaalhoolekande asutused"/>
    <s v="Sotsiaalne kaitse"/>
    <s v="Ulvi kodu"/>
    <s v="Ravimid, mähkmed"/>
    <n v="-12000"/>
    <s v="Kulu kaetakse hooldajate pere poolt"/>
    <n v="5522"/>
    <s v="Meditsiinikulud ja hügieenitarbed"/>
    <n v="55"/>
    <s v="55"/>
    <s v="Muud tegevuskulud"/>
    <s v="Majandamiskulud"/>
    <s v="Põhitegevuse kulu"/>
  </r>
  <r>
    <s v="10"/>
    <s v="1020002         "/>
    <x v="2"/>
    <s v="Eakate sotsiaalhoolekande asutused"/>
    <s v="Sotsiaalne kaitse"/>
    <s v="Ulvi kodu"/>
    <s v="Ravimid, mähkmed"/>
    <n v="12000"/>
    <m/>
    <n v="5522"/>
    <s v="Meditsiinikulud ja hügieenitarbed"/>
    <n v="55"/>
    <s v="55"/>
    <s v="Muud tegevuskulud"/>
    <s v="Majandamiskulud"/>
    <s v="Põhitegevuse kulu"/>
  </r>
  <r>
    <s v="10"/>
    <s v="1020002         "/>
    <x v="2"/>
    <s v="Eakate sotsiaalhoolekande asutused"/>
    <s v="Sotsiaalne kaitse"/>
    <s v="Ulvi kodu"/>
    <s v="Personalitoit"/>
    <n v="-2200"/>
    <s v="Töötajad tasuvad ise tagasi"/>
    <n v="5521"/>
    <s v="Toiduained ja toitlustusteenused"/>
    <n v="55"/>
    <s v="55"/>
    <s v="Muud tegevuskulud"/>
    <s v="Majandamiskulud"/>
    <s v="Põhitegevuse kulu"/>
  </r>
  <r>
    <s v="10"/>
    <s v="1020002         "/>
    <x v="2"/>
    <s v="Eakate sotsiaalhoolekande asutused"/>
    <s v="Sotsiaalne kaitse"/>
    <s v="Ulvi kodu"/>
    <s v="tarkvara hooldus"/>
    <n v="100"/>
    <m/>
    <n v="5514"/>
    <s v="Info- ja kommunikatsioonitehnoliigised kulud"/>
    <n v="55"/>
    <s v="55"/>
    <s v="Muud tegevuskulud"/>
    <s v="Majandamiskulud"/>
    <s v="Põhitegevuse kulu"/>
  </r>
  <r>
    <s v="10"/>
    <s v="1020002         "/>
    <x v="2"/>
    <s v="Eakate sotsiaalhoolekande asutused"/>
    <s v="Sotsiaalne kaitse"/>
    <s v="Ulvi kodu"/>
    <s v="internet ja teler, telefon"/>
    <n v="650"/>
    <m/>
    <n v="5514"/>
    <s v="Info- ja kommunikatsioonitehnoliigised kulud"/>
    <n v="55"/>
    <s v="55"/>
    <s v="Muud tegevuskulud"/>
    <s v="Majandamiskulud"/>
    <s v="Põhitegevuse kulu"/>
  </r>
  <r>
    <s v="10"/>
    <s v="1020002         "/>
    <x v="2"/>
    <s v="Eakate sotsiaalhoolekande asutused"/>
    <s v="Sotsiaalne kaitse"/>
    <s v="Ulvi kodu"/>
    <s v="ettevõttekindlustus"/>
    <n v="180"/>
    <m/>
    <n v="5511"/>
    <s v="Kinnistute, hoonete ja ruumide majandamiskulud"/>
    <n v="55"/>
    <s v="55"/>
    <s v="Muud tegevuskulud"/>
    <s v="Majandamiskulud"/>
    <s v="Põhitegevuse kulu"/>
  </r>
  <r>
    <s v="10"/>
    <s v="1020002         "/>
    <x v="2"/>
    <s v="Eakate sotsiaalhoolekande asutused"/>
    <s v="Sotsiaalne kaitse"/>
    <s v="Ulvi kodu"/>
    <s v="ruumide korrashoid, pesu pesemine"/>
    <n v="6000"/>
    <m/>
    <n v="5511"/>
    <s v="Kinnistute, hoonete ja ruumide majandamiskulud"/>
    <n v="55"/>
    <s v="55"/>
    <s v="Muud tegevuskulud"/>
    <s v="Majandamiskulud"/>
    <s v="Põhitegevuse kulu"/>
  </r>
  <r>
    <s v="10"/>
    <s v="1020002         "/>
    <x v="2"/>
    <s v="Eakate sotsiaalhoolekande asutused"/>
    <s v="Sotsiaalne kaitse"/>
    <s v="Ulvi kodu"/>
    <s v="prügi vedu+energia kontroll)"/>
    <n v="900"/>
    <m/>
    <n v="5511"/>
    <s v="Kinnistute, hoonete ja ruumide majandamiskulud"/>
    <n v="55"/>
    <s v="55"/>
    <s v="Muud tegevuskulud"/>
    <s v="Majandamiskulud"/>
    <s v="Põhitegevuse kulu"/>
  </r>
  <r>
    <s v="10"/>
    <s v="1020002         "/>
    <x v="2"/>
    <s v="Eakate sotsiaalhoolekande asutused"/>
    <s v="Sotsiaalne kaitse"/>
    <s v="Ulvi kodu"/>
    <s v="korrashoid ja remont tubades"/>
    <n v="1000"/>
    <m/>
    <n v="5511"/>
    <s v="Kinnistute, hoonete ja ruumide majandamiskulud"/>
    <n v="55"/>
    <s v="55"/>
    <s v="Muud tegevuskulud"/>
    <s v="Majandamiskulud"/>
    <s v="Põhitegevuse kulu"/>
  </r>
  <r>
    <s v="10"/>
    <s v="1020002         "/>
    <x v="2"/>
    <s v="Eakate sotsiaalhoolekande asutused"/>
    <s v="Sotsiaalne kaitse"/>
    <s v="Ulvi kodu"/>
    <s v="vesi ja kanalisatsioon"/>
    <n v="2400"/>
    <m/>
    <n v="5511"/>
    <s v="Kinnistute, hoonete ja ruumide majandamiskulud"/>
    <n v="55"/>
    <s v="55"/>
    <s v="Muud tegevuskulud"/>
    <s v="Majandamiskulud"/>
    <s v="Põhitegevuse kulu"/>
  </r>
  <r>
    <s v="10"/>
    <s v="1020002         "/>
    <x v="2"/>
    <s v="Eakate sotsiaalhoolekande asutused"/>
    <s v="Sotsiaalne kaitse"/>
    <s v="Ulvi kodu"/>
    <s v="elekter"/>
    <n v="6000"/>
    <m/>
    <n v="5511"/>
    <s v="Kinnistute, hoonete ja ruumide majandamiskulud"/>
    <n v="55"/>
    <s v="55"/>
    <s v="Muud tegevuskulud"/>
    <s v="Majandamiskulud"/>
    <s v="Põhitegevuse kulu"/>
  </r>
  <r>
    <s v="10"/>
    <s v="1020002         "/>
    <x v="2"/>
    <s v="Eakate sotsiaalhoolekande asutused"/>
    <s v="Sotsiaalne kaitse"/>
    <s v="Ulvi kodu"/>
    <s v="soojusenergia ( küte)"/>
    <n v="9000"/>
    <m/>
    <n v="5511"/>
    <s v="Kinnistute, hoonete ja ruumide majandamiskulud"/>
    <n v="55"/>
    <s v="55"/>
    <s v="Muud tegevuskulud"/>
    <s v="Majandamiskulud"/>
    <s v="Põhitegevuse kulu"/>
  </r>
  <r>
    <s v="10"/>
    <s v="1020002         "/>
    <x v="2"/>
    <s v="Eakate sotsiaalhoolekande asutused"/>
    <s v="Sotsiaalne kaitse"/>
    <s v="Ulvi kodu"/>
    <s v="tervishoiuteenuse ostmine ( pereõde)"/>
    <n v="1000"/>
    <s v="uus teenus"/>
    <n v="5526"/>
    <s v="Sotsiaalteenused"/>
    <n v="55"/>
    <s v="55"/>
    <s v="Muud tegevuskulud"/>
    <s v="Majandamiskulud"/>
    <s v="Põhitegevuse kulu"/>
  </r>
  <r>
    <s v="10"/>
    <s v="1020002         "/>
    <x v="2"/>
    <s v="Eakate sotsiaalhoolekande asutused"/>
    <s v="Sotsiaalne kaitse"/>
    <s v="Ulvi kodu"/>
    <s v="sõiduabi (transport haiglast koju)"/>
    <n v="300"/>
    <m/>
    <n v="5526"/>
    <s v="Sotsiaalteenused"/>
    <n v="55"/>
    <s v="55"/>
    <s v="Muud tegevuskulud"/>
    <s v="Majandamiskulud"/>
    <s v="Põhitegevuse kulu"/>
  </r>
  <r>
    <s v="10"/>
    <s v="1020002         "/>
    <x v="2"/>
    <s v="Eakate sotsiaalhoolekande asutused"/>
    <s v="Sotsiaalne kaitse"/>
    <s v="Ulvi kodu"/>
    <s v="Tööriided  "/>
    <n v="500"/>
    <m/>
    <n v="5532"/>
    <s v="Eri- ja vormiriietus"/>
    <n v="55"/>
    <s v="55"/>
    <s v="Muud tegevuskulud"/>
    <s v="Majandamiskulud"/>
    <s v="Põhitegevuse kulu"/>
  </r>
  <r>
    <s v="10"/>
    <s v="1020002         "/>
    <x v="2"/>
    <s v="Eakate sotsiaalhoolekande asutused"/>
    <s v="Sotsiaalne kaitse"/>
    <s v="Ulvi kodu"/>
    <s v="üritused, huvitegevus, lilled"/>
    <n v="1600"/>
    <m/>
    <n v="5525"/>
    <s v="Kommunikatsiooni-, kultuuri- ja vaba aja sisustamise kulud"/>
    <n v="55"/>
    <s v="55"/>
    <s v="Muud tegevuskulud"/>
    <s v="Majandamiskulud"/>
    <s v="Põhitegevuse kulu"/>
  </r>
  <r>
    <s v="10"/>
    <s v="1020002         "/>
    <x v="2"/>
    <s v="Eakate sotsiaalhoolekande asutused"/>
    <s v="Sotsiaalne kaitse"/>
    <s v="Ulvi kodu"/>
    <s v="kaldtee "/>
    <n v="0"/>
    <s v="Lisavajadustes"/>
    <n v="5511"/>
    <s v="Kinnistute, hoonete ja ruumide majandamiskulud"/>
    <n v="55"/>
    <s v="55"/>
    <s v="Muud tegevuskulud"/>
    <s v="Majandamiskulud"/>
    <s v="Põhitegevuse kulu"/>
  </r>
  <r>
    <s v="10"/>
    <s v="1020002         "/>
    <x v="2"/>
    <s v="Eakate sotsiaalhoolekande asutused"/>
    <s v="Sotsiaalne kaitse"/>
    <s v="Ulvi kodu"/>
    <s v="Ravimid, mähkmed"/>
    <n v="200"/>
    <m/>
    <n v="5522"/>
    <s v="Meditsiinikulud ja hügieenitarbed"/>
    <n v="55"/>
    <s v="55"/>
    <s v="Muud tegevuskulud"/>
    <s v="Majandamiskulud"/>
    <s v="Põhitegevuse kulu"/>
  </r>
  <r>
    <s v="10"/>
    <s v="1020002         "/>
    <x v="2"/>
    <s v="Eakate sotsiaalhoolekande asutused"/>
    <s v="Sotsiaalne kaitse"/>
    <s v="Ulvi kodu"/>
    <s v="Personalitoit"/>
    <n v="2200"/>
    <m/>
    <n v="5521"/>
    <s v="Toiduained ja toitlustusteenused"/>
    <n v="55"/>
    <s v="55"/>
    <s v="Muud tegevuskulud"/>
    <s v="Majandamiskulud"/>
    <s v="Põhitegevuse kulu"/>
  </r>
  <r>
    <s v="10"/>
    <s v="1020002         "/>
    <x v="2"/>
    <s v="Eakate sotsiaalhoolekande asutused"/>
    <s v="Sotsiaalne kaitse"/>
    <s v="Ulvi kodu"/>
    <s v="Toiduained"/>
    <n v="24012"/>
    <m/>
    <n v="5521"/>
    <s v="Toiduained ja toitlustusteenused"/>
    <n v="55"/>
    <s v="55"/>
    <s v="Muud tegevuskulud"/>
    <s v="Majandamiskulud"/>
    <s v="Põhitegevuse kulu"/>
  </r>
  <r>
    <s v="10"/>
    <s v="1020002         "/>
    <x v="2"/>
    <s v="Eakate sotsiaalhoolekande asutused"/>
    <s v="Sotsiaalne kaitse"/>
    <s v="Ulvi kodu"/>
    <s v="pesukuivati"/>
    <n v="0"/>
    <s v="Lisavajadustes"/>
    <n v="5515"/>
    <s v="Inventari kulud, v.a infotehnoloogia ja kaitseotstarbelised kulud"/>
    <n v="55"/>
    <s v="55"/>
    <s v="Muud tegevuskulud"/>
    <s v="Majandamiskulud"/>
    <s v="Põhitegevuse kulu"/>
  </r>
  <r>
    <s v="10"/>
    <s v="1020002         "/>
    <x v="2"/>
    <s v="Eakate sotsiaalhoolekande asutused"/>
    <s v="Sotsiaalne kaitse"/>
    <s v="Ulvi kodu"/>
    <s v="madrats 2tk"/>
    <n v="200"/>
    <m/>
    <n v="5515"/>
    <s v="Inventari kulud, v.a infotehnoloogia ja kaitseotstarbelised kulud"/>
    <n v="55"/>
    <s v="55"/>
    <s v="Muud tegevuskulud"/>
    <s v="Majandamiskulud"/>
    <s v="Põhitegevuse kulu"/>
  </r>
  <r>
    <s v="10"/>
    <s v="1020002         "/>
    <x v="2"/>
    <s v="Eakate sotsiaalhoolekande asutused"/>
    <s v="Sotsiaalne kaitse"/>
    <s v="Ulvi kodu"/>
    <s v="nõudepesumasin"/>
    <n v="0"/>
    <s v="Lisavajadustes"/>
    <n v="5515"/>
    <s v="Inventari kulud, v.a infotehnoloogia ja kaitseotstarbelised kulud"/>
    <n v="55"/>
    <s v="55"/>
    <s v="Muud tegevuskulud"/>
    <s v="Majandamiskulud"/>
    <s v="Põhitegevuse kulu"/>
  </r>
  <r>
    <s v="10"/>
    <s v="1020002         "/>
    <x v="2"/>
    <s v="Eakate sotsiaalhoolekande asutused"/>
    <s v="Sotsiaalne kaitse"/>
    <s v="Ulvi kodu"/>
    <s v="köögitarvikud (potid, pannid) kööki, hooldus, remont"/>
    <n v="500"/>
    <m/>
    <n v="5515"/>
    <s v="Inventari kulud, v.a infotehnoloogia ja kaitseotstarbelised kulud"/>
    <n v="55"/>
    <s v="55"/>
    <s v="Muud tegevuskulud"/>
    <s v="Majandamiskulud"/>
    <s v="Põhitegevuse kulu"/>
  </r>
  <r>
    <s v="10"/>
    <s v="1020002         "/>
    <x v="2"/>
    <s v="Eakate sotsiaalhoolekande asutused"/>
    <s v="Sotsiaalne kaitse"/>
    <s v="Ulvi kodu"/>
    <s v="voodipesu 30"/>
    <n v="600"/>
    <m/>
    <n v="5515"/>
    <s v="Inventari kulud, v.a infotehnoloogia ja kaitseotstarbelised kulud"/>
    <n v="55"/>
    <s v="55"/>
    <s v="Muud tegevuskulud"/>
    <s v="Majandamiskulud"/>
    <s v="Põhitegevuse kulu"/>
  </r>
  <r>
    <s v="10"/>
    <s v="1020002         "/>
    <x v="2"/>
    <s v="Eakate sotsiaalhoolekande asutused"/>
    <s v="Sotsiaalne kaitse"/>
    <s v="Ulvi kodu"/>
    <s v="riidekapp 1 tk"/>
    <n v="230"/>
    <m/>
    <n v="5515"/>
    <s v="Inventari kulud, v.a infotehnoloogia ja kaitseotstarbelised kulud"/>
    <n v="55"/>
    <s v="55"/>
    <s v="Muud tegevuskulud"/>
    <s v="Majandamiskulud"/>
    <s v="Põhitegevuse kulu"/>
  </r>
  <r>
    <s v="10"/>
    <s v="1020002         "/>
    <x v="2"/>
    <s v="Eakate sotsiaalhoolekande asutused"/>
    <s v="Sotsiaalne kaitse"/>
    <s v="Ulvi kodu"/>
    <s v="voodikapp lauaga 2 tk  "/>
    <n v="600"/>
    <m/>
    <n v="5515"/>
    <s v="Inventari kulud, v.a infotehnoloogia ja kaitseotstarbelised kulud"/>
    <n v="55"/>
    <s v="55"/>
    <s v="Muud tegevuskulud"/>
    <s v="Majandamiskulud"/>
    <s v="Põhitegevuse kulu"/>
  </r>
  <r>
    <s v="10"/>
    <s v="1020002         "/>
    <x v="2"/>
    <s v="Eakate sotsiaalhoolekande asutused"/>
    <s v="Sotsiaalne kaitse"/>
    <s v="Ulvi kodu"/>
    <s v="isikliku sõiduauto komp."/>
    <n v="1650"/>
    <s v="sõidukite kulud 11kuud * 150"/>
    <n v="5513"/>
    <s v="Sõidukite ülalpidamise kulud"/>
    <n v="55"/>
    <s v="55"/>
    <s v="Muud tegevuskulud"/>
    <s v="Majandamiskulud"/>
    <s v="Põhitegevuse kulu"/>
  </r>
  <r>
    <s v="10"/>
    <s v="1020002         "/>
    <x v="2"/>
    <s v="Eakate sotsiaalhoolekande asutused"/>
    <s v="Sotsiaalne kaitse"/>
    <s v="Ulvi kodu"/>
    <s v="koolitused"/>
    <n v="650"/>
    <m/>
    <n v="5504"/>
    <s v="Koolituskulud"/>
    <n v="55"/>
    <s v="55"/>
    <s v="Muud tegevuskulud"/>
    <s v="Majandamiskulud"/>
    <s v="Põhitegevuse kulu"/>
  </r>
  <r>
    <s v="10"/>
    <s v="1020002         "/>
    <x v="2"/>
    <s v="Eakate sotsiaalhoolekande asutused"/>
    <s v="Sotsiaalne kaitse"/>
    <s v="Ulvi kodu"/>
    <s v="esinduskulu"/>
    <n v="200"/>
    <m/>
    <n v="5500"/>
    <s v="Administreerimiskulud"/>
    <n v="55"/>
    <s v="55"/>
    <s v="Muud tegevuskulud"/>
    <s v="Majandamiskulud"/>
    <s v="Põhitegevuse kulu"/>
  </r>
  <r>
    <s v="10"/>
    <s v="1020002         "/>
    <x v="2"/>
    <s v="Eakate sotsiaalhoolekande asutused"/>
    <s v="Sotsiaalne kaitse"/>
    <s v="Ulvi kodu"/>
    <s v="ajalehed( virumaa teataja, kodutohter "/>
    <n v="170"/>
    <m/>
    <n v="5500"/>
    <s v="Administreerimiskulud"/>
    <n v="55"/>
    <s v="55"/>
    <s v="Muud tegevuskulud"/>
    <s v="Majandamiskulud"/>
    <s v="Põhitegevuse kulu"/>
  </r>
  <r>
    <s v="10"/>
    <s v="1020002         "/>
    <x v="2"/>
    <s v="Eakate sotsiaalhoolekande asutused"/>
    <s v="Sotsiaalne kaitse"/>
    <s v="Ulvi kodu"/>
    <s v="bürootarbed"/>
    <n v="120"/>
    <m/>
    <n v="5500"/>
    <s v="Administreerimiskulud"/>
    <n v="55"/>
    <s v="55"/>
    <s v="Muud tegevuskulud"/>
    <s v="Majandamiskulud"/>
    <s v="Põhitegevuse kulu"/>
  </r>
  <r>
    <s v="10"/>
    <s v="1020002         "/>
    <x v="2"/>
    <s v="Eakate sotsiaalhoolekande asutused"/>
    <s v="Sotsiaalne kaitse"/>
    <s v="Arendusnõunik"/>
    <s v="Ulvi Kodu rekonstrueerimine"/>
    <n v="-200000"/>
    <s v="Rah.Min EL HKS (heitmekaubanduse süsteem)"/>
    <n v="20385"/>
    <s v="Põhivara soetuseks saadav sihtfinantseerimine"/>
    <n v="3502"/>
    <s v="20"/>
    <s v="Põhivara soetuseks saadav sihtfinantseerimine (+)"/>
    <s v="Põhivara soetuseks saadav sihtfinantseerimine (+)"/>
    <s v="Investeerimistegevus"/>
  </r>
  <r>
    <s v="10"/>
    <s v="1020002         "/>
    <x v="2"/>
    <s v="Eakate sotsiaalhoolekande asutused"/>
    <s v="Sotsiaalne kaitse"/>
    <s v="Arendusnõunik"/>
    <s v="Ulvi Kodu rekonstrueerimine"/>
    <n v="400000"/>
    <m/>
    <n v="1551"/>
    <s v="Rajatiste ja hoonete soetamine ja renoveerimine"/>
    <n v="15"/>
    <s v="15"/>
    <s v="Põhivara soetus (-)"/>
    <s v="Põhivara soetus (-)"/>
    <s v="Investeerimistegevus"/>
  </r>
  <r>
    <s v="10"/>
    <s v="1020001         "/>
    <x v="3"/>
    <s v="Eakate sotsiaalhoolekande asutused"/>
    <s v="Sotsiaalne kaitse"/>
    <s v="Tammiku kodu"/>
    <s v="TV, arvutid"/>
    <n v="1100"/>
    <m/>
    <n v="5514"/>
    <s v="Info- ja kommunikatsioonitehnoliigised kulud"/>
    <n v="55"/>
    <s v="55"/>
    <s v="Muud tegevuskulud"/>
    <s v="Majandamiskulud"/>
    <s v="Põhitegevuse kulu"/>
  </r>
  <r>
    <s v="10"/>
    <s v="1020001         "/>
    <x v="3"/>
    <s v="Eakate sotsiaalhoolekande asutused"/>
    <s v="Sotsiaalne kaitse"/>
    <s v="Tammiku kodu"/>
    <s v="kütus muruniidukile, niiduki õli ja remont"/>
    <n v="180"/>
    <s v="20 l kuus 240, õli, remont 150                                                                   "/>
    <n v="5511"/>
    <s v="Kinnistute, hoonete ja ruumide majandamiskulud"/>
    <n v="55"/>
    <s v="55"/>
    <s v="Muud tegevuskulud"/>
    <s v="Majandamiskulud"/>
    <s v="Põhitegevuse kulu"/>
  </r>
  <r>
    <s v="10"/>
    <s v="1020001         "/>
    <x v="3"/>
    <s v="Eakate sotsiaalhoolekande asutused"/>
    <s v="Sotsiaalne kaitse"/>
    <s v="Tammiku kodu"/>
    <s v="kahjuritõrje, prügi"/>
    <n v="296"/>
    <s v="Rentokil 35x4, prügi 13x12                 "/>
    <n v="5511"/>
    <s v="Kinnistute, hoonete ja ruumide majandamiskulud"/>
    <n v="55"/>
    <s v="55"/>
    <s v="Muud tegevuskulud"/>
    <s v="Majandamiskulud"/>
    <s v="Põhitegevuse kulu"/>
  </r>
  <r>
    <s v="10"/>
    <s v="1020001         "/>
    <x v="3"/>
    <s v="Eakate sotsiaalhoolekande asutused"/>
    <s v="Sotsiaalne kaitse"/>
    <s v="Tammiku kodu"/>
    <s v="korstna-ja ventilatsiooni puhastus"/>
    <n v="654"/>
    <s v="Päästeameti nõue                                         "/>
    <n v="5511"/>
    <s v="Kinnistute, hoonete ja ruumide majandamiskulud"/>
    <n v="55"/>
    <s v="55"/>
    <s v="Muud tegevuskulud"/>
    <s v="Majandamiskulud"/>
    <s v="Põhitegevuse kulu"/>
  </r>
  <r>
    <s v="10"/>
    <s v="1020001         "/>
    <x v="3"/>
    <s v="Eakate sotsiaalhoolekande asutused"/>
    <s v="Sotsiaalne kaitse"/>
    <s v="Tammiku kodu"/>
    <s v="vee analüüsid"/>
    <n v="150"/>
    <s v="Terviseamet                                               "/>
    <n v="5511"/>
    <s v="Kinnistute, hoonete ja ruumide majandamiskulud"/>
    <n v="55"/>
    <s v="55"/>
    <s v="Muud tegevuskulud"/>
    <s v="Majandamiskulud"/>
    <s v="Põhitegevuse kulu"/>
  </r>
  <r>
    <s v="10"/>
    <s v="1020001         "/>
    <x v="3"/>
    <s v="Eakate sotsiaalhoolekande asutused"/>
    <s v="Sotsiaalne kaitse"/>
    <s v="Tammiku kodu"/>
    <s v="Valve ATS hooldus"/>
    <n v="288"/>
    <s v="4x72 GAS Eesti                                            "/>
    <n v="5511"/>
    <s v="Kinnistute, hoonete ja ruumide majandamiskulud"/>
    <n v="55"/>
    <s v="55"/>
    <s v="Muud tegevuskulud"/>
    <s v="Majandamiskulud"/>
    <s v="Põhitegevuse kulu"/>
  </r>
  <r>
    <s v="10"/>
    <s v="1020001         "/>
    <x v="3"/>
    <s v="Eakate sotsiaalhoolekande asutused"/>
    <s v="Sotsiaalne kaitse"/>
    <s v="Tammiku kodu"/>
    <s v="KÜ maksud"/>
    <n v="4300"/>
    <s v="Järve 2-10 ja Järve 6-21          "/>
    <n v="5511"/>
    <s v="Kinnistute, hoonete ja ruumide majandamiskulud"/>
    <n v="55"/>
    <s v="55"/>
    <s v="Muud tegevuskulud"/>
    <s v="Majandamiskulud"/>
    <s v="Põhitegevuse kulu"/>
  </r>
  <r>
    <s v="10"/>
    <s v="1020001         "/>
    <x v="3"/>
    <s v="Eakate sotsiaalhoolekande asutused"/>
    <s v="Sotsiaalne kaitse"/>
    <s v="Tammiku kodu"/>
    <s v="korrashoiuvahendid, voodipesud, käterätid jms"/>
    <n v="4100"/>
    <s v="pesuvahendid, puhastustarbed jm         "/>
    <n v="5511"/>
    <s v="Kinnistute, hoonete ja ruumide majandamiskulud"/>
    <n v="55"/>
    <s v="55"/>
    <s v="Muud tegevuskulud"/>
    <s v="Majandamiskulud"/>
    <s v="Põhitegevuse kulu"/>
  </r>
  <r>
    <s v="10"/>
    <s v="1020001         "/>
    <x v="3"/>
    <s v="Eakate sotsiaalhoolekande asutused"/>
    <s v="Sotsiaalne kaitse"/>
    <s v="Tammiku kodu"/>
    <s v="vesi ja kanalisatsioon"/>
    <n v="2760"/>
    <s v="Fixum 230 eurot kuus                                                      "/>
    <n v="5511"/>
    <s v="Kinnistute, hoonete ja ruumide majandamiskulud"/>
    <n v="55"/>
    <s v="55"/>
    <s v="Muud tegevuskulud"/>
    <s v="Majandamiskulud"/>
    <s v="Põhitegevuse kulu"/>
  </r>
  <r>
    <s v="10"/>
    <s v="1020001         "/>
    <x v="3"/>
    <s v="Eakate sotsiaalhoolekande asutused"/>
    <s v="Sotsiaalne kaitse"/>
    <s v="Tammiku kodu"/>
    <s v="elekter"/>
    <n v="4150"/>
    <s v="Obja k peamaja ja 2 korterit Roelas             "/>
    <n v="5511"/>
    <s v="Kinnistute, hoonete ja ruumide majandamiskulud"/>
    <n v="55"/>
    <s v="55"/>
    <s v="Muud tegevuskulud"/>
    <s v="Majandamiskulud"/>
    <s v="Põhitegevuse kulu"/>
  </r>
  <r>
    <s v="10"/>
    <s v="1020001         "/>
    <x v="3"/>
    <s v="Eakate sotsiaalhoolekande asutused"/>
    <s v="Sotsiaalne kaitse"/>
    <s v="Tammiku kodu"/>
    <s v="küte"/>
    <n v="1500"/>
    <s v="35 m2 puid Tammiku Kodule                           "/>
    <n v="5511"/>
    <s v="Kinnistute, hoonete ja ruumide majandamiskulud"/>
    <n v="55"/>
    <s v="55"/>
    <s v="Muud tegevuskulud"/>
    <s v="Majandamiskulud"/>
    <s v="Põhitegevuse kulu"/>
  </r>
  <r>
    <s v="10"/>
    <s v="1020001         "/>
    <x v="3"/>
    <s v="Eakate sotsiaalhoolekande asutused"/>
    <s v="Sotsiaalne kaitse"/>
    <s v="Tammiku kodu"/>
    <s v="Ettenägematud soetused"/>
    <n v="940"/>
    <m/>
    <n v="5540"/>
    <s v="Mitmesugused majanduskulud"/>
    <n v="55"/>
    <s v="55"/>
    <s v="Muud tegevuskulud"/>
    <s v="Majandamiskulud"/>
    <s v="Põhitegevuse kulu"/>
  </r>
  <r>
    <s v="10"/>
    <s v="1020001         "/>
    <x v="3"/>
    <s v="Eakate sotsiaalhoolekande asutused"/>
    <s v="Sotsiaalne kaitse"/>
    <s v="Tammiku kodu"/>
    <s v="Üritused, sünnipäevad, esinejad"/>
    <n v="1000"/>
    <m/>
    <n v="5525"/>
    <s v="Kommunikatsiooni-, kultuuri- ja vaba aja sisustamise kulud"/>
    <n v="55"/>
    <s v="55"/>
    <s v="Muud tegevuskulud"/>
    <s v="Majandamiskulud"/>
    <s v="Põhitegevuse kulu"/>
  </r>
  <r>
    <s v="10"/>
    <s v="1020001         "/>
    <x v="3"/>
    <s v="Eakate sotsiaalhoolekande asutused"/>
    <s v="Sotsiaalne kaitse"/>
    <s v="Tammiku kodu"/>
    <s v="Haiglatasud"/>
    <n v="300"/>
    <s v="Haigla voodi-ja visiiditasud                           "/>
    <n v="5522"/>
    <s v="Meditsiinikulud ja hügieenitarbed"/>
    <n v="55"/>
    <s v="55"/>
    <s v="Muud tegevuskulud"/>
    <s v="Majandamiskulud"/>
    <s v="Põhitegevuse kulu"/>
  </r>
  <r>
    <s v="10"/>
    <s v="1020001         "/>
    <x v="3"/>
    <s v="Eakate sotsiaalhoolekande asutused"/>
    <s v="Sotsiaalne kaitse"/>
    <s v="Tammiku kodu"/>
    <s v="Hügieenitarbed"/>
    <n v="2060"/>
    <s v="1x linad, pesemiskindad, mähkmed jm      "/>
    <n v="5522"/>
    <s v="Meditsiinikulud ja hügieenitarbed"/>
    <n v="55"/>
    <s v="55"/>
    <s v="Muud tegevuskulud"/>
    <s v="Majandamiskulud"/>
    <s v="Põhitegevuse kulu"/>
  </r>
  <r>
    <s v="10"/>
    <s v="1020001         "/>
    <x v="3"/>
    <s v="Eakate sotsiaalhoolekande asutused"/>
    <s v="Sotsiaalne kaitse"/>
    <s v="Tammiku kodu"/>
    <s v="Ravimid"/>
    <n v="1850"/>
    <s v="Retsepti-ja vabamüügiravimid             "/>
    <n v="5522"/>
    <s v="Meditsiinikulud ja hügieenitarbed"/>
    <n v="55"/>
    <s v="55"/>
    <s v="Muud tegevuskulud"/>
    <s v="Majandamiskulud"/>
    <s v="Põhitegevuse kulu"/>
  </r>
  <r>
    <s v="10"/>
    <s v="1020001         "/>
    <x v="3"/>
    <s v="Eakate sotsiaalhoolekande asutused"/>
    <s v="Sotsiaalne kaitse"/>
    <s v="Tammiku kodu"/>
    <s v="Pereõe külastus"/>
    <n v="1000"/>
    <s v="Riina Sinisoo 1x kuus                                  "/>
    <n v="5522"/>
    <s v="Meditsiinikulud ja hügieenitarbed"/>
    <n v="55"/>
    <s v="55"/>
    <s v="Muud tegevuskulud"/>
    <s v="Majandamiskulud"/>
    <s v="Põhitegevuse kulu"/>
  </r>
  <r>
    <s v="10"/>
    <s v="1020001         "/>
    <x v="3"/>
    <s v="Eakate sotsiaalhoolekande asutused"/>
    <s v="Sotsiaalne kaitse"/>
    <s v="Tammiku kodu"/>
    <s v="Tervisekontroll"/>
    <n v="100"/>
    <s v="Töötajad                                                     "/>
    <n v="5522"/>
    <s v="Meditsiinikulud ja hügieenitarbed"/>
    <n v="55"/>
    <s v="55"/>
    <s v="Muud tegevuskulud"/>
    <s v="Majandamiskulud"/>
    <s v="Põhitegevuse kulu"/>
  </r>
  <r>
    <s v="10"/>
    <s v="1020001         "/>
    <x v="3"/>
    <s v="Eakate sotsiaalhoolekande asutused"/>
    <s v="Sotsiaalne kaitse"/>
    <s v="Tammiku kodu"/>
    <s v="toidukaup"/>
    <n v="19535"/>
    <s v="24 in x 365 p x 2,30                                  "/>
    <n v="5521"/>
    <s v="Toiduained ja toitlustusteenused"/>
    <n v="55"/>
    <s v="55"/>
    <s v="Muud tegevuskulud"/>
    <s v="Majandamiskulud"/>
    <s v="Põhitegevuse kulu"/>
  </r>
  <r>
    <s v="10"/>
    <s v="1020001         "/>
    <x v="3"/>
    <s v="Eakate sotsiaalhoolekande asutused"/>
    <s v="Sotsiaalne kaitse"/>
    <s v="Tammiku kodu"/>
    <s v="sotsiaaltranspordi teenus"/>
    <n v="432"/>
    <m/>
    <n v="5513"/>
    <s v="Sõidukite ülalpidamise kulud"/>
    <n v="55"/>
    <s v="55"/>
    <s v="Muud tegevuskulud"/>
    <s v="Majandamiskulud"/>
    <s v="Põhitegevuse kulu"/>
  </r>
  <r>
    <s v="10"/>
    <s v="1020001         "/>
    <x v="3"/>
    <s v="Eakate sotsiaalhoolekande asutused"/>
    <s v="Sotsiaalne kaitse"/>
    <s v="Tammiku kodu"/>
    <s v="el.auto tehnhool, kindlustus, remont"/>
    <n v="800"/>
    <m/>
    <n v="5513"/>
    <s v="Sõidukite ülalpidamise kulud"/>
    <n v="55"/>
    <s v="55"/>
    <s v="Muud tegevuskulud"/>
    <s v="Majandamiskulud"/>
    <s v="Põhitegevuse kulu"/>
  </r>
  <r>
    <s v="10"/>
    <s v="1020001         "/>
    <x v="3"/>
    <s v="Eakate sotsiaalhoolekande asutused"/>
    <s v="Sotsiaalne kaitse"/>
    <s v="Tammiku kodu"/>
    <s v="plaanilised koolitused"/>
    <n v="150"/>
    <s v="hooldajate, kokkade koolitused                         "/>
    <n v="5504"/>
    <s v="Koolituskulud"/>
    <n v="55"/>
    <s v="55"/>
    <s v="Muud tegevuskulud"/>
    <s v="Majandamiskulud"/>
    <s v="Põhitegevuse kulu"/>
  </r>
  <r>
    <s v="10"/>
    <s v="1020001         "/>
    <x v="3"/>
    <s v="Eakate sotsiaalhoolekande asutused"/>
    <s v="Sotsiaalne kaitse"/>
    <s v="Tammiku kodu"/>
    <s v="koolituste plaan"/>
    <n v="50"/>
    <s v="juhataja koolitus                                                "/>
    <n v="5504"/>
    <s v="Koolituskulud"/>
    <n v="55"/>
    <s v="55"/>
    <s v="Muud tegevuskulud"/>
    <s v="Majandamiskulud"/>
    <s v="Põhitegevuse kulu"/>
  </r>
  <r>
    <s v="10"/>
    <s v="1020001         "/>
    <x v="3"/>
    <s v="Eakate sotsiaalhoolekande asutused"/>
    <s v="Sotsiaalne kaitse"/>
    <s v="Tammiku kodu"/>
    <s v="kodulehekülg"/>
    <n v="76"/>
    <s v="Elkada Oü 19x44                                                 "/>
    <n v="5500"/>
    <s v="Administreerimiskulud"/>
    <n v="55"/>
    <s v="55"/>
    <s v="Muud tegevuskulud"/>
    <s v="Majandamiskulud"/>
    <s v="Põhitegevuse kulu"/>
  </r>
  <r>
    <s v="10"/>
    <s v="1020001         "/>
    <x v="3"/>
    <s v="Eakate sotsiaalhoolekande asutused"/>
    <s v="Sotsiaalne kaitse"/>
    <s v="Tammiku kodu"/>
    <s v="tahm, paber, kirjatarbed"/>
    <n v="174"/>
    <s v="tint 30x4; paber, kirjatarbed                              "/>
    <n v="5500"/>
    <s v="Administreerimiskulud"/>
    <n v="55"/>
    <s v="55"/>
    <s v="Muud tegevuskulud"/>
    <s v="Majandamiskulud"/>
    <s v="Põhitegevuse kulu"/>
  </r>
  <r>
    <s v="10"/>
    <s v="1020001         "/>
    <x v="3"/>
    <s v="Eakate sotsiaalhoolekande asutused"/>
    <s v="Sotsiaalne kaitse"/>
    <s v="Tammiku kodu"/>
    <s v="ajaleht "/>
    <n v="150"/>
    <s v="Virumaa Teataja                                               "/>
    <n v="5500"/>
    <s v="Administreerimiskulud"/>
    <n v="55"/>
    <s v="55"/>
    <s v="Muud tegevuskulud"/>
    <s v="Majandamiskulud"/>
    <s v="Põhitegevuse kulu"/>
  </r>
  <r>
    <s v="10"/>
    <s v="1020001         "/>
    <x v="3"/>
    <s v="Eakate sotsiaalhoolekande asutused"/>
    <s v="Sotsiaalne kaitse"/>
    <s v="Tammiku kodu"/>
    <s v="telefonid ja internet, TV"/>
    <n v="2000"/>
    <m/>
    <n v="5500"/>
    <s v="Administreerimiskulud"/>
    <n v="55"/>
    <s v="55"/>
    <s v="Muud tegevuskulud"/>
    <s v="Majandamiskulud"/>
    <s v="Põhitegevuse kulu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63">
  <r>
    <s v="06"/>
    <s v="0660509         "/>
    <x v="0"/>
    <x v="0"/>
    <s v="Elamu- ja kommunaalmajandus"/>
    <s v="Keskkonna- ja kommunaalnõunik"/>
    <s v="Lemmikloomaregister SPIN TEK"/>
    <n v="662.40000000000009"/>
    <m/>
    <n v="5514"/>
    <s v="Info- ja kommunikatsioonitehnoliigised kulud"/>
    <n v="55"/>
    <s v="55"/>
    <s v="Muud tegevuskulud"/>
    <s v="Majandamiskulud"/>
    <s v="Põhitegevuse kulu"/>
  </r>
  <r>
    <s v="06"/>
    <s v="0660509         "/>
    <x v="0"/>
    <x v="0"/>
    <s v="Elamu- ja kommunaalmajandus"/>
    <s v="Keskkonna- ja kommunaalnõunik"/>
    <s v="muud hulkuvate loomadega seotud kulud"/>
    <n v="837.6"/>
    <m/>
    <n v="5511"/>
    <s v="Kinnistute, hoonete ja ruumide majandamiskulud"/>
    <n v="55"/>
    <s v="55"/>
    <s v="Muud tegevuskulud"/>
    <s v="Majandamiskulud"/>
    <s v="Põhitegevuse kulu"/>
  </r>
  <r>
    <s v="06"/>
    <s v="0660509         "/>
    <x v="0"/>
    <x v="0"/>
    <s v="Elamu- ja kommunaalmajandus"/>
    <s v="Keskkonna- ja kommunaalnõunik"/>
    <s v="Varjupaikade MTÜ püsitasu kohalikelt + muuda tasud"/>
    <n v="9000"/>
    <m/>
    <n v="5511"/>
    <s v="Kinnistute, hoonete ja ruumide majandamiskulud"/>
    <n v="55"/>
    <s v="55"/>
    <s v="Muud tegevuskulud"/>
    <s v="Majandamiskulud"/>
    <s v="Põhitegevuse kulu"/>
  </r>
  <r>
    <s v="06"/>
    <s v="0660508         "/>
    <x v="1"/>
    <x v="0"/>
    <s v="Elamu- ja kommunaalmajandus"/>
    <s v="Viru-Jaagupi piirkonna juht"/>
    <s v="Viru-Jaagupi kalmistu kiviaed"/>
    <n v="10000"/>
    <m/>
    <n v="5512"/>
    <s v="Rajatiste majandamiskulud"/>
    <n v="55"/>
    <s v="55"/>
    <s v="Muud tegevuskulud"/>
    <s v="Majandamiskulud"/>
    <s v="Põhitegevuse kulu"/>
  </r>
  <r>
    <s v="06"/>
    <s v="0660508         "/>
    <x v="1"/>
    <x v="0"/>
    <s v="Elamu- ja kommunaalmajandus"/>
    <s v="Viru-Jaagupi piirkonna juht"/>
    <s v="Viru-Jaagupi kabeli põrand"/>
    <n v="2000"/>
    <m/>
    <n v="5511"/>
    <s v="Kinnistute, hoonete ja ruumide majandamiskulud"/>
    <n v="55"/>
    <s v="55"/>
    <s v="Muud tegevuskulud"/>
    <s v="Majandamiskulud"/>
    <s v="Põhitegevuse kulu"/>
  </r>
  <r>
    <s v="06"/>
    <s v="0660508         "/>
    <x v="1"/>
    <x v="0"/>
    <s v="Elamu- ja kommunaalmajandus"/>
    <s v="Viru-Jaagupi piirkonna juht"/>
    <s v="Kütus seadmetele"/>
    <n v="500"/>
    <s v="traktor, trimmer, saag"/>
    <n v="5511"/>
    <s v="Kinnistute, hoonete ja ruumide majandamiskulud"/>
    <n v="55"/>
    <s v="55"/>
    <s v="Muud tegevuskulud"/>
    <s v="Majandamiskulud"/>
    <s v="Põhitegevuse kulu"/>
  </r>
  <r>
    <s v="06"/>
    <s v="0660508         "/>
    <x v="1"/>
    <x v="0"/>
    <s v="Elamu- ja kommunaalmajandus"/>
    <s v="Viru-Jaagupi piirkonna juht"/>
    <s v="Ohtlike puude langetus, pinnase tasandamine"/>
    <n v="6000"/>
    <s v="Viru-Jaagupi"/>
    <n v="5511"/>
    <s v="Kinnistute, hoonete ja ruumide majandamiskulud"/>
    <n v="55"/>
    <s v="55"/>
    <s v="Muud tegevuskulud"/>
    <s v="Majandamiskulud"/>
    <s v="Põhitegevuse kulu"/>
  </r>
  <r>
    <s v="06"/>
    <s v="0660508         "/>
    <x v="1"/>
    <x v="0"/>
    <s v="Elamu- ja kommunaalmajandus"/>
    <s v="Viru-Jaagupi piirkonna juht"/>
    <s v="Ohtlike puude langetus"/>
    <n v="6000"/>
    <s v="Tudu "/>
    <n v="5511"/>
    <s v="Kinnistute, hoonete ja ruumide majandamiskulud"/>
    <n v="55"/>
    <s v="55"/>
    <s v="Muud tegevuskulud"/>
    <s v="Majandamiskulud"/>
    <s v="Põhitegevuse kulu"/>
  </r>
  <r>
    <s v="06"/>
    <s v="0660508         "/>
    <x v="1"/>
    <x v="0"/>
    <s v="Elamu- ja kommunaalmajandus"/>
    <s v="Viru-Jaagupi piirkonna juht"/>
    <s v="Heakorravahendid"/>
    <n v="500"/>
    <s v="kärud, rehad, kastekannud jms"/>
    <n v="5511"/>
    <s v="Kinnistute, hoonete ja ruumide majandamiskulud"/>
    <n v="55"/>
    <s v="55"/>
    <s v="Muud tegevuskulud"/>
    <s v="Majandamiskulud"/>
    <s v="Põhitegevuse kulu"/>
  </r>
  <r>
    <s v="06"/>
    <s v="0660508         "/>
    <x v="1"/>
    <x v="0"/>
    <s v="Elamu- ja kommunaalmajandus"/>
    <s v="Viru-Jaagupi piirkonna juht"/>
    <s v="Simuna kalmistu haldamine"/>
    <n v="2556.48"/>
    <m/>
    <n v="5511"/>
    <s v="Kinnistute, hoonete ja ruumide majandamiskulud"/>
    <n v="55"/>
    <s v="55"/>
    <s v="Muud tegevuskulud"/>
    <s v="Majandamiskulud"/>
    <s v="Põhitegevuse kulu"/>
  </r>
  <r>
    <s v="06"/>
    <s v="0660508         "/>
    <x v="1"/>
    <x v="0"/>
    <s v="Elamu- ja kommunaalmajandus"/>
    <s v="Viru-Jaagupi piirkonna juht"/>
    <s v="Tõrma kalmistu haldamine"/>
    <n v="2400"/>
    <m/>
    <n v="5511"/>
    <s v="Kinnistute, hoonete ja ruumide majandamiskulud"/>
    <n v="55"/>
    <s v="55"/>
    <s v="Muud tegevuskulud"/>
    <s v="Majandamiskulud"/>
    <s v="Põhitegevuse kulu"/>
  </r>
  <r>
    <s v="06"/>
    <s v="0660508         "/>
    <x v="1"/>
    <x v="0"/>
    <s v="Elamu- ja kommunaalmajandus"/>
    <s v="Viru-Jaagupi piirkonna juht"/>
    <s v="Liiv"/>
    <n v="1000"/>
    <m/>
    <n v="5511"/>
    <s v="Kinnistute, hoonete ja ruumide majandamiskulud"/>
    <n v="55"/>
    <s v="55"/>
    <s v="Muud tegevuskulud"/>
    <s v="Majandamiskulud"/>
    <s v="Põhitegevuse kulu"/>
  </r>
  <r>
    <s v="06"/>
    <s v="0660508         "/>
    <x v="1"/>
    <x v="0"/>
    <s v="Elamu- ja kommunaalmajandus"/>
    <s v="Viru-Jaagupi piirkonna juht"/>
    <s v="Konteineri rent"/>
    <n v="411"/>
    <s v="Tudu 2 konteinerit (Ragn Sells, Jäätmekeskus)"/>
    <n v="5511"/>
    <s v="Kinnistute, hoonete ja ruumide majandamiskulud"/>
    <n v="55"/>
    <s v="55"/>
    <s v="Muud tegevuskulud"/>
    <s v="Majandamiskulud"/>
    <s v="Põhitegevuse kulu"/>
  </r>
  <r>
    <s v="06"/>
    <s v="0660508         "/>
    <x v="1"/>
    <x v="0"/>
    <s v="Elamu- ja kommunaalmajandus"/>
    <s v="Viru-Jaagupi piirkonna juht"/>
    <s v="Prügivedu"/>
    <n v="3000"/>
    <m/>
    <n v="5511"/>
    <s v="Kinnistute, hoonete ja ruumide majandamiskulud"/>
    <n v="55"/>
    <s v="55"/>
    <s v="Muud tegevuskulud"/>
    <s v="Majandamiskulud"/>
    <s v="Põhitegevuse kulu"/>
  </r>
  <r>
    <s v="06"/>
    <s v="0660508         "/>
    <x v="1"/>
    <x v="0"/>
    <s v="Elamu- ja kommunaalmajandus"/>
    <s v="Viru-Jaagupi piirkonna juht"/>
    <s v="Välikäimlad"/>
    <n v="624"/>
    <s v="Viru-Jaagupi"/>
    <n v="5511"/>
    <s v="Kinnistute, hoonete ja ruumide majandamiskulud"/>
    <n v="55"/>
    <s v="55"/>
    <s v="Muud tegevuskulud"/>
    <s v="Majandamiskulud"/>
    <s v="Põhitegevuse kulu"/>
  </r>
  <r>
    <s v="06"/>
    <s v="0660507         "/>
    <x v="2"/>
    <x v="0"/>
    <s v="Elamu- ja kommunaalmajandus"/>
    <s v="Viru-Jaagupi piirkonna juht"/>
    <s v="Korstnapühkimisteenus"/>
    <n v="225"/>
    <m/>
    <n v="5511"/>
    <s v="Kinnistute, hoonete ja ruumide majandamiskulud"/>
    <n v="55"/>
    <s v="55"/>
    <s v="Muud tegevuskulud"/>
    <s v="Majandamiskulud"/>
    <s v="Põhitegevuse kulu"/>
  </r>
  <r>
    <s v="06"/>
    <s v="0660507         "/>
    <x v="2"/>
    <x v="0"/>
    <s v="Elamu- ja kommunaalmajandus"/>
    <s v="Viru-Jaagupi piirkonna juht"/>
    <s v="Korrashoiuvahendid"/>
    <n v="600"/>
    <m/>
    <n v="5511"/>
    <s v="Kinnistute, hoonete ja ruumide majandamiskulud"/>
    <n v="55"/>
    <s v="55"/>
    <s v="Muud tegevuskulud"/>
    <s v="Majandamiskulud"/>
    <s v="Põhitegevuse kulu"/>
  </r>
  <r>
    <s v="06"/>
    <s v="0660507         "/>
    <x v="2"/>
    <x v="0"/>
    <s v="Elamu- ja kommunaalmajandus"/>
    <s v="Viru-Jaagupi piirkonna juht"/>
    <s v="Pisiremonttööd"/>
    <n v="4500"/>
    <m/>
    <n v="5511"/>
    <s v="Kinnistute, hoonete ja ruumide majandamiskulud"/>
    <n v="55"/>
    <s v="55"/>
    <s v="Muud tegevuskulud"/>
    <s v="Majandamiskulud"/>
    <s v="Põhitegevuse kulu"/>
  </r>
  <r>
    <s v="06"/>
    <s v="0660507         "/>
    <x v="2"/>
    <x v="0"/>
    <s v="Elamu- ja kommunaalmajandus"/>
    <s v="Viru-Jaagupi piirkonna juht"/>
    <s v="Elekter"/>
    <n v="1700"/>
    <m/>
    <n v="5511"/>
    <s v="Kinnistute, hoonete ja ruumide majandamiskulud"/>
    <n v="55"/>
    <s v="55"/>
    <s v="Muud tegevuskulud"/>
    <s v="Majandamiskulud"/>
    <s v="Põhitegevuse kulu"/>
  </r>
  <r>
    <s v="06"/>
    <s v="0660507         "/>
    <x v="2"/>
    <x v="0"/>
    <s v="Elamu- ja kommunaalmajandus"/>
    <s v="Viru-Jaagupi piirkonna juht"/>
    <s v="Vesi- ja kanalisatsioon"/>
    <n v="800"/>
    <m/>
    <n v="5511"/>
    <s v="Kinnistute, hoonete ja ruumide majandamiskulud"/>
    <n v="55"/>
    <s v="55"/>
    <s v="Muud tegevuskulud"/>
    <s v="Majandamiskulud"/>
    <s v="Põhitegevuse kulu"/>
  </r>
  <r>
    <s v="06"/>
    <s v="0660507         "/>
    <x v="2"/>
    <x v="0"/>
    <s v="Elamu- ja kommunaalmajandus"/>
    <s v="Viru-Jaagupi piirkonna juht"/>
    <s v="Prügivedu"/>
    <n v="35"/>
    <m/>
    <n v="5511"/>
    <s v="Kinnistute, hoonete ja ruumide majandamiskulud"/>
    <n v="55"/>
    <s v="55"/>
    <s v="Muud tegevuskulud"/>
    <s v="Majandamiskulud"/>
    <s v="Põhitegevuse kulu"/>
  </r>
  <r>
    <s v="06"/>
    <s v="0660507         "/>
    <x v="2"/>
    <x v="0"/>
    <s v="Elamu- ja kommunaalmajandus"/>
    <s v="Viru-Jaagupi piirkonna juht"/>
    <s v="Küttepuud"/>
    <n v="8600"/>
    <m/>
    <n v="5511"/>
    <s v="Kinnistute, hoonete ja ruumide majandamiskulud"/>
    <n v="55"/>
    <s v="55"/>
    <s v="Muud tegevuskulud"/>
    <s v="Majandamiskulud"/>
    <s v="Põhitegevuse kulu"/>
  </r>
  <r>
    <s v="06"/>
    <s v="0660506         "/>
    <x v="3"/>
    <x v="0"/>
    <s v="Elamu- ja kommunaalmajandus"/>
    <s v="Vinni-Pajusti piirkond"/>
    <s v="Tööriistad"/>
    <n v="6000"/>
    <m/>
    <n v="5515"/>
    <s v="Inventari kulud, v.a infotehnoloogia ja kaitseotstarbelised kulud"/>
    <n v="55"/>
    <s v="55"/>
    <s v="Muud tegevuskulud"/>
    <s v="Majandamiskulud"/>
    <s v="Põhitegevuse kulu"/>
  </r>
  <r>
    <s v="06"/>
    <s v="0660506         "/>
    <x v="3"/>
    <x v="0"/>
    <s v="Elamu- ja kommunaalmajandus"/>
    <s v="Vinni-Pajusti piirkond"/>
    <s v="muud sõidukitega seotud kulud"/>
    <n v="4000"/>
    <m/>
    <n v="5513"/>
    <s v="Sõidukite ülalpidamise kulud"/>
    <n v="55"/>
    <s v="55"/>
    <s v="Muud tegevuskulud"/>
    <s v="Majandamiskulud"/>
    <s v="Põhitegevuse kulu"/>
  </r>
  <r>
    <s v="06"/>
    <s v="0660506         "/>
    <x v="3"/>
    <x v="0"/>
    <s v="Elamu- ja kommunaalmajandus"/>
    <s v="Vinni-Pajusti piirkond"/>
    <s v="sõidukite remondi jms kulud"/>
    <n v="3000"/>
    <m/>
    <n v="5513"/>
    <s v="Sõidukite ülalpidamise kulud"/>
    <n v="55"/>
    <s v="55"/>
    <s v="Muud tegevuskulud"/>
    <s v="Majandamiskulud"/>
    <s v="Põhitegevuse kulu"/>
  </r>
  <r>
    <s v="06"/>
    <s v="0660506         "/>
    <x v="3"/>
    <x v="0"/>
    <s v="Elamu- ja kommunaalmajandus"/>
    <s v="Vinni-Pajusti piirkond"/>
    <s v="kütus"/>
    <n v="13000"/>
    <m/>
    <n v="5513"/>
    <s v="Sõidukite ülalpidamise kulud"/>
    <n v="55"/>
    <s v="55"/>
    <s v="Muud tegevuskulud"/>
    <s v="Majandamiskulud"/>
    <s v="Põhitegevuse kulu"/>
  </r>
  <r>
    <s v="06"/>
    <s v="0660506         "/>
    <x v="3"/>
    <x v="0"/>
    <s v="Elamu- ja kommunaalmajandus"/>
    <s v="Vinni-Pajusti piirkond"/>
    <s v="liisingauto remont"/>
    <n v="1400"/>
    <s v="Silberauto liisingauto remont"/>
    <n v="5513"/>
    <s v="Sõidukite ülalpidamise kulud"/>
    <n v="55"/>
    <s v="55"/>
    <s v="Muud tegevuskulud"/>
    <s v="Majandamiskulud"/>
    <s v="Põhitegevuse kulu"/>
  </r>
  <r>
    <s v="06"/>
    <s v="0660506         "/>
    <x v="3"/>
    <x v="0"/>
    <s v="Elamu- ja kommunaalmajandus"/>
    <s v="Vinni-Pajusti piirkond"/>
    <s v="liising"/>
    <n v="2607.2400000000002"/>
    <s v="Silberauto"/>
    <n v="5513"/>
    <s v="Sõidukite ülalpidamise kulud"/>
    <n v="55"/>
    <s v="55"/>
    <s v="Muud tegevuskulud"/>
    <s v="Majandamiskulud"/>
    <s v="Põhitegevuse kulu"/>
  </r>
  <r>
    <s v="06"/>
    <s v="0660506         "/>
    <x v="3"/>
    <x v="0"/>
    <s v="Elamu- ja kommunaalmajandus"/>
    <s v="Vinni-Pajusti piirkond"/>
    <s v="ülevaatus"/>
    <n v="210"/>
    <m/>
    <n v="5513"/>
    <s v="Sõidukite ülalpidamise kulud"/>
    <n v="55"/>
    <s v="55"/>
    <s v="Muud tegevuskulud"/>
    <s v="Majandamiskulud"/>
    <s v="Põhitegevuse kulu"/>
  </r>
  <r>
    <s v="06"/>
    <s v="0660506         "/>
    <x v="3"/>
    <x v="0"/>
    <s v="Elamu- ja kommunaalmajandus"/>
    <s v="Vinni-Pajusti piirkond"/>
    <s v="sõidupäeviku teenus"/>
    <n v="1998"/>
    <m/>
    <n v="5513"/>
    <s v="Sõidukite ülalpidamise kulud"/>
    <n v="55"/>
    <s v="55"/>
    <s v="Muud tegevuskulud"/>
    <s v="Majandamiskulud"/>
    <s v="Põhitegevuse kulu"/>
  </r>
  <r>
    <s v="06"/>
    <s v="0660506         "/>
    <x v="3"/>
    <x v="0"/>
    <s v="Elamu- ja kommunaalmajandus"/>
    <s v="Vinni-Pajusti piirkond"/>
    <s v="Haagiste, sõidukite kindlustused"/>
    <n v="1670"/>
    <m/>
    <n v="5513"/>
    <s v="Sõidukite ülalpidamise kulud"/>
    <n v="55"/>
    <s v="55"/>
    <s v="Muud tegevuskulud"/>
    <s v="Majandamiskulud"/>
    <s v="Põhitegevuse kulu"/>
  </r>
  <r>
    <s v="06"/>
    <s v="0660506         "/>
    <x v="3"/>
    <x v="0"/>
    <s v="Elamu- ja kommunaalmajandus"/>
    <s v="Vinni-Pajusti piirkond"/>
    <s v="Isikliku sõiduauto komp."/>
    <n v="650"/>
    <s v="abipolitseid"/>
    <n v="5513"/>
    <s v="Sõidukite ülalpidamise kulud"/>
    <n v="55"/>
    <s v="55"/>
    <s v="Muud tegevuskulud"/>
    <s v="Majandamiskulud"/>
    <s v="Põhitegevuse kulu"/>
  </r>
  <r>
    <s v="06"/>
    <s v="0660506         "/>
    <x v="3"/>
    <x v="0"/>
    <s v="Elamu- ja kommunaalmajandus"/>
    <s v="Vinni-Pajusti piirkond"/>
    <s v="sideteenused"/>
    <n v="255.84"/>
    <m/>
    <n v="5500"/>
    <s v="Administreerimiskulud"/>
    <n v="55"/>
    <s v="55"/>
    <s v="Muud tegevuskulud"/>
    <s v="Majandamiskulud"/>
    <s v="Põhitegevuse kulu"/>
  </r>
  <r>
    <s v="06"/>
    <s v="0660506         "/>
    <x v="3"/>
    <x v="0"/>
    <s v="Elamu- ja kommunaalmajandus"/>
    <s v="Arendusnõunik"/>
    <s v="Vinni liiklusväljaku joonimine"/>
    <n v="2000"/>
    <m/>
    <n v="5512"/>
    <s v="Rajatiste majandamiskulud"/>
    <n v="55"/>
    <s v="55"/>
    <s v="Muud tegevuskulud"/>
    <s v="Majandamiskulud"/>
    <s v="Põhitegevuse kulu"/>
  </r>
  <r>
    <s v="06"/>
    <s v="0660506         "/>
    <x v="3"/>
    <x v="0"/>
    <s v="Elamu- ja kommunaalmajandus"/>
    <s v="Vinni-Pajusti piirkond"/>
    <s v="Pingid"/>
    <n v="6000"/>
    <m/>
    <n v="5511"/>
    <s v="Kinnistute, hoonete ja ruumide majandamiskulud"/>
    <n v="55"/>
    <s v="55"/>
    <s v="Muud tegevuskulud"/>
    <s v="Majandamiskulud"/>
    <s v="Põhitegevuse kulu"/>
  </r>
  <r>
    <s v="06"/>
    <s v="0660506         "/>
    <x v="3"/>
    <x v="0"/>
    <s v="Elamu- ja kommunaalmajandus"/>
    <s v="Vinni-Pajusti piirkond"/>
    <s v="Muud kinnistute ja hoonetega seotud kulud"/>
    <n v="20000"/>
    <m/>
    <n v="5511"/>
    <s v="Kinnistute, hoonete ja ruumide majandamiskulud"/>
    <n v="55"/>
    <s v="55"/>
    <s v="Muud tegevuskulud"/>
    <s v="Majandamiskulud"/>
    <s v="Põhitegevuse kulu"/>
  </r>
  <r>
    <s v="06"/>
    <s v="0660506         "/>
    <x v="3"/>
    <x v="0"/>
    <s v="Elamu- ja kommunaalmajandus"/>
    <s v="Vinni-Pajusti piirkond"/>
    <s v="Heakorra tööde tarbitav kütus"/>
    <n v="4500"/>
    <m/>
    <n v="5511"/>
    <s v="Kinnistute, hoonete ja ruumide majandamiskulud"/>
    <n v="55"/>
    <s v="55"/>
    <s v="Muud tegevuskulud"/>
    <s v="Majandamiskulud"/>
    <s v="Põhitegevuse kulu"/>
  </r>
  <r>
    <s v="06"/>
    <s v="0660506         "/>
    <x v="3"/>
    <x v="0"/>
    <s v="Elamu- ja kommunaalmajandus"/>
    <s v="Vinni-Pajusti piirkond"/>
    <s v="Elektri tarbimine"/>
    <n v="9000"/>
    <m/>
    <n v="5511"/>
    <s v="Kinnistute, hoonete ja ruumide majandamiskulud"/>
    <n v="55"/>
    <s v="55"/>
    <s v="Muud tegevuskulud"/>
    <s v="Majandamiskulud"/>
    <s v="Põhitegevuse kulu"/>
  </r>
  <r>
    <s v="06"/>
    <s v="0660506         "/>
    <x v="3"/>
    <x v="0"/>
    <s v="Elamu- ja kommunaalmajandus"/>
    <s v="Vinni-Pajusti piirkond"/>
    <s v="Prügivedu, konteinerite rent"/>
    <n v="2200"/>
    <s v="Jäätmekeskus"/>
    <n v="5511"/>
    <s v="Kinnistute, hoonete ja ruumide majandamiskulud"/>
    <n v="55"/>
    <s v="55"/>
    <s v="Muud tegevuskulud"/>
    <s v="Majandamiskulud"/>
    <s v="Põhitegevuse kulu"/>
  </r>
  <r>
    <s v="06"/>
    <s v="0660506         "/>
    <x v="3"/>
    <x v="0"/>
    <s v="Elamu- ja kommunaalmajandus"/>
    <s v="Vinni-Pajusti piirkond"/>
    <s v="Prügikonteinerite rent"/>
    <n v="97.199999999999989"/>
    <m/>
    <n v="5511"/>
    <s v="Kinnistute, hoonete ja ruumide majandamiskulud"/>
    <n v="55"/>
    <s v="55"/>
    <s v="Muud tegevuskulud"/>
    <s v="Majandamiskulud"/>
    <s v="Põhitegevuse kulu"/>
  </r>
  <r>
    <s v="06"/>
    <s v="0660506         "/>
    <x v="3"/>
    <x v="0"/>
    <s v="Elamu- ja kommunaalmajandus"/>
    <s v="Vinni-Pajusti piirkond"/>
    <s v="Suuremad niitmised"/>
    <n v="1600"/>
    <s v="Tammikus OÜ"/>
    <n v="5511"/>
    <s v="Kinnistute, hoonete ja ruumide majandamiskulud"/>
    <n v="55"/>
    <s v="55"/>
    <s v="Muud tegevuskulud"/>
    <s v="Majandamiskulud"/>
    <s v="Põhitegevuse kulu"/>
  </r>
  <r>
    <s v="06"/>
    <s v="0660506         "/>
    <x v="3"/>
    <x v="0"/>
    <s v="Elamu- ja kommunaalmajandus"/>
    <s v="Vinni-Pajusti piirkond"/>
    <s v="valvekaameratega seotud kulud"/>
    <n v="192"/>
    <s v="Telia"/>
    <n v="5511"/>
    <s v="Kinnistute, hoonete ja ruumide majandamiskulud"/>
    <n v="55"/>
    <s v="55"/>
    <s v="Muud tegevuskulud"/>
    <s v="Majandamiskulud"/>
    <s v="Põhitegevuse kulu"/>
  </r>
  <r>
    <s v="06"/>
    <s v="0660506         "/>
    <x v="3"/>
    <x v="0"/>
    <s v="Elamu- ja kommunaalmajandus"/>
    <s v="Vinni-Pajusti piirkond"/>
    <s v="Korterite kommunaalmaksed"/>
    <n v="21000"/>
    <m/>
    <n v="5511"/>
    <s v="Kinnistute, hoonete ja ruumide majandamiskulud"/>
    <n v="55"/>
    <s v="55"/>
    <s v="Muud tegevuskulud"/>
    <s v="Majandamiskulud"/>
    <s v="Põhitegevuse kulu"/>
  </r>
  <r>
    <s v="06"/>
    <s v="0660505         "/>
    <x v="4"/>
    <x v="0"/>
    <s v="Elamu- ja kommunaalmajandus"/>
    <s v="Viru-Jaagupi piirkond"/>
    <s v="Katuse vahetus"/>
    <n v="7000"/>
    <s v="Kesk 15"/>
    <n v="5511"/>
    <s v="Kinnistute, hoonete ja ruumide majandamiskulud"/>
    <n v="55"/>
    <s v="55"/>
    <s v="Muud tegevuskulud"/>
    <s v="Majandamiskulud"/>
    <s v="Põhitegevuse kulu"/>
  </r>
  <r>
    <s v="06"/>
    <s v="0660505         "/>
    <x v="4"/>
    <x v="0"/>
    <s v="Elamu- ja kommunaalmajandus"/>
    <s v="Viru-Jaagupi piirkond"/>
    <s v="tervise ja spordi edendamine"/>
    <n v="400"/>
    <m/>
    <n v="5540"/>
    <s v="Mitmesugused majanduskulud"/>
    <n v="55"/>
    <s v="55"/>
    <s v="Muud tegevuskulud"/>
    <s v="Majandamiskulud"/>
    <s v="Põhitegevuse kulu"/>
  </r>
  <r>
    <s v="06"/>
    <s v="0660505         "/>
    <x v="4"/>
    <x v="0"/>
    <s v="Elamu- ja kommunaalmajandus"/>
    <s v="Viru-Jaagupi piirkond"/>
    <s v="PEUGEOT PARTNER 648BLS pisiremondid, ülevaatused"/>
    <n v="800"/>
    <m/>
    <n v="5513"/>
    <s v="Sõidukite ülalpidamise kulud"/>
    <n v="55"/>
    <s v="55"/>
    <s v="Muud tegevuskulud"/>
    <s v="Majandamiskulud"/>
    <s v="Põhitegevuse kulu"/>
  </r>
  <r>
    <s v="06"/>
    <s v="0660505         "/>
    <x v="4"/>
    <x v="0"/>
    <s v="Elamu- ja kommunaalmajandus"/>
    <s v="Viru-Jaagupi piirkond"/>
    <s v="PEUGEOT PARTNER 648BLS rehvid"/>
    <n v="400"/>
    <m/>
    <n v="5513"/>
    <s v="Sõidukite ülalpidamise kulud"/>
    <n v="55"/>
    <s v="55"/>
    <s v="Muud tegevuskulud"/>
    <s v="Majandamiskulud"/>
    <s v="Põhitegevuse kulu"/>
  </r>
  <r>
    <s v="06"/>
    <s v="0660505         "/>
    <x v="4"/>
    <x v="0"/>
    <s v="Elamu- ja kommunaalmajandus"/>
    <s v="Viru-Jaagupi piirkond"/>
    <s v="PEUGEOT PARTNER 648BLS kindlustus"/>
    <n v="70"/>
    <m/>
    <n v="5513"/>
    <s v="Sõidukite ülalpidamise kulud"/>
    <n v="55"/>
    <s v="55"/>
    <s v="Muud tegevuskulud"/>
    <s v="Majandamiskulud"/>
    <s v="Põhitegevuse kulu"/>
  </r>
  <r>
    <s v="06"/>
    <s v="0660505         "/>
    <x v="4"/>
    <x v="0"/>
    <s v="Elamu- ja kommunaalmajandus"/>
    <s v="Viru-Jaagupi piirkond"/>
    <s v="PEUGEOT PARTNER 648BLS kütus"/>
    <n v="3600"/>
    <m/>
    <n v="5513"/>
    <s v="Sõidukite ülalpidamise kulud"/>
    <n v="55"/>
    <s v="55"/>
    <s v="Muud tegevuskulud"/>
    <s v="Majandamiskulud"/>
    <s v="Põhitegevuse kulu"/>
  </r>
  <r>
    <s v="06"/>
    <s v="0660505         "/>
    <x v="4"/>
    <x v="0"/>
    <s v="Elamu- ja kommunaalmajandus"/>
    <s v="Viru-Jaagupi piirkond"/>
    <s v="Haagise rehvid"/>
    <n v="160"/>
    <m/>
    <n v="5513"/>
    <s v="Sõidukite ülalpidamise kulud"/>
    <n v="55"/>
    <s v="55"/>
    <s v="Muud tegevuskulud"/>
    <s v="Majandamiskulud"/>
    <s v="Põhitegevuse kulu"/>
  </r>
  <r>
    <s v="06"/>
    <s v="0660505         "/>
    <x v="4"/>
    <x v="0"/>
    <s v="Elamu- ja kommunaalmajandus"/>
    <s v="Viru-Jaagupi piirkond"/>
    <s v="Haagise pisiremondid"/>
    <n v="250"/>
    <m/>
    <n v="5513"/>
    <s v="Sõidukite ülalpidamise kulud"/>
    <n v="55"/>
    <s v="55"/>
    <s v="Muud tegevuskulud"/>
    <s v="Majandamiskulud"/>
    <s v="Põhitegevuse kulu"/>
  </r>
  <r>
    <s v="06"/>
    <s v="0660505         "/>
    <x v="4"/>
    <x v="0"/>
    <s v="Elamu- ja kommunaalmajandus"/>
    <s v="Viru-Jaagupi piirkond"/>
    <s v="Haagise kindlustus"/>
    <n v="30"/>
    <m/>
    <n v="5513"/>
    <s v="Sõidukite ülalpidamise kulud"/>
    <n v="55"/>
    <s v="55"/>
    <s v="Muud tegevuskulud"/>
    <s v="Majandamiskulud"/>
    <s v="Põhitegevuse kulu"/>
  </r>
  <r>
    <s v="06"/>
    <s v="0660505         "/>
    <x v="4"/>
    <x v="0"/>
    <s v="Elamu- ja kommunaalmajandus"/>
    <s v="Viru-Jaagupi piirkond"/>
    <s v="Isikliku sõiduauto komp."/>
    <n v="3600"/>
    <s v="12 kuud*300"/>
    <n v="5513"/>
    <s v="Sõidukite ülalpidamise kulud"/>
    <n v="55"/>
    <s v="55"/>
    <s v="Muud tegevuskulud"/>
    <s v="Majandamiskulud"/>
    <s v="Põhitegevuse kulu"/>
  </r>
  <r>
    <s v="06"/>
    <s v="0660505         "/>
    <x v="4"/>
    <x v="0"/>
    <s v="Elamu- ja kommunaalmajandus"/>
    <s v="Viru-Jaagupi piirkond"/>
    <s v="Telefon, internet"/>
    <n v="300"/>
    <m/>
    <n v="5500"/>
    <s v="Administreerimiskulud"/>
    <n v="55"/>
    <s v="55"/>
    <s v="Muud tegevuskulud"/>
    <s v="Majandamiskulud"/>
    <s v="Põhitegevuse kulu"/>
  </r>
  <r>
    <s v="06"/>
    <s v="0660505         "/>
    <x v="4"/>
    <x v="0"/>
    <s v="Elamu- ja kommunaalmajandus"/>
    <s v="Viru-Jaagupi piirkond"/>
    <s v="Pingid"/>
    <n v="6000"/>
    <m/>
    <n v="5511"/>
    <s v="Kinnistute, hoonete ja ruumide majandamiskulud"/>
    <n v="55"/>
    <s v="55"/>
    <s v="Muud tegevuskulud"/>
    <s v="Majandamiskulud"/>
    <s v="Põhitegevuse kulu"/>
  </r>
  <r>
    <s v="06"/>
    <s v="0660505         "/>
    <x v="4"/>
    <x v="0"/>
    <s v="Elamu- ja kommunaalmajandus"/>
    <s v="Viru-Jaagupi piirkond"/>
    <s v="Korstnapühkija"/>
    <n v="300"/>
    <m/>
    <n v="5511"/>
    <s v="Kinnistute, hoonete ja ruumide majandamiskulud"/>
    <n v="55"/>
    <s v="55"/>
    <s v="Muud tegevuskulud"/>
    <s v="Majandamiskulud"/>
    <s v="Põhitegevuse kulu"/>
  </r>
  <r>
    <s v="06"/>
    <s v="0660505         "/>
    <x v="4"/>
    <x v="0"/>
    <s v="Elamu- ja kommunaalmajandus"/>
    <s v="Viru-Jaagupi piirkond"/>
    <s v="Teadete tahvlid"/>
    <n v="3200"/>
    <s v="2tk"/>
    <n v="5511"/>
    <s v="Kinnistute, hoonete ja ruumide majandamiskulud"/>
    <n v="55"/>
    <s v="55"/>
    <s v="Muud tegevuskulud"/>
    <s v="Majandamiskulud"/>
    <s v="Põhitegevuse kulu"/>
  </r>
  <r>
    <s v="06"/>
    <s v="0660505         "/>
    <x v="4"/>
    <x v="0"/>
    <s v="Elamu- ja kommunaalmajandus"/>
    <s v="Viru-Jaagupi piirkond"/>
    <s v="Istikud, ohtlikud puud"/>
    <n v="1500"/>
    <m/>
    <n v="5511"/>
    <s v="Kinnistute, hoonete ja ruumide majandamiskulud"/>
    <n v="55"/>
    <s v="55"/>
    <s v="Muud tegevuskulud"/>
    <s v="Majandamiskulud"/>
    <s v="Põhitegevuse kulu"/>
  </r>
  <r>
    <s v="06"/>
    <s v="0660505         "/>
    <x v="4"/>
    <x v="0"/>
    <s v="Elamu- ja kommunaalmajandus"/>
    <s v="Viru-Jaagupi piirkond"/>
    <s v="Tuletõrje süsteemi hooldus"/>
    <n v="384"/>
    <s v="Kooli tee 7"/>
    <n v="5511"/>
    <s v="Kinnistute, hoonete ja ruumide majandamiskulud"/>
    <n v="55"/>
    <s v="55"/>
    <s v="Muud tegevuskulud"/>
    <s v="Majandamiskulud"/>
    <s v="Põhitegevuse kulu"/>
  </r>
  <r>
    <s v="06"/>
    <s v="0660505         "/>
    <x v="4"/>
    <x v="0"/>
    <s v="Elamu- ja kommunaalmajandus"/>
    <s v="Viru-Jaagupi piirkond"/>
    <s v="Tuletõrje süsteem (Telia kuutasu)"/>
    <n v="14.399999999999999"/>
    <s v="Kooli tee 7"/>
    <n v="5511"/>
    <s v="Kinnistute, hoonete ja ruumide majandamiskulud"/>
    <n v="55"/>
    <s v="55"/>
    <s v="Muud tegevuskulud"/>
    <s v="Majandamiskulud"/>
    <s v="Põhitegevuse kulu"/>
  </r>
  <r>
    <s v="06"/>
    <s v="0660505         "/>
    <x v="4"/>
    <x v="0"/>
    <s v="Elamu- ja kommunaalmajandus"/>
    <s v="Viru-Jaagupi piirkond"/>
    <s v="Remondifond"/>
    <n v="314.32"/>
    <s v="Kesk 21 + niitmine"/>
    <n v="5511"/>
    <s v="Kinnistute, hoonete ja ruumide majandamiskulud"/>
    <n v="55"/>
    <s v="55"/>
    <s v="Muud tegevuskulud"/>
    <s v="Majandamiskulud"/>
    <s v="Põhitegevuse kulu"/>
  </r>
  <r>
    <s v="06"/>
    <s v="0660505         "/>
    <x v="4"/>
    <x v="0"/>
    <s v="Elamu- ja kommunaalmajandus"/>
    <s v="Viru-Jaagupi piirkond"/>
    <s v="Korrashoiuvahendite rendid, õlid"/>
    <n v="1500"/>
    <s v="töövahendite hooldus, tarvikud, küte, õli"/>
    <n v="5511"/>
    <s v="Kinnistute, hoonete ja ruumide majandamiskulud"/>
    <n v="55"/>
    <s v="55"/>
    <s v="Muud tegevuskulud"/>
    <s v="Majandamiskulud"/>
    <s v="Põhitegevuse kulu"/>
  </r>
  <r>
    <s v="06"/>
    <s v="0660505         "/>
    <x v="4"/>
    <x v="0"/>
    <s v="Elamu- ja kommunaalmajandus"/>
    <s v="Viru-Jaagupi piirkond"/>
    <s v="Valvekulud"/>
    <n v="84"/>
    <m/>
    <n v="5511"/>
    <s v="Kinnistute, hoonete ja ruumide majandamiskulud"/>
    <n v="55"/>
    <s v="55"/>
    <s v="Muud tegevuskulud"/>
    <s v="Majandamiskulud"/>
    <s v="Põhitegevuse kulu"/>
  </r>
  <r>
    <s v="06"/>
    <s v="0660505         "/>
    <x v="4"/>
    <x v="0"/>
    <s v="Elamu- ja kommunaalmajandus"/>
    <s v="Viru-Jaagupi piirkond"/>
    <s v="Korrashoiuvahendid"/>
    <n v="1000"/>
    <s v="luuad, rehad, puh.vahendid, paber jne"/>
    <n v="5511"/>
    <s v="Kinnistute, hoonete ja ruumide majandamiskulud"/>
    <n v="55"/>
    <s v="55"/>
    <s v="Muud tegevuskulud"/>
    <s v="Majandamiskulud"/>
    <s v="Põhitegevuse kulu"/>
  </r>
  <r>
    <s v="06"/>
    <s v="0660505         "/>
    <x v="4"/>
    <x v="0"/>
    <s v="Elamu- ja kommunaalmajandus"/>
    <s v="Viru-Jaagupi piirkond"/>
    <s v="Elekter"/>
    <n v="18000"/>
    <m/>
    <n v="5511"/>
    <s v="Kinnistute, hoonete ja ruumide majandamiskulud"/>
    <n v="55"/>
    <s v="55"/>
    <s v="Muud tegevuskulud"/>
    <s v="Majandamiskulud"/>
    <s v="Põhitegevuse kulu"/>
  </r>
  <r>
    <s v="06"/>
    <s v="0660505         "/>
    <x v="4"/>
    <x v="0"/>
    <s v="Elamu- ja kommunaalmajandus"/>
    <s v="Viru-Jaagupi piirkond"/>
    <s v="Heakorratööd"/>
    <n v="3000"/>
    <m/>
    <n v="5511"/>
    <s v="Kinnistute, hoonete ja ruumide majandamiskulud"/>
    <n v="55"/>
    <s v="55"/>
    <s v="Muud tegevuskulud"/>
    <s v="Majandamiskulud"/>
    <s v="Põhitegevuse kulu"/>
  </r>
  <r>
    <s v="06"/>
    <s v="0660505         "/>
    <x v="4"/>
    <x v="0"/>
    <s v="Elamu- ja kommunaalmajandus"/>
    <s v="Viru-Jaagupi piirkond"/>
    <s v="Koolimaja küttepuud"/>
    <n v="3600"/>
    <m/>
    <n v="5511"/>
    <s v="Kinnistute, hoonete ja ruumide majandamiskulud"/>
    <n v="55"/>
    <s v="55"/>
    <s v="Muud tegevuskulud"/>
    <s v="Majandamiskulud"/>
    <s v="Põhitegevuse kulu"/>
  </r>
  <r>
    <s v="06"/>
    <s v="0660505         "/>
    <x v="4"/>
    <x v="0"/>
    <s v="Elamu- ja kommunaalmajandus"/>
    <s v="Viru-Jaagupi piirkond"/>
    <s v="Prügivedu"/>
    <n v="350"/>
    <s v="Piirkonna prügi"/>
    <n v="5511"/>
    <s v="Kinnistute, hoonete ja ruumide majandamiskulud"/>
    <n v="55"/>
    <s v="55"/>
    <s v="Muud tegevuskulud"/>
    <s v="Majandamiskulud"/>
    <s v="Põhitegevuse kulu"/>
  </r>
  <r>
    <s v="06"/>
    <s v="0660505         "/>
    <x v="4"/>
    <x v="0"/>
    <s v="Elamu- ja kommunaalmajandus"/>
    <s v="Viru-Jaagupi piirkond"/>
    <s v="Prügivedu"/>
    <n v="84"/>
    <s v="Kooli tee 7"/>
    <n v="5511"/>
    <s v="Kinnistute, hoonete ja ruumide majandamiskulud"/>
    <n v="55"/>
    <s v="55"/>
    <s v="Muud tegevuskulud"/>
    <s v="Majandamiskulud"/>
    <s v="Põhitegevuse kulu"/>
  </r>
  <r>
    <s v="06"/>
    <s v="0660505         "/>
    <x v="4"/>
    <x v="0"/>
    <s v="Elamu- ja kommunaalmajandus"/>
    <s v="Viru-Jaagupi piirkond"/>
    <s v="Vesi- ja kanalisatsioon"/>
    <n v="1400"/>
    <s v="Kesk 15, Koolimaja, saun"/>
    <n v="5511"/>
    <s v="Kinnistute, hoonete ja ruumide majandamiskulud"/>
    <n v="55"/>
    <s v="55"/>
    <s v="Muud tegevuskulud"/>
    <s v="Majandamiskulud"/>
    <s v="Põhitegevuse kulu"/>
  </r>
  <r>
    <s v="06"/>
    <s v="0660505         "/>
    <x v="4"/>
    <x v="0"/>
    <s v="Elamu- ja kommunaalmajandus"/>
    <s v="Viru-Jaagupi piirkond"/>
    <s v="Konteineri rent"/>
    <n v="92.4"/>
    <s v="Kesk 15"/>
    <n v="5511"/>
    <s v="Kinnistute, hoonete ja ruumide majandamiskulud"/>
    <n v="55"/>
    <s v="55"/>
    <s v="Muud tegevuskulud"/>
    <s v="Majandamiskulud"/>
    <s v="Põhitegevuse kulu"/>
  </r>
  <r>
    <s v="06"/>
    <s v="0660505         "/>
    <x v="4"/>
    <x v="0"/>
    <s v="Elamu- ja kommunaalmajandus"/>
    <s v="Viru-Jaagupi piirkond"/>
    <s v="Prügivedu"/>
    <n v="235"/>
    <s v="Kesk 15"/>
    <n v="5511"/>
    <s v="Kinnistute, hoonete ja ruumide majandamiskulud"/>
    <n v="55"/>
    <s v="55"/>
    <s v="Muud tegevuskulud"/>
    <s v="Majandamiskulud"/>
    <s v="Põhitegevuse kulu"/>
  </r>
  <r>
    <s v="06"/>
    <s v="0660504         "/>
    <x v="5"/>
    <x v="0"/>
    <s v="Elamu- ja kommunaalmajandus"/>
    <s v="Tudu piirkond"/>
    <s v="Telia"/>
    <n v="580"/>
    <m/>
    <n v="5514"/>
    <s v="Info- ja kommunikatsioonitehnoliigised kulud"/>
    <n v="55"/>
    <s v="55"/>
    <s v="Muud tegevuskulud"/>
    <s v="Majandamiskulud"/>
    <s v="Põhitegevuse kulu"/>
  </r>
  <r>
    <s v="06"/>
    <s v="0660504         "/>
    <x v="5"/>
    <x v="0"/>
    <s v="Elamu- ja kommunaalmajandus"/>
    <s v="Tudu piirkond"/>
    <s v="Trimmer"/>
    <n v="500"/>
    <m/>
    <n v="5511"/>
    <s v="Kinnistute, hoonete ja ruumide majandamiskulud"/>
    <n v="55"/>
    <s v="55"/>
    <s v="Muud tegevuskulud"/>
    <s v="Majandamiskulud"/>
    <s v="Põhitegevuse kulu"/>
  </r>
  <r>
    <s v="06"/>
    <s v="0660504         "/>
    <x v="5"/>
    <x v="0"/>
    <s v="Elamu- ja kommunaalmajandus"/>
    <s v="Tudu piirkond"/>
    <s v="Heakorravahendid"/>
    <n v="1500"/>
    <s v="rehad, labidad, küte, õli, kindad, jne "/>
    <n v="5511"/>
    <s v="Kinnistute, hoonete ja ruumide majandamiskulud"/>
    <n v="55"/>
    <s v="55"/>
    <s v="Muud tegevuskulud"/>
    <s v="Majandamiskulud"/>
    <s v="Põhitegevuse kulu"/>
  </r>
  <r>
    <s v="06"/>
    <s v="0660504         "/>
    <x v="5"/>
    <x v="0"/>
    <s v="Elamu- ja kommunaalmajandus"/>
    <s v="Tudu piirkond"/>
    <s v="Istikud, suvelilled"/>
    <n v="300"/>
    <m/>
    <n v="5511"/>
    <s v="Kinnistute, hoonete ja ruumide majandamiskulud"/>
    <n v="55"/>
    <s v="55"/>
    <s v="Muud tegevuskulud"/>
    <s v="Majandamiskulud"/>
    <s v="Põhitegevuse kulu"/>
  </r>
  <r>
    <s v="06"/>
    <s v="0660504         "/>
    <x v="5"/>
    <x v="0"/>
    <s v="Elamu- ja kommunaalmajandus"/>
    <s v="Tudu piirkond"/>
    <s v="Rahvamaja küttepuud"/>
    <n v="3600"/>
    <m/>
    <n v="5511"/>
    <s v="Kinnistute, hoonete ja ruumide majandamiskulud"/>
    <n v="55"/>
    <s v="55"/>
    <s v="Muud tegevuskulud"/>
    <s v="Majandamiskulud"/>
    <s v="Põhitegevuse kulu"/>
  </r>
  <r>
    <s v="06"/>
    <s v="0660504         "/>
    <x v="5"/>
    <x v="0"/>
    <s v="Elamu- ja kommunaalmajandus"/>
    <s v="Tudu piirkond"/>
    <s v="Niitmine "/>
    <n v="6500"/>
    <s v="Ehitme OÜ"/>
    <n v="5511"/>
    <s v="Kinnistute, hoonete ja ruumide majandamiskulud"/>
    <n v="55"/>
    <s v="55"/>
    <s v="Muud tegevuskulud"/>
    <s v="Majandamiskulud"/>
    <s v="Põhitegevuse kulu"/>
  </r>
  <r>
    <s v="06"/>
    <s v="0660504         "/>
    <x v="5"/>
    <x v="0"/>
    <s v="Elamu- ja kommunaalmajandus"/>
    <s v="Tudu piirkond"/>
    <s v="Niitmine"/>
    <n v="14300"/>
    <s v="FIE Salin"/>
    <n v="5511"/>
    <s v="Kinnistute, hoonete ja ruumide majandamiskulud"/>
    <n v="55"/>
    <s v="55"/>
    <s v="Muud tegevuskulud"/>
    <s v="Majandamiskulud"/>
    <s v="Põhitegevuse kulu"/>
  </r>
  <r>
    <s v="06"/>
    <s v="0660504         "/>
    <x v="5"/>
    <x v="0"/>
    <s v="Elamu- ja kommunaalmajandus"/>
    <s v="Tudu piirkond"/>
    <s v="Prügivedu"/>
    <n v="1200"/>
    <s v="Korterid"/>
    <n v="5511"/>
    <s v="Kinnistute, hoonete ja ruumide majandamiskulud"/>
    <n v="55"/>
    <s v="55"/>
    <s v="Muud tegevuskulud"/>
    <s v="Majandamiskulud"/>
    <s v="Põhitegevuse kulu"/>
  </r>
  <r>
    <s v="06"/>
    <s v="0660504         "/>
    <x v="5"/>
    <x v="0"/>
    <s v="Elamu- ja kommunaalmajandus"/>
    <s v="Tudu piirkond"/>
    <s v="Korstnapühkimisteenus"/>
    <n v="400"/>
    <s v="Korterid, katlamaja"/>
    <n v="5511"/>
    <s v="Kinnistute, hoonete ja ruumide majandamiskulud"/>
    <n v="55"/>
    <s v="55"/>
    <s v="Muud tegevuskulud"/>
    <s v="Majandamiskulud"/>
    <s v="Põhitegevuse kulu"/>
  </r>
  <r>
    <s v="06"/>
    <s v="0660504         "/>
    <x v="5"/>
    <x v="0"/>
    <s v="Elamu- ja kommunaalmajandus"/>
    <s v="Tudu piirkond"/>
    <s v="Elekter"/>
    <n v="2500"/>
    <s v="Korterid"/>
    <n v="5511"/>
    <s v="Kinnistute, hoonete ja ruumide majandamiskulud"/>
    <n v="55"/>
    <s v="55"/>
    <s v="Muud tegevuskulud"/>
    <s v="Majandamiskulud"/>
    <s v="Põhitegevuse kulu"/>
  </r>
  <r>
    <s v="06"/>
    <s v="0660503         "/>
    <x v="6"/>
    <x v="0"/>
    <s v="Elamu- ja kommunaalmajandus"/>
    <s v="Roela piirkond"/>
    <s v="Teadete tahvlid"/>
    <n v="4800"/>
    <m/>
    <n v="5511"/>
    <s v="Kinnistute, hoonete ja ruumide majandamiskulud"/>
    <n v="55"/>
    <s v="55"/>
    <s v="Muud tegevuskulud"/>
    <s v="Majandamiskulud"/>
    <s v="Põhitegevuse kulu"/>
  </r>
  <r>
    <s v="06"/>
    <s v="0660503         "/>
    <x v="6"/>
    <x v="0"/>
    <s v="Elamu- ja kommunaalmajandus"/>
    <s v="Roela piirkond"/>
    <s v="Kõnnitee truup"/>
    <n v="5000"/>
    <m/>
    <n v="5511"/>
    <s v="Kinnistute, hoonete ja ruumide majandamiskulud"/>
    <n v="55"/>
    <s v="55"/>
    <s v="Muud tegevuskulud"/>
    <s v="Majandamiskulud"/>
    <s v="Põhitegevuse kulu"/>
  </r>
  <r>
    <s v="06"/>
    <s v="0660503         "/>
    <x v="6"/>
    <x v="0"/>
    <s v="Elamu- ja kommunaalmajandus"/>
    <s v="Roela piirkond"/>
    <s v="KÜ kommunaalmaksed"/>
    <n v="13500"/>
    <m/>
    <n v="5511"/>
    <s v="Kinnistute, hoonete ja ruumide majandamiskulud"/>
    <n v="55"/>
    <s v="55"/>
    <s v="Muud tegevuskulud"/>
    <s v="Majandamiskulud"/>
    <s v="Põhitegevuse kulu"/>
  </r>
  <r>
    <s v="06"/>
    <s v="0660503         "/>
    <x v="6"/>
    <x v="0"/>
    <s v="Elamu- ja kommunaalmajandus"/>
    <s v="Roela piirkond"/>
    <s v="Korstnapühkija"/>
    <n v="250"/>
    <s v="Korter (Aida)"/>
    <n v="5511"/>
    <s v="Kinnistute, hoonete ja ruumide majandamiskulud"/>
    <n v="55"/>
    <s v="55"/>
    <s v="Muud tegevuskulud"/>
    <s v="Majandamiskulud"/>
    <s v="Põhitegevuse kulu"/>
  </r>
  <r>
    <s v="06"/>
    <s v="0660503         "/>
    <x v="6"/>
    <x v="0"/>
    <s v="Elamu- ja kommunaalmajandus"/>
    <s v="Roela piirkond"/>
    <s v="Prügivedu (konteineri rent)"/>
    <n v="155"/>
    <s v="Korter (Aida)"/>
    <n v="5511"/>
    <s v="Kinnistute, hoonete ja ruumide majandamiskulud"/>
    <n v="55"/>
    <s v="55"/>
    <s v="Muud tegevuskulud"/>
    <s v="Majandamiskulud"/>
    <s v="Põhitegevuse kulu"/>
  </r>
  <r>
    <s v="06"/>
    <s v="0660503         "/>
    <x v="6"/>
    <x v="0"/>
    <s v="Elamu- ja kommunaalmajandus"/>
    <s v="Roela piirkond"/>
    <s v="Prügivedu"/>
    <n v="160"/>
    <s v="Korter (Aida)"/>
    <n v="5511"/>
    <s v="Kinnistute, hoonete ja ruumide majandamiskulud"/>
    <n v="55"/>
    <s v="55"/>
    <s v="Muud tegevuskulud"/>
    <s v="Majandamiskulud"/>
    <s v="Põhitegevuse kulu"/>
  </r>
  <r>
    <s v="06"/>
    <s v="0660503         "/>
    <x v="6"/>
    <x v="0"/>
    <s v="Elamu- ja kommunaalmajandus"/>
    <s v="Roela piirkond"/>
    <s v="Vesi- ja kanalisatsioon"/>
    <n v="600"/>
    <s v="Korterid (roela soojus)"/>
    <n v="5511"/>
    <s v="Kinnistute, hoonete ja ruumide majandamiskulud"/>
    <n v="55"/>
    <s v="55"/>
    <s v="Muud tegevuskulud"/>
    <s v="Majandamiskulud"/>
    <s v="Põhitegevuse kulu"/>
  </r>
  <r>
    <s v="06"/>
    <s v="0660503         "/>
    <x v="6"/>
    <x v="0"/>
    <s v="Elamu- ja kommunaalmajandus"/>
    <s v="Roela piirkond"/>
    <s v="Elekter"/>
    <n v="3000"/>
    <s v="Korterid"/>
    <n v="5511"/>
    <s v="Kinnistute, hoonete ja ruumide majandamiskulud"/>
    <n v="55"/>
    <s v="55"/>
    <s v="Muud tegevuskulud"/>
    <s v="Majandamiskulud"/>
    <s v="Põhitegevuse kulu"/>
  </r>
  <r>
    <s v="06"/>
    <s v="0660503         "/>
    <x v="6"/>
    <x v="0"/>
    <s v="Elamu- ja kommunaalmajandus"/>
    <s v="Roela piirkond"/>
    <s v="Istikud, suvelilled"/>
    <n v="500"/>
    <m/>
    <n v="5511"/>
    <s v="Kinnistute, hoonete ja ruumide majandamiskulud"/>
    <n v="55"/>
    <s v="55"/>
    <s v="Muud tegevuskulud"/>
    <s v="Majandamiskulud"/>
    <s v="Põhitegevuse kulu"/>
  </r>
  <r>
    <s v="06"/>
    <s v="0660503         "/>
    <x v="6"/>
    <x v="0"/>
    <s v="Elamu- ja kommunaalmajandus"/>
    <s v="Roela piirkond"/>
    <s v="Heakorravahendid"/>
    <n v="2000"/>
    <s v="kütus, õli, jõhv trimmerile,luuad, rehad,labidad"/>
    <n v="5511"/>
    <s v="Kinnistute, hoonete ja ruumide majandamiskulud"/>
    <n v="55"/>
    <s v="55"/>
    <s v="Muud tegevuskulud"/>
    <s v="Majandamiskulud"/>
    <s v="Põhitegevuse kulu"/>
  </r>
  <r>
    <s v="06"/>
    <s v="0660503         "/>
    <x v="6"/>
    <x v="0"/>
    <s v="Elamu- ja kommunaalmajandus"/>
    <s v="Roela piirkond"/>
    <s v="Prügiveod piirkonna"/>
    <n v="150"/>
    <m/>
    <n v="5511"/>
    <s v="Kinnistute, hoonete ja ruumide majandamiskulud"/>
    <n v="55"/>
    <s v="55"/>
    <s v="Muud tegevuskulud"/>
    <s v="Majandamiskulud"/>
    <s v="Põhitegevuse kulu"/>
  </r>
  <r>
    <s v="06"/>
    <s v="0660503         "/>
    <x v="6"/>
    <x v="0"/>
    <s v="Elamu- ja kommunaalmajandus"/>
    <s v="Roela piirkond"/>
    <s v="Heakorratööd"/>
    <n v="12950"/>
    <s v="Fixsum Service-muruniitmine,Vaarmets,"/>
    <n v="5511"/>
    <s v="Kinnistute, hoonete ja ruumide majandamiskulud"/>
    <n v="55"/>
    <s v="55"/>
    <s v="Muud tegevuskulud"/>
    <s v="Majandamiskulud"/>
    <s v="Põhitegevuse kulu"/>
  </r>
  <r>
    <s v="06"/>
    <s v="0660502         "/>
    <x v="7"/>
    <x v="0"/>
    <s v="Elamu- ja kommunaalmajandus"/>
    <s v="Rägavere piirkond"/>
    <s v="Internetiühendus"/>
    <n v="381.6"/>
    <s v="Andigo OÜ internet, kaks lautelefoni"/>
    <n v="5514"/>
    <s v="Info- ja kommunikatsioonitehnoliigised kulud"/>
    <n v="55"/>
    <s v="55"/>
    <s v="Muud tegevuskulud"/>
    <s v="Majandamiskulud"/>
    <s v="Põhitegevuse kulu"/>
  </r>
  <r>
    <s v="06"/>
    <s v="0660502         "/>
    <x v="7"/>
    <x v="0"/>
    <s v="Elamu- ja kommunaalmajandus"/>
    <s v="Rägavere piirkond"/>
    <s v="Murutraktori, trimmerite kütus"/>
    <n v="2000"/>
    <m/>
    <n v="5515"/>
    <s v="Inventari kulud, v.a infotehnoloogia ja kaitseotstarbelised kulud"/>
    <n v="55"/>
    <s v="55"/>
    <s v="Muud tegevuskulud"/>
    <s v="Majandamiskulud"/>
    <s v="Põhitegevuse kulu"/>
  </r>
  <r>
    <s v="06"/>
    <s v="0660502         "/>
    <x v="7"/>
    <x v="0"/>
    <s v="Elamu- ja kommunaalmajandus"/>
    <s v="Rägavere piirkond"/>
    <s v="Seadmete ja masinate tarvikud"/>
    <n v="900"/>
    <s v="Murutraktori rihmad,saagide osad ,ketid,niidukite terad ,kiilrihmad,õlid, filtrid hooldus"/>
    <n v="5515"/>
    <s v="Inventari kulud, v.a infotehnoloogia ja kaitseotstarbelised kulud"/>
    <n v="55"/>
    <s v="55"/>
    <s v="Muud tegevuskulud"/>
    <s v="Majandamiskulud"/>
    <s v="Põhitegevuse kulu"/>
  </r>
  <r>
    <s v="06"/>
    <s v="0660502         "/>
    <x v="7"/>
    <x v="0"/>
    <s v="Elamu- ja kommunaalmajandus"/>
    <s v="Rägavere piirkond"/>
    <s v="Isikliku sõiduauto komp."/>
    <n v="3600"/>
    <m/>
    <n v="5513"/>
    <s v="Sõidukite ülalpidamise kulud"/>
    <n v="55"/>
    <s v="55"/>
    <s v="Muud tegevuskulud"/>
    <s v="Majandamiskulud"/>
    <s v="Põhitegevuse kulu"/>
  </r>
  <r>
    <s v="06"/>
    <s v="0660502         "/>
    <x v="7"/>
    <x v="0"/>
    <s v="Elamu- ja kommunaalmajandus"/>
    <s v="Rägavere piirkond"/>
    <s v="Väikebuss"/>
    <n v="8000"/>
    <s v="liising, kasko, liiklus, tarvikud"/>
    <n v="5513"/>
    <s v="Sõidukite ülalpidamise kulud"/>
    <n v="55"/>
    <s v="55"/>
    <s v="Muud tegevuskulud"/>
    <s v="Majandamiskulud"/>
    <s v="Põhitegevuse kulu"/>
  </r>
  <r>
    <s v="06"/>
    <s v="0660502         "/>
    <x v="7"/>
    <x v="0"/>
    <s v="Elamu- ja kommunaalmajandus"/>
    <s v="Rägavere piirkond"/>
    <s v="Väikebussi kütus"/>
    <n v="3500"/>
    <s v="kütus"/>
    <n v="5513"/>
    <s v="Sõidukite ülalpidamise kulud"/>
    <n v="55"/>
    <s v="55"/>
    <s v="Muud tegevuskulud"/>
    <s v="Majandamiskulud"/>
    <s v="Põhitegevuse kulu"/>
  </r>
  <r>
    <s v="06"/>
    <s v="0660502         "/>
    <x v="7"/>
    <x v="0"/>
    <s v="Elamu- ja kommunaalmajandus"/>
    <s v="Rägavere piirkond"/>
    <s v="Koolitused"/>
    <n v="200"/>
    <m/>
    <n v="5504"/>
    <s v="Koolituskulud"/>
    <n v="55"/>
    <s v="55"/>
    <s v="Muud tegevuskulud"/>
    <s v="Majandamiskulud"/>
    <s v="Põhitegevuse kulu"/>
  </r>
  <r>
    <s v="06"/>
    <s v="0660502         "/>
    <x v="7"/>
    <x v="0"/>
    <s v="Elamu- ja kommunaalmajandus"/>
    <s v="Rägavere piirkond"/>
    <s v="Telefon"/>
    <n v="26.4"/>
    <s v="mobiiltelefon 5783 3232"/>
    <n v="5500"/>
    <s v="Administreerimiskulud"/>
    <n v="55"/>
    <s v="55"/>
    <s v="Muud tegevuskulud"/>
    <s v="Majandamiskulud"/>
    <s v="Põhitegevuse kulu"/>
  </r>
  <r>
    <s v="06"/>
    <s v="0660502         "/>
    <x v="7"/>
    <x v="0"/>
    <s v="Elamu- ja kommunaalmajandus"/>
    <s v="Rägavere piirkond"/>
    <s v="Kontoritarbed"/>
    <n v="300"/>
    <s v="Tahmad, paber, pliiatsid jne."/>
    <n v="5500"/>
    <s v="Administreerimiskulud"/>
    <n v="55"/>
    <s v="55"/>
    <s v="Muud tegevuskulud"/>
    <s v="Majandamiskulud"/>
    <s v="Põhitegevuse kulu"/>
  </r>
  <r>
    <s v="06"/>
    <s v="0660502         "/>
    <x v="7"/>
    <x v="0"/>
    <s v="Elamu- ja kommunaalmajandus"/>
    <s v="Rägavere piirkond"/>
    <s v="Elekter"/>
    <n v="3000"/>
    <m/>
    <n v="5511"/>
    <s v="Kinnistute, hoonete ja ruumide majandamiskulud"/>
    <n v="55"/>
    <s v="55"/>
    <s v="Muud tegevuskulud"/>
    <s v="Majandamiskulud"/>
    <s v="Põhitegevuse kulu"/>
  </r>
  <r>
    <s v="06"/>
    <s v="0660502         "/>
    <x v="7"/>
    <x v="0"/>
    <s v="Elamu- ja kommunaalmajandus"/>
    <s v="Rägavere piirkond"/>
    <s v="Valve- ja tuletõrje signalisatsiooni hooldus"/>
    <n v="570"/>
    <m/>
    <n v="5511"/>
    <s v="Kinnistute, hoonete ja ruumide majandamiskulud"/>
    <n v="55"/>
    <s v="55"/>
    <s v="Muud tegevuskulud"/>
    <s v="Majandamiskulud"/>
    <s v="Põhitegevuse kulu"/>
  </r>
  <r>
    <s v="06"/>
    <s v="0660502         "/>
    <x v="7"/>
    <x v="0"/>
    <s v="Elamu- ja kommunaalmajandus"/>
    <s v="Rägavere piirkond"/>
    <s v="Pelleti ost"/>
    <n v="4000"/>
    <m/>
    <n v="5511"/>
    <s v="Kinnistute, hoonete ja ruumide majandamiskulud"/>
    <n v="55"/>
    <s v="55"/>
    <s v="Muud tegevuskulud"/>
    <s v="Majandamiskulud"/>
    <s v="Põhitegevuse kulu"/>
  </r>
  <r>
    <s v="06"/>
    <s v="0660502         "/>
    <x v="7"/>
    <x v="0"/>
    <s v="Elamu- ja kommunaalmajandus"/>
    <s v="Rägavere piirkond"/>
    <s v="Katla hooldus, korstnapühkija"/>
    <n v="300"/>
    <m/>
    <n v="5511"/>
    <s v="Kinnistute, hoonete ja ruumide majandamiskulud"/>
    <n v="55"/>
    <s v="55"/>
    <s v="Muud tegevuskulud"/>
    <s v="Majandamiskulud"/>
    <s v="Põhitegevuse kulu"/>
  </r>
  <r>
    <s v="06"/>
    <s v="0660502         "/>
    <x v="7"/>
    <x v="0"/>
    <s v="Elamu- ja kommunaalmajandus"/>
    <s v="Rägavere piirkond"/>
    <s v="Valveteenus"/>
    <n v="116"/>
    <m/>
    <n v="5511"/>
    <s v="Kinnistute, hoonete ja ruumide majandamiskulud"/>
    <n v="55"/>
    <s v="55"/>
    <s v="Muud tegevuskulud"/>
    <s v="Majandamiskulud"/>
    <s v="Põhitegevuse kulu"/>
  </r>
  <r>
    <s v="06"/>
    <s v="0660502         "/>
    <x v="7"/>
    <x v="0"/>
    <s v="Elamu- ja kommunaalmajandus"/>
    <s v="Rägavere piirkond"/>
    <s v="Amplid, lilled,istikud "/>
    <n v="200"/>
    <m/>
    <n v="5511"/>
    <s v="Kinnistute, hoonete ja ruumide majandamiskulud"/>
    <n v="55"/>
    <s v="55"/>
    <s v="Muud tegevuskulud"/>
    <s v="Majandamiskulud"/>
    <s v="Põhitegevuse kulu"/>
  </r>
  <r>
    <s v="06"/>
    <s v="0660502         "/>
    <x v="7"/>
    <x v="0"/>
    <s v="Elamu- ja kommunaalmajandus"/>
    <s v="Rägavere piirkond"/>
    <s v="Korteriühistute tasud"/>
    <n v="540"/>
    <m/>
    <n v="5511"/>
    <s v="Kinnistute, hoonete ja ruumide majandamiskulud"/>
    <n v="55"/>
    <s v="55"/>
    <s v="Muud tegevuskulud"/>
    <s v="Majandamiskulud"/>
    <s v="Põhitegevuse kulu"/>
  </r>
  <r>
    <s v="06"/>
    <s v="0660502         "/>
    <x v="7"/>
    <x v="0"/>
    <s v="Elamu- ja kommunaalmajandus"/>
    <s v="Rägavere piirkond"/>
    <s v="Prügivedu "/>
    <n v="150"/>
    <s v=" Lääne-Viru Jäätmekeskus"/>
    <n v="5511"/>
    <s v="Kinnistute, hoonete ja ruumide majandamiskulud"/>
    <n v="55"/>
    <s v="55"/>
    <s v="Muud tegevuskulud"/>
    <s v="Majandamiskulud"/>
    <s v="Põhitegevuse kulu"/>
  </r>
  <r>
    <s v="06"/>
    <s v="0660502         "/>
    <x v="7"/>
    <x v="0"/>
    <s v="Elamu- ja kommunaalmajandus"/>
    <s v="Rägavere piirkond"/>
    <s v="Ohtlike puude raie, niitmis teenus jm"/>
    <n v="500"/>
    <m/>
    <n v="5511"/>
    <s v="Kinnistute, hoonete ja ruumide majandamiskulud"/>
    <n v="55"/>
    <s v="55"/>
    <s v="Muud tegevuskulud"/>
    <s v="Majandamiskulud"/>
    <s v="Põhitegevuse kulu"/>
  </r>
  <r>
    <s v="06"/>
    <s v="0660502         "/>
    <x v="7"/>
    <x v="0"/>
    <s v="Elamu- ja kommunaalmajandus"/>
    <s v="Rägavere piirkond"/>
    <s v="Korrashoiu vahendid"/>
    <n v="200"/>
    <m/>
    <n v="5511"/>
    <s v="Kinnistute, hoonete ja ruumide majandamiskulud"/>
    <n v="55"/>
    <s v="55"/>
    <s v="Muud tegevuskulud"/>
    <s v="Majandamiskulud"/>
    <s v="Põhitegevuse kulu"/>
  </r>
  <r>
    <s v="06"/>
    <s v="0660502         "/>
    <x v="7"/>
    <x v="0"/>
    <s v="Elamu- ja kommunaalmajandus"/>
    <s v="Rägavere piirkond"/>
    <s v="Veeautomaat Saku Läte"/>
    <n v="110"/>
    <m/>
    <n v="5511"/>
    <s v="Kinnistute, hoonete ja ruumide majandamiskulud"/>
    <n v="55"/>
    <s v="55"/>
    <s v="Muud tegevuskulud"/>
    <s v="Majandamiskulud"/>
    <s v="Põhitegevuse kulu"/>
  </r>
  <r>
    <s v="06"/>
    <s v="0660502         "/>
    <x v="7"/>
    <x v="0"/>
    <s v="Elamu- ja kommunaalmajandus"/>
    <s v="Rägavere piirkond"/>
    <s v="Vesi-ja kanalisastioon"/>
    <n v="350"/>
    <m/>
    <n v="5511"/>
    <s v="Kinnistute, hoonete ja ruumide majandamiskulud"/>
    <n v="55"/>
    <s v="55"/>
    <s v="Muud tegevuskulud"/>
    <s v="Majandamiskulud"/>
    <s v="Põhitegevuse kulu"/>
  </r>
  <r>
    <s v="06"/>
    <s v="0660502         "/>
    <x v="7"/>
    <x v="0"/>
    <s v="Elamu- ja kommunaalmajandus"/>
    <s v="Rägavere piirkond"/>
    <s v="Remondimaterjalid"/>
    <n v="10600"/>
    <m/>
    <n v="5511"/>
    <s v="Kinnistute, hoonete ja ruumide majandamiskulud"/>
    <n v="55"/>
    <s v="55"/>
    <s v="Muud tegevuskulud"/>
    <s v="Majandamiskulud"/>
    <s v="Põhitegevuse kulu"/>
  </r>
  <r>
    <s v="06"/>
    <s v="0660502         "/>
    <x v="7"/>
    <x v="0"/>
    <s v="Elamu- ja kommunaalmajandus"/>
    <s v="Rägavere piirkond"/>
    <s v="Rägavere piirkonna varade kindlustus"/>
    <n v="814"/>
    <m/>
    <n v="5511"/>
    <s v="Kinnistute, hoonete ja ruumide majandamis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Laekvere kompostimisväljaku rajamine"/>
    <n v="5000"/>
    <s v="maa soetus"/>
    <n v="1550"/>
    <s v="Maa soetamine"/>
    <n v="15"/>
    <s v="15"/>
    <s v="Põhivara soetus (-)"/>
    <s v="Põhivara soetus (-)"/>
    <s v="Investeerimistegevus"/>
  </r>
  <r>
    <s v="06"/>
    <s v="0660501         "/>
    <x v="8"/>
    <x v="0"/>
    <s v="Elamu- ja kommunaalmajandus"/>
    <s v="Laekvere piirkond"/>
    <s v="Riistvara soetamine"/>
    <n v="300"/>
    <s v="Ruuter jne."/>
    <n v="5514"/>
    <s v="Info- ja kommunikatsioonitehnoliigised 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Internetiühendus"/>
    <n v="3050"/>
    <s v="Kõigi Laekvere alevikus valla kuuluvate  hoonete internetiühendus jookseb läbi Salutaguse tee 2 teeninduskeskuse, kust toimub hargnemine"/>
    <n v="5514"/>
    <s v="Info- ja kommunikatsioonitehnoliigised 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Transport"/>
    <n v="6000"/>
    <s v="M.K.Reis-x teenindatav reedene Venevere-Paasvere-Vassivere poe liin,surnuaaipühal ja jõululaupäeval buss Simuna surnuaiale(FIE Teet Põldoja)"/>
    <n v="5540"/>
    <s v="Mitmesugused majandus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Teeme ära talgud "/>
    <n v="400"/>
    <m/>
    <n v="5525"/>
    <s v="Kommunikatsiooni-, kultuuri- ja vaba aja sisustamise 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Prillid"/>
    <n v="200"/>
    <s v="2 töötajat"/>
    <n v="5522"/>
    <s v="Meditsiinikulud ja hügieenitarbe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Tööriided ja töökindad"/>
    <n v="500"/>
    <s v="5 töötajat"/>
    <n v="5515"/>
    <s v="Inventari kulud, v.a infotehnoloogia ja kaitseotstarbelised 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Töötervishoiu kulud"/>
    <n v="500"/>
    <s v="5 töötajat"/>
    <n v="5522"/>
    <s v="Meditsiinikulud ja hügieenitarbe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Tervisekulud"/>
    <n v="2000"/>
    <s v="5 töötajat x 400 eurot aastas"/>
    <n v="5540"/>
    <s v="Mitmesugused majandus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Talguliste toitlustamine"/>
    <n v="100"/>
    <m/>
    <n v="5525"/>
    <s v="Kommunikatsiooni-, kultuuri- ja vaba aja sisustamise 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Traktorile KIOTi niiduki OPTIMAL BP-185  soetamine"/>
    <n v="4000"/>
    <s v="Praegune niiduk amortiseerunud, töötab viimase piiri peal"/>
    <n v="5515"/>
    <s v="Inventari kulud, v.a infotehnoloogia ja kaitseotstarbelised 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Hooldus"/>
    <n v="2800"/>
    <s v="Kioti traktor, murutraktor, haagised, niidukid, nende kindlustus, ülevaatused"/>
    <n v="5515"/>
    <s v="Inventari kulud, v.a infotehnoloogia ja kaitseotstarbelised 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Seadmete ja masinate tarvikud"/>
    <n v="1700"/>
    <s v="Murutraktori rihmad,saagide osad ,ketid,niidukite terad ,kiilrihmad,õlid, filtrid."/>
    <n v="5515"/>
    <s v="Inventari kulud, v.a infotehnoloogia ja kaitseotstarbelised 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Nissan NV300  väikebuss"/>
    <n v="500"/>
    <s v="hooldus, pesu, klaasipesuvedelik jne"/>
    <n v="5513"/>
    <s v="Sõidukite ülalpidamise 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Nisssan NV300 väikebuss"/>
    <n v="1500"/>
    <s v="kütus ( viimasel ajal on läinud Muuga-Laekvere kooli eelarvest?"/>
    <n v="5513"/>
    <s v="Sõidukite ülalpidamise 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Nissan NV300 väikebuss"/>
    <n v="600"/>
    <s v="kindlustus(kasko+liiklus)"/>
    <n v="5513"/>
    <s v="Sõidukite ülalpidamise 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Fiat Doblo"/>
    <n v="500"/>
    <s v="hooldus, rehvid ,tehnoülevaatud"/>
    <n v="5513"/>
    <s v="Sõidukite ülalpidamise 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Fiat Doblo"/>
    <n v="100"/>
    <s v="liikluskindlustus"/>
    <n v="5513"/>
    <s v="Sõidukite ülalpidamise 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Laekvere piirkonna varade kindlustus"/>
    <n v="1100"/>
    <s v="2019 eelarves ei olnud planeeritud, kuid kulu tehti, 2018 kohta info puudub"/>
    <n v="5511"/>
    <s v="Kinnistute, hoonete ja ruumide majandamis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Töökoja kasutus ja ruumide rent"/>
    <n v="4500"/>
    <s v="Rendime Laekvere PM OÜ-l Kioti traktorile ja seadmetele garaazi, võtame Kioti traktorile diiselkütet, muruniidukite ja Fiat Doblo bensiini"/>
    <n v="5511"/>
    <s v="Kinnistute, hoonete ja ruumide majandamis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Remondimaterjalid"/>
    <n v="10000"/>
    <s v="Valla korterid, tööliste olmeruumid, avalikud rajatised, bussiootepaviljonid jne"/>
    <n v="5511"/>
    <s v="Kinnistute, hoonete ja ruumide majandamis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Vesi-ja kanalisastioon"/>
    <n v="1700"/>
    <s v="Salutaguse tee 2 ja Paasvere külamaja -Emajõe Veevärk"/>
    <n v="5511"/>
    <s v="Kinnistute, hoonete ja ruumide majandamis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Veeautomaat Saku Läte"/>
    <n v="550"/>
    <s v="Salutaguse tee 2"/>
    <n v="5511"/>
    <s v="Kinnistute, hoonete ja ruumide majandamis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Kohvimasina hooldus"/>
    <n v="120"/>
    <s v="Salutaguse tee 2"/>
    <n v="5511"/>
    <s v="Kinnistute, hoonete ja ruumide majandamis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Porivaipade rent (Linström)"/>
    <n v="650"/>
    <s v="Salutaguse tee 2 "/>
    <n v="5511"/>
    <s v="Kinnistute, hoonete ja ruumide majandamis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Keskküte"/>
    <n v="7500"/>
    <s v="Salutaguse tee 2 terve hoone "/>
    <n v="5511"/>
    <s v="Kinnistute, hoonete ja ruumide majandamis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Elekter "/>
    <n v="7400"/>
    <s v="Salutaguse tee 2 terve hoone ja Paasvere külamaja"/>
    <n v="5511"/>
    <s v="Kinnistute, hoonete ja ruumide majandamis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Elektri käidukorraldus"/>
    <n v="9360"/>
    <s v="Enno Mandel Elektritööd teostabLaekvere piirkonna eletripaigaldiste käidukorraldust"/>
    <n v="5511"/>
    <s v="Kinnistute, hoonete ja ruumide majandamis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Signalisatsiooni hooldus"/>
    <n v="210"/>
    <s v="Salutaguse tee 2 hoone Ennak SEL"/>
    <n v="5511"/>
    <s v="Kinnistute, hoonete ja ruumide majandamis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Korrashoiu vahendid"/>
    <n v="3500"/>
    <s v="Koristustarbed,luuad, harjad wc paber ,kätepaber jne-olen arvestanud ka Laekvere sauna puhastusvahendite  kulu"/>
    <n v="5511"/>
    <s v="Kinnistute, hoonete ja ruumide majandamis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Ohtlike puude raie"/>
    <n v="2100"/>
    <s v="Kokku vaja maha võtta ca 14 ohtlikku puud, arboristi teenus  vähemalt 150€ puu, lõhkuda Laekveres hakkide pesasid"/>
    <n v="5511"/>
    <s v="Kinnistute, hoonete ja ruumide majandamis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Prügivedu "/>
    <n v="600"/>
    <s v="Ragn Sells"/>
    <n v="5511"/>
    <s v="Kinnistute, hoonete ja ruumide majandamis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Paberikonteinerite tühjendus"/>
    <n v="670"/>
    <s v="Väätsa Prügila"/>
    <n v="5511"/>
    <s v="Kinnistute, hoonete ja ruumide majandamis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Korteriühistute tasud"/>
    <n v="12000"/>
    <s v="Remondifond, tühjade valla korterite küte, kommunaalid(peab vaatama 2019 tegelikke kulusid) Kelle eelarvest lähevad sotsiaalkorterite Vassivere põik 4-5;4-18;1-1 ja 1-13 kulud?"/>
    <n v="5511"/>
    <s v="Kinnistute, hoonete ja ruumide majandamis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Amplid, lilled,istikud "/>
    <n v="1300"/>
    <s v="Laekvere parki on vaja istutada uusi puid ca 10 tk 80€ suur potis istik"/>
    <n v="5511"/>
    <s v="Kinnistute, hoonete ja ruumide majandamis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ELISA TV"/>
    <n v="360"/>
    <s v="Vassivere põik 1-1 ja 1-13  sotsiaalkorterite  elanike TV, mille nad vallale kinni maksavad"/>
    <n v="5511"/>
    <s v="Kinnistute, hoonete ja ruumide majandamis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Kontoritarbed"/>
    <n v="400"/>
    <s v="Tahmad, paber, pliiatsid jne."/>
    <n v="5500"/>
    <s v="Administreerimis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Telefon"/>
    <n v="1020"/>
    <m/>
    <n v="5500"/>
    <s v="Administreerimis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Koolitused"/>
    <n v="350"/>
    <m/>
    <n v="5504"/>
    <s v="Koolitus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Peugeo Partner"/>
    <n v="2200"/>
    <s v="kütus"/>
    <n v="5513"/>
    <s v="Sõidukite ülalpidamise 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Peugeo Partner"/>
    <n v="700"/>
    <s v="hooldus, rehvid"/>
    <n v="5513"/>
    <s v="Sõidukite ülalpidamise 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Peugeo Partner"/>
    <n v="400"/>
    <s v="kindlustus(kasko+liiklus)"/>
    <n v="5513"/>
    <s v="Sõidukite ülalpidamise 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Peugeo Partner"/>
    <n v="3024"/>
    <s v="liising"/>
    <n v="5513"/>
    <s v="Sõidukite ülalpidamise 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VW Transporter"/>
    <n v="500"/>
    <s v="hooldus, rehvid , tehnoülevaatus"/>
    <n v="5513"/>
    <s v="Sõidukite ülalpidamise 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VW Transporter"/>
    <n v="2100"/>
    <s v="kütus"/>
    <n v="5513"/>
    <s v="Sõidukite ülalpidamise kulud"/>
    <n v="55"/>
    <s v="55"/>
    <s v="Muud tegevuskulud"/>
    <s v="Majandamiskulud"/>
    <s v="Põhitegevuse kulu"/>
  </r>
  <r>
    <s v="06"/>
    <s v="0660501         "/>
    <x v="8"/>
    <x v="0"/>
    <s v="Elamu- ja kommunaalmajandus"/>
    <s v="Laekvere piirkond"/>
    <s v="VW Transporter"/>
    <n v="400"/>
    <s v="kindlustus(kasko+liiklus)"/>
    <n v="5513"/>
    <s v="Sõidukite ülalpidamise kulud"/>
    <n v="55"/>
    <s v="55"/>
    <s v="Muud tegevuskulud"/>
    <s v="Majandamiskulud"/>
    <s v="Põhitegevuse kulu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41">
  <r>
    <s v="09"/>
    <s v="0911005         "/>
    <s v=" Ulvi Lasteaed"/>
    <s v="Alusharidus"/>
    <s v="Haridus"/>
    <s v="Ulvi Lasteaed"/>
    <s v="Sõimelapsed"/>
    <n v="20.8"/>
    <s v="last"/>
    <n v="11.5"/>
    <s v="kuu"/>
    <n v="20"/>
    <n v="4784"/>
    <s v="kohatasu"/>
    <n v="32201"/>
    <s v="Lasteiatasu - õppekulu"/>
    <n v="32"/>
    <x v="0"/>
    <x v="0"/>
    <x v="0"/>
    <s v="Põhitegevuse tulu"/>
  </r>
  <r>
    <s v="09"/>
    <s v="0911005         "/>
    <s v=" Ulvi Lasteaed"/>
    <s v="Alusharidus"/>
    <s v="Haridus"/>
    <s v="Ulvi Lasteaed"/>
    <s v="Eelkoolilapsed"/>
    <n v="3.2"/>
    <s v="last"/>
    <n v="11.5"/>
    <s v="kuu"/>
    <n v="20"/>
    <n v="736.00000000000011"/>
    <s v="kohatasu"/>
    <n v="32201"/>
    <s v="Lasteiatasu - õppekulu"/>
    <n v="32"/>
    <x v="0"/>
    <x v="0"/>
    <x v="0"/>
    <s v="Põhitegevuse tulu"/>
  </r>
  <r>
    <s v="09"/>
    <s v="0911005         "/>
    <s v=" Ulvi Lasteaed"/>
    <s v="Alusharidus"/>
    <s v="Haridus"/>
    <s v="Ulvi Lasteaed"/>
    <s v="Toidupäev"/>
    <n v="221"/>
    <s v="toidukorda"/>
    <n v="24"/>
    <m/>
    <n v="1"/>
    <n v="5304"/>
    <s v="maha arvatud laste arvust -20% puudumised"/>
    <n v="32206"/>
    <s v="Lasteaia toiduraha"/>
    <n v="32"/>
    <x v="0"/>
    <x v="0"/>
    <x v="0"/>
    <s v="Põhitegevuse tulu"/>
  </r>
  <r>
    <s v="09"/>
    <s v="0911001         "/>
    <s v=" Vinni Lasteaed"/>
    <s v="Alusharidus"/>
    <s v="Haridus"/>
    <s v="Vinni Lasteaed"/>
    <s v="Sõimelapsed"/>
    <n v="20.8"/>
    <s v="last"/>
    <n v="10.5"/>
    <s v="kuu"/>
    <n v="20"/>
    <n v="4368"/>
    <s v="kohatasu"/>
    <n v="32201"/>
    <s v="Lasteiatasu - õppekulu"/>
    <n v="32"/>
    <x v="0"/>
    <x v="0"/>
    <x v="0"/>
    <s v="Põhitegevuse tulu"/>
  </r>
  <r>
    <s v="09"/>
    <s v="0911001         "/>
    <s v=" Vinni Lasteaed"/>
    <s v="Alusharidus"/>
    <s v="Haridus"/>
    <s v="Vinni Lasteaed"/>
    <s v="Koolieelikud"/>
    <n v="64"/>
    <s v="last"/>
    <n v="10.5"/>
    <s v="kuu"/>
    <n v="20"/>
    <n v="13440"/>
    <s v="kohatasu"/>
    <n v="32201"/>
    <s v="Lasteiatasu - õppekulu"/>
    <n v="32"/>
    <x v="0"/>
    <x v="0"/>
    <x v="0"/>
    <s v="Põhitegevuse tulu"/>
  </r>
  <r>
    <s v="09"/>
    <s v="0911001         "/>
    <s v=" Vinni Lasteaed"/>
    <s v="Alusharidus"/>
    <s v="Haridus"/>
    <s v="Vinni Lasteaed"/>
    <s v="Toidupäev"/>
    <n v="221"/>
    <s v="toidukorda"/>
    <n v="84.8"/>
    <s v="last"/>
    <n v="0.95"/>
    <n v="17803.759999999998"/>
    <s v="maha arvatud laste arvust -20% puudumised"/>
    <n v="32206"/>
    <s v="Lasteaia toiduraha"/>
    <n v="32"/>
    <x v="0"/>
    <x v="0"/>
    <x v="0"/>
    <s v="Põhitegevuse tulu"/>
  </r>
  <r>
    <s v="09"/>
    <s v="0911002         "/>
    <s v=" Pajusti Lasteaed"/>
    <s v="Alusharidus"/>
    <s v="Haridus"/>
    <s v="Pajusti Lasteaed"/>
    <s v="Sõimelapsed"/>
    <n v="8.8000000000000007"/>
    <s v="last"/>
    <n v="11"/>
    <s v="kuu"/>
    <n v="20"/>
    <n v="1936.0000000000002"/>
    <s v="kohatasu"/>
    <n v="32201"/>
    <s v="Lasteiatasu - õppekulu"/>
    <n v="32"/>
    <x v="0"/>
    <x v="0"/>
    <x v="0"/>
    <s v="Põhitegevuse tulu"/>
  </r>
  <r>
    <s v="09"/>
    <s v="0911002         "/>
    <s v=" Pajusti Lasteaed"/>
    <s v="Alusharidus"/>
    <s v="Haridus"/>
    <s v="Pajusti Lasteaed"/>
    <s v="Eelkoolilapsed"/>
    <n v="26.4"/>
    <s v="last"/>
    <n v="11"/>
    <s v="kuu"/>
    <n v="20"/>
    <n v="5808"/>
    <s v="kohatasu"/>
    <n v="32201"/>
    <s v="Lasteiatasu - õppekulu"/>
    <n v="32"/>
    <x v="0"/>
    <x v="0"/>
    <x v="0"/>
    <s v="Põhitegevuse tulu"/>
  </r>
  <r>
    <s v="09"/>
    <s v="0911002         "/>
    <s v=" Pajusti Lasteaed"/>
    <s v="Alusharidus"/>
    <s v="Haridus"/>
    <s v="Pajusti Lasteaed"/>
    <s v="Toidupäev"/>
    <n v="221"/>
    <s v="toidukorda"/>
    <n v="35.200000000000003"/>
    <s v="last"/>
    <n v="0.8"/>
    <n v="6223.3600000000006"/>
    <s v="maha arvatud laste arvust -20% puudumised"/>
    <n v="32206"/>
    <s v="Lasteaia toiduraha"/>
    <n v="32"/>
    <x v="0"/>
    <x v="0"/>
    <x v="0"/>
    <s v="Põhitegevuse tulu"/>
  </r>
  <r>
    <s v="09"/>
    <s v="0911003         "/>
    <s v=" Kulina Lasteaed"/>
    <s v="Alusharidus"/>
    <s v="Haridus"/>
    <s v="Kulina Lasteaed"/>
    <s v="Sõimelapsed"/>
    <n v="13.6"/>
    <s v="last"/>
    <n v="10.5"/>
    <s v="kuu"/>
    <n v="20"/>
    <n v="2855.9999999999995"/>
    <s v="kohatasu"/>
    <n v="32201"/>
    <s v="Lasteiatasu - õppekulu"/>
    <n v="32"/>
    <x v="0"/>
    <x v="0"/>
    <x v="0"/>
    <s v="Põhitegevuse tulu"/>
  </r>
  <r>
    <s v="09"/>
    <s v="0911003         "/>
    <s v=" Kulina Lasteaed"/>
    <s v="Alusharidus"/>
    <s v="Haridus"/>
    <s v="Kulina Lasteaed"/>
    <s v="Toidupäev"/>
    <n v="221"/>
    <s v="toidukorda"/>
    <n v="28"/>
    <s v="last"/>
    <n v="0.75"/>
    <n v="4641"/>
    <s v="maha arvatud laste arvust -20% puudumised"/>
    <n v="32206"/>
    <s v="Lasteaia toiduraha"/>
    <n v="32"/>
    <x v="0"/>
    <x v="0"/>
    <x v="0"/>
    <s v="Põhitegevuse tulu"/>
  </r>
  <r>
    <s v="09"/>
    <s v="0911003         "/>
    <s v=" Kulina Lasteaed"/>
    <s v="Alusharidus"/>
    <s v="Haridus"/>
    <s v="Kulina Lasteaed"/>
    <s v="Eelkoolilapsed"/>
    <n v="14.4"/>
    <s v="last"/>
    <n v="10.5"/>
    <s v="kuu"/>
    <n v="20"/>
    <n v="3024.0000000000005"/>
    <s v="kohatasu"/>
    <n v="32201"/>
    <s v="Lasteiatasu - õppekulu"/>
    <n v="32"/>
    <x v="0"/>
    <x v="0"/>
    <x v="0"/>
    <s v="Põhitegevuse tulu"/>
  </r>
  <r>
    <s v="09"/>
    <s v="0911004         "/>
    <s v=" Tudu Lasteaed"/>
    <s v="Alusharidus"/>
    <s v="Haridus"/>
    <s v="Tudu Lasteaed"/>
    <m/>
    <n v="14.4"/>
    <s v="last"/>
    <n v="10.5"/>
    <s v="aasta"/>
    <n v="20"/>
    <n v="3024.0000000000005"/>
    <s v="kohatasu"/>
    <n v="32201"/>
    <s v="Lasteiatasu - õppekulu"/>
    <n v="32"/>
    <x v="0"/>
    <x v="0"/>
    <x v="0"/>
    <s v="Põhitegevuse tulu"/>
  </r>
  <r>
    <s v="09"/>
    <s v="0911006         "/>
    <s v=" Laekvere Lasteaed"/>
    <s v="Alusharidus"/>
    <s v="Haridus"/>
    <s v="Tudu Lasteaed"/>
    <s v="Toidupäev"/>
    <n v="221"/>
    <s v="toidukorda"/>
    <n v="14.4"/>
    <s v="last"/>
    <n v="1.28"/>
    <n v="4073.4720000000002"/>
    <s v="maha arvatud laste arvust -20% puudumised"/>
    <n v="32206"/>
    <s v="Lasteaia toiduraha"/>
    <n v="32"/>
    <x v="0"/>
    <x v="0"/>
    <x v="0"/>
    <s v="Põhitegevuse tulu"/>
  </r>
  <r>
    <s v="09"/>
    <s v="0911006         "/>
    <s v=" Laekvere Lasteaed"/>
    <s v="Alusharidus"/>
    <s v="Haridus"/>
    <s v="Laekvere Lasteaed"/>
    <m/>
    <n v="41.6"/>
    <s v="last"/>
    <n v="10.5"/>
    <s v="kuu"/>
    <n v="20"/>
    <n v="8736"/>
    <s v="kohatasu"/>
    <n v="32201"/>
    <s v="Lasteiatasu - õppekulu"/>
    <n v="32"/>
    <x v="0"/>
    <x v="0"/>
    <x v="0"/>
    <s v="Põhitegevuse tulu"/>
  </r>
  <r>
    <s v="09"/>
    <s v="0911006         "/>
    <s v=" Laekvere Lasteaed"/>
    <s v="Alusharidus"/>
    <s v="Haridus"/>
    <s v="Laekvere Lasteaed"/>
    <s v="Toidupäev"/>
    <n v="221"/>
    <s v="toidukorda"/>
    <n v="41.6"/>
    <s v="last"/>
    <n v="0.85"/>
    <n v="7814.56"/>
    <s v="maha arvatud laste arvust -20% puudumised"/>
    <n v="32206"/>
    <s v="Lasteaia toiduraha"/>
    <n v="32"/>
    <x v="0"/>
    <x v="0"/>
    <x v="0"/>
    <s v="Põhitegevuse tulu"/>
  </r>
  <r>
    <s v="09"/>
    <s v="0911007         "/>
    <s v=" Roela Lasteaed"/>
    <s v="Alusharidus"/>
    <s v="Haridus"/>
    <s v="Roela Lasteaed"/>
    <s v="Sõimelapsed"/>
    <n v="32.4"/>
    <m/>
    <n v="12"/>
    <s v="kuu"/>
    <n v="20"/>
    <n v="7775.9999999999991"/>
    <s v="kohatasu, maha arvestatud -10% puudumisi"/>
    <n v="32201"/>
    <s v="Lasteiatasu - õppekulu"/>
    <n v="32"/>
    <x v="0"/>
    <x v="0"/>
    <x v="0"/>
    <s v="Põhitegevuse tulu"/>
  </r>
  <r>
    <s v="09"/>
    <s v="0911007         "/>
    <s v=" Roela Lasteaed"/>
    <s v="Alusharidus"/>
    <s v="Haridus"/>
    <s v="Roela Lasteaed"/>
    <s v="Toidupäev"/>
    <n v="221"/>
    <s v="toidukorda"/>
    <n v="28.8"/>
    <s v="last"/>
    <n v="0.8"/>
    <n v="5091.84"/>
    <s v="maha arvatud laste arvust -20% puudumised"/>
    <n v="32206"/>
    <s v="Lasteaia toiduraha"/>
    <n v="32"/>
    <x v="0"/>
    <x v="0"/>
    <x v="0"/>
    <s v="Põhitegevuse tulu"/>
  </r>
  <r>
    <s v="01"/>
    <s v="01112           "/>
    <s v=" Valla- ja linnavalitsus"/>
    <s v="Valla- ja linnavalitsus"/>
    <s v="Üldised valitsussektori teenused"/>
    <s v="Finantsosakond"/>
    <s v="Füüsilise isiku tulumaks"/>
    <n v="1"/>
    <s v="aasta"/>
    <n v="1.05"/>
    <m/>
    <n v="5238779"/>
    <n v="5500717.9500000002"/>
    <m/>
    <n v="3000"/>
    <s v="Füüsilise isiku tulumaks"/>
    <n v="3000"/>
    <x v="1"/>
    <x v="1"/>
    <x v="1"/>
    <s v="Põhitegevuse tulu"/>
  </r>
  <r>
    <s v="10"/>
    <s v="1020001         "/>
    <s v=" Tammiku Kodu"/>
    <s v="Eakate sotsiaalhoolekande asutused"/>
    <s v="Sotsiaalne kaitse"/>
    <s v="Tammiku kodu"/>
    <s v="kohatasu"/>
    <n v="24"/>
    <s v="hooldatavat"/>
    <n v="12"/>
    <s v="kuud"/>
    <n v="605"/>
    <n v="174240"/>
    <m/>
    <n v="3224"/>
    <s v="Tulud sotsiaalabi teenustest"/>
    <n v="32"/>
    <x v="0"/>
    <x v="0"/>
    <x v="0"/>
    <s v="Põhitegevuse tulu"/>
  </r>
  <r>
    <s v="10"/>
    <s v="1020002         "/>
    <s v=" Ulvi Hooldekodu"/>
    <s v="Eakate sotsiaalhoolekande asutused"/>
    <s v="Sotsiaalne kaitse"/>
    <s v="Ulvi kodu"/>
    <s v="kohatasu"/>
    <n v="30"/>
    <s v="hooldatavat"/>
    <n v="12"/>
    <s v="kuud"/>
    <n v="630"/>
    <n v="226800"/>
    <m/>
    <n v="3224"/>
    <s v="Tulud sotsiaalabi teenustest"/>
    <n v="32"/>
    <x v="0"/>
    <x v="0"/>
    <x v="0"/>
    <s v="Põhitegevuse tulu"/>
  </r>
  <r>
    <s v="01"/>
    <s v="01112           "/>
    <s v=" Valla- ja linnavalitsus"/>
    <s v="Valla- ja linnavalitsus"/>
    <s v="Üldised valitsussektori teenused"/>
    <s v="Vallavalitsus"/>
    <s v="Maavarad"/>
    <n v="1"/>
    <s v="aasta"/>
    <n v="1"/>
    <m/>
    <n v="87300"/>
    <n v="87300"/>
    <m/>
    <n v="38251"/>
    <s v="Kohaliku tähtsusega maardlate kaevandamisõiguse tasu"/>
    <n v="38251"/>
    <x v="2"/>
    <x v="2"/>
    <x v="2"/>
    <s v="Põhitegevuse tulu"/>
  </r>
  <r>
    <s v="01"/>
    <s v="01112           "/>
    <s v=" Valla- ja linnavalitsus"/>
    <s v="Valla- ja linnavalitsus"/>
    <s v="Üldised valitsussektori teenused"/>
    <s v="Vallavalitsus"/>
    <s v="Vee erikasutustasud"/>
    <n v="1"/>
    <s v="aasta"/>
    <n v="1"/>
    <m/>
    <n v="13300"/>
    <n v="13300"/>
    <m/>
    <n v="38254"/>
    <s v="Tasu vee erikasutusest"/>
    <n v="38254"/>
    <x v="2"/>
    <x v="2"/>
    <x v="3"/>
    <s v="Põhitegevuse tulu"/>
  </r>
  <r>
    <s v="01"/>
    <s v="01112           "/>
    <s v=" Valla- ja linnavalitsus"/>
    <s v="Valla- ja linnavalitsus"/>
    <s v="Üldised valitsussektori teenused"/>
    <s v="Vallavalitsus"/>
    <s v="Saastetasud"/>
    <m/>
    <m/>
    <m/>
    <m/>
    <m/>
    <n v="0"/>
    <m/>
    <n v="3882"/>
    <s v="Saastetasud"/>
    <n v="3882"/>
    <x v="2"/>
    <x v="2"/>
    <x v="4"/>
    <s v="Põhitegevuse tulu"/>
  </r>
  <r>
    <s v="01"/>
    <s v="01112           "/>
    <s v=" Valla- ja linnavalitsus"/>
    <s v="Valla- ja linnavalitsus"/>
    <s v="Üldised valitsussektori teenused"/>
    <s v="Vallavalitsus"/>
    <s v="Riigilõivud"/>
    <n v="12"/>
    <s v="kuud"/>
    <n v="15"/>
    <s v="in"/>
    <n v="30"/>
    <n v="5400"/>
    <m/>
    <n v="320"/>
    <s v="Riigilõivud"/>
    <n v="32"/>
    <x v="0"/>
    <x v="0"/>
    <x v="0"/>
    <s v="Põhitegevuse tulu"/>
  </r>
  <r>
    <s v="03"/>
    <s v="03200           "/>
    <s v=" Päästeteenused"/>
    <s v="Päästeteenused"/>
    <s v="Avalik kord ja julgeolek"/>
    <s v="Noorsoo- ja spordinõunik"/>
    <s v="Vabatahtliku tegevuse püsitasu"/>
    <n v="4"/>
    <s v="kvartal"/>
    <n v="1"/>
    <m/>
    <n v="900"/>
    <n v="3600"/>
    <m/>
    <n v="3227"/>
    <s v="Laekumised korrakaitseasutuste majandustegevusest"/>
    <n v="32"/>
    <x v="0"/>
    <x v="0"/>
    <x v="0"/>
    <s v="Põhitegevuse tulu"/>
  </r>
  <r>
    <s v="03"/>
    <s v="03200           "/>
    <s v=" Päästeteenused"/>
    <s v="Päästeteenused"/>
    <s v="Avalik kord ja julgeolek"/>
    <s v="Noorsoo- ja spordinõunik"/>
    <s v="Valmisoleku tasud"/>
    <n v="4"/>
    <s v="kvartal"/>
    <n v="1"/>
    <s v="aasta"/>
    <n v="290"/>
    <n v="1160"/>
    <m/>
    <n v="3227"/>
    <s v="Laekumised korrakaitseasutuste majandustegevusest"/>
    <n v="32"/>
    <x v="0"/>
    <x v="0"/>
    <x v="0"/>
    <s v="Põhitegevuse tulu"/>
  </r>
  <r>
    <s v="03"/>
    <s v="03200           "/>
    <s v=" Päästeteenused"/>
    <s v="Päästeteenused"/>
    <s v="Avalik kord ja julgeolek"/>
    <s v="Noorsoo- ja spordinõunik"/>
    <s v="Tehnika püsitasu"/>
    <n v="4"/>
    <s v="kvartal"/>
    <n v="1"/>
    <m/>
    <n v="225"/>
    <n v="900"/>
    <m/>
    <n v="3227"/>
    <s v="Laekumised korrakaitseasutuste majandustegevusest"/>
    <n v="32"/>
    <x v="0"/>
    <x v="0"/>
    <x v="0"/>
    <s v="Põhitegevuse tulu"/>
  </r>
  <r>
    <s v="01"/>
    <s v="01112           "/>
    <s v=" Valla- ja linnavalitsus"/>
    <s v="Valla- ja linnavalitsus"/>
    <s v="Üldised valitsussektori teenused"/>
    <s v="Vallavalitsus"/>
    <s v="Kommunaalteenused"/>
    <n v="12"/>
    <s v="kuud"/>
    <n v="7"/>
    <s v="in"/>
    <n v="24"/>
    <n v="2016"/>
    <s v="vesi"/>
    <n v="3225"/>
    <s v="Laekumised elamu- ja kommunaalasutuste majandustegevusest"/>
    <n v="32"/>
    <x v="0"/>
    <x v="0"/>
    <x v="0"/>
    <s v="Põhitegevuse tulu"/>
  </r>
  <r>
    <s v="06"/>
    <s v="0660507         "/>
    <s v=" Saunad"/>
    <s v="Muu elamu- ja kommunaalmajanduse tegevus"/>
    <s v="Elamu- ja kommunaalmajandus"/>
    <s v="Viru-Jaagupi piirkond"/>
    <s v="Saunateenuste tulu"/>
    <n v="12"/>
    <s v="kuud"/>
    <n v="1"/>
    <m/>
    <n v="300"/>
    <n v="3600"/>
    <m/>
    <n v="3232"/>
    <s v="Laekumised muude majandusküsimustega tegelevate asutustega"/>
    <n v="32"/>
    <x v="0"/>
    <x v="0"/>
    <x v="0"/>
    <s v="Põhitegevuse tulu"/>
  </r>
  <r>
    <s v="01"/>
    <s v="01112           "/>
    <s v=" Valla- ja linnavalitsus"/>
    <s v="Valla- ja linnavalitsus"/>
    <s v="Üldised valitsussektori teenused"/>
    <s v="Vallavalitsus"/>
    <s v="Korterite üüritulu"/>
    <n v="12"/>
    <s v="kuud"/>
    <n v="1"/>
    <m/>
    <n v="3500"/>
    <n v="42000"/>
    <m/>
    <n v="3233"/>
    <s v="Üüri- ja renditulud"/>
    <n v="32"/>
    <x v="0"/>
    <x v="0"/>
    <x v="0"/>
    <s v="Põhitegevuse tulu"/>
  </r>
  <r>
    <s v="01"/>
    <s v="01112           "/>
    <s v=" Valla- ja linnavalitsus"/>
    <s v="Valla- ja linnavalitsus"/>
    <s v="Üldised valitsussektori teenused"/>
    <s v="Vallavalitsus"/>
    <s v="Korterite elekter"/>
    <n v="12"/>
    <s v="kuud"/>
    <n v="1"/>
    <m/>
    <n v="800"/>
    <n v="9600"/>
    <m/>
    <n v="3233"/>
    <s v="Üüri- ja renditulud"/>
    <n v="32"/>
    <x v="0"/>
    <x v="0"/>
    <x v="0"/>
    <s v="Põhitegevuse tulu"/>
  </r>
  <r>
    <s v="01"/>
    <s v="01112           "/>
    <s v=" Valla- ja linnavalitsus"/>
    <s v="Valla- ja linnavalitsus"/>
    <s v="Üldised valitsussektori teenused"/>
    <s v="Vallavalitsus"/>
    <s v="Korterite vesi"/>
    <n v="12"/>
    <s v="kuud"/>
    <n v="1"/>
    <m/>
    <n v="500"/>
    <n v="6000"/>
    <m/>
    <n v="3233"/>
    <s v="Üüri- ja renditulud"/>
    <n v="32"/>
    <x v="0"/>
    <x v="0"/>
    <x v="0"/>
    <s v="Põhitegevuse tulu"/>
  </r>
  <r>
    <s v="01"/>
    <s v="01112           "/>
    <s v=" Valla- ja linnavalitsus"/>
    <s v="Valla- ja linnavalitsus"/>
    <s v="Üldised valitsussektori teenused"/>
    <s v="Vallavalitsus"/>
    <s v="Korterite prügivedu"/>
    <n v="12"/>
    <s v="kuud"/>
    <n v="1"/>
    <m/>
    <n v="110"/>
    <n v="1320"/>
    <m/>
    <n v="3233"/>
    <s v="Üüri- ja renditulud"/>
    <n v="32"/>
    <x v="0"/>
    <x v="0"/>
    <x v="0"/>
    <s v="Põhitegevuse tulu"/>
  </r>
  <r>
    <s v="01"/>
    <s v="01112           "/>
    <s v=" Valla- ja linnavalitsus"/>
    <s v="Valla- ja linnavalitsus"/>
    <s v="Üldised valitsussektori teenused"/>
    <s v="Vallavalitsus"/>
    <s v="Korterite keskküte"/>
    <n v="12"/>
    <s v="kuud"/>
    <n v="1"/>
    <m/>
    <n v="930"/>
    <n v="11160"/>
    <m/>
    <n v="3233"/>
    <s v="Üüri- ja renditulud"/>
    <n v="32"/>
    <x v="0"/>
    <x v="0"/>
    <x v="0"/>
    <s v="Põhitegevuse tulu"/>
  </r>
  <r>
    <s v="01"/>
    <s v="01112           "/>
    <s v=" Valla- ja linnavalitsus"/>
    <s v="Valla- ja linnavalitsus"/>
    <s v="Üldised valitsussektori teenused"/>
    <s v="Vallavalitsus"/>
    <s v="Korterite digiteenus (elisa)"/>
    <n v="12"/>
    <s v="kuud"/>
    <n v="1"/>
    <m/>
    <n v="47.93"/>
    <n v="575.16"/>
    <m/>
    <n v="3233"/>
    <s v="Üüri- ja renditulud"/>
    <n v="32"/>
    <x v="0"/>
    <x v="0"/>
    <x v="0"/>
    <s v="Põhitegevuse tulu"/>
  </r>
  <r>
    <s v="01"/>
    <s v="01112           "/>
    <s v=" Valla- ja linnavalitsus"/>
    <s v="Valla- ja linnavalitsus"/>
    <s v="Üldised valitsussektori teenused"/>
    <s v="Sotsiaalosakond"/>
    <s v="Koduteenuse osutamine"/>
    <n v="12"/>
    <s v="kuud"/>
    <n v="1"/>
    <m/>
    <n v="520"/>
    <n v="6240"/>
    <m/>
    <n v="3224"/>
    <s v="Tulud sotsiaalabi teenustest"/>
    <n v="32"/>
    <x v="0"/>
    <x v="0"/>
    <x v="0"/>
    <s v="Põhitegevuse tulu"/>
  </r>
  <r>
    <s v="01"/>
    <s v="01112           "/>
    <s v=" Valla- ja linnavalitsus"/>
    <s v="Valla- ja linnavalitsus"/>
    <s v="Üldised valitsussektori teenused"/>
    <s v="Vallavalitsus"/>
    <s v="Muuga-Laekvere koolile eraldatud katuseraha  Inventari soetamine"/>
    <n v="1"/>
    <s v="aasta"/>
    <n v="1"/>
    <m/>
    <n v="5000"/>
    <n v="5000"/>
    <m/>
    <n v="3500"/>
    <s v="Sihtotstarbelised toetused jooksvateks kuludeks"/>
    <n v="3500"/>
    <x v="3"/>
    <x v="3"/>
    <x v="5"/>
    <s v="Põhitegevuse tulu"/>
  </r>
  <r>
    <s v="01"/>
    <s v="01112           "/>
    <s v=" Valla- ja linnavalitsus"/>
    <s v="Valla- ja linnavalitsus"/>
    <s v="Üldised valitsussektori teenused"/>
    <s v="Vallavalitsus"/>
    <s v="Laekvere Põhikooli dušši- ja riietusruumide ehitamine"/>
    <n v="1"/>
    <s v="aasta"/>
    <n v="1"/>
    <m/>
    <n v="6000"/>
    <n v="6000"/>
    <m/>
    <n v="3500"/>
    <s v="Sihtotstarbelised toetused jooksvateks kuludeks"/>
    <n v="3500"/>
    <x v="3"/>
    <x v="3"/>
    <x v="5"/>
    <s v="Põhitegevuse tulu"/>
  </r>
  <r>
    <s v="09"/>
    <s v="0960201         "/>
    <s v=" Roela Õpilaskodu"/>
    <s v="Öömaja"/>
    <s v="Haridus"/>
    <s v="Haridusnõunik"/>
    <s v="Rahandusmin. Õpilaskodu toetus"/>
    <n v="11"/>
    <s v="in"/>
    <n v="0.87878789999999996"/>
    <m/>
    <n v="2000"/>
    <n v="19333.333799999997"/>
    <s v="Arvestus: 11in*2000€/aasta=22 000; Vähendus 2019.a eest -2666,67"/>
    <n v="3500"/>
    <s v="Sihtotstarbelised toetused jooksvateks kuludeks"/>
    <n v="3500"/>
    <x v="3"/>
    <x v="3"/>
    <x v="5"/>
    <s v="Põhitegevuse tulu"/>
  </r>
  <r>
    <s v="09"/>
    <s v="0911004         "/>
    <s v=" Tudu Lasteaed"/>
    <s v="Alusharidus"/>
    <s v="Haridus"/>
    <s v="Vallavalitsus"/>
    <s v="PRIA koolipiima toetus"/>
    <n v="12"/>
    <s v="kuud"/>
    <n v="1"/>
    <s v="aasta"/>
    <n v="1833.34"/>
    <n v="22000.079999999998"/>
    <m/>
    <n v="3500"/>
    <s v="Sihtotstarbelised toetused jooksvateks kuludeks"/>
    <n v="3500"/>
    <x v="3"/>
    <x v="3"/>
    <x v="5"/>
    <s v="Põhitegevuse tulu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1289">
  <r>
    <x v="0"/>
    <x v="0"/>
    <x v="0"/>
    <x v="0"/>
    <x v="0"/>
    <s v="Volikogu esimees"/>
    <s v="külaliste vastuvõtt"/>
    <x v="0"/>
    <m/>
    <x v="0"/>
    <s v="Administreerimiskulud"/>
    <n v="55"/>
    <x v="0"/>
    <x v="0"/>
    <x v="0"/>
    <x v="0"/>
  </r>
  <r>
    <x v="0"/>
    <x v="0"/>
    <x v="0"/>
    <x v="0"/>
    <x v="0"/>
    <s v="Volikogu esimees"/>
    <s v="postikulu"/>
    <x v="1"/>
    <m/>
    <x v="0"/>
    <s v="Administreerimiskulud"/>
    <n v="55"/>
    <x v="0"/>
    <x v="0"/>
    <x v="0"/>
    <x v="0"/>
  </r>
  <r>
    <x v="0"/>
    <x v="0"/>
    <x v="0"/>
    <x v="0"/>
    <x v="0"/>
    <s v="Volikogu esimees"/>
    <s v="tellitud transport"/>
    <x v="2"/>
    <m/>
    <x v="1"/>
    <s v="Mitmesugused majanduskulud"/>
    <n v="55"/>
    <x v="0"/>
    <x v="0"/>
    <x v="0"/>
    <x v="0"/>
  </r>
  <r>
    <x v="0"/>
    <x v="0"/>
    <x v="0"/>
    <x v="0"/>
    <x v="0"/>
    <s v="Volikogu esimees"/>
    <s v="komisjonide töö korraldamised"/>
    <x v="3"/>
    <m/>
    <x v="0"/>
    <s v="Administreerimiskulud"/>
    <n v="55"/>
    <x v="0"/>
    <x v="0"/>
    <x v="0"/>
    <x v="0"/>
  </r>
  <r>
    <x v="0"/>
    <x v="0"/>
    <x v="0"/>
    <x v="0"/>
    <x v="0"/>
    <s v="Volikogu esimees"/>
    <s v="Koolitused"/>
    <x v="4"/>
    <s v="17 x 50"/>
    <x v="2"/>
    <s v="Koolituskulud"/>
    <n v="55"/>
    <x v="0"/>
    <x v="0"/>
    <x v="0"/>
    <x v="0"/>
  </r>
  <r>
    <x v="0"/>
    <x v="0"/>
    <x v="0"/>
    <x v="0"/>
    <x v="0"/>
    <s v="Volikogu esimees"/>
    <s v="Isikliku sõiduauto komp."/>
    <x v="5"/>
    <s v="esimees 12*150"/>
    <x v="3"/>
    <s v="Sõidukite ülalpidamise kulud"/>
    <n v="55"/>
    <x v="0"/>
    <x v="0"/>
    <x v="0"/>
    <x v="0"/>
  </r>
  <r>
    <x v="0"/>
    <x v="1"/>
    <x v="1"/>
    <x v="1"/>
    <x v="0"/>
    <s v="Vallavalitsus"/>
    <s v="Vallamaja koristusteenus"/>
    <x v="6"/>
    <s v="Tarvaprojekt"/>
    <x v="4"/>
    <s v="Kinnistute, hoonete ja ruumide majandamiskulud"/>
    <n v="55"/>
    <x v="0"/>
    <x v="0"/>
    <x v="0"/>
    <x v="0"/>
  </r>
  <r>
    <x v="0"/>
    <x v="1"/>
    <x v="1"/>
    <x v="1"/>
    <x v="0"/>
    <s v="Finantsosakond"/>
    <s v="Audiitorteenus"/>
    <x v="7"/>
    <m/>
    <x v="0"/>
    <s v="Administreerimiskulud"/>
    <n v="55"/>
    <x v="0"/>
    <x v="0"/>
    <x v="0"/>
    <x v="0"/>
  </r>
  <r>
    <x v="0"/>
    <x v="1"/>
    <x v="1"/>
    <x v="1"/>
    <x v="0"/>
    <s v="Finantsosakond"/>
    <s v="Trükised"/>
    <x v="8"/>
    <s v="raamatupidamisuudised jms"/>
    <x v="0"/>
    <s v="Administreerimiskulud"/>
    <n v="55"/>
    <x v="0"/>
    <x v="0"/>
    <x v="0"/>
    <x v="0"/>
  </r>
  <r>
    <x v="0"/>
    <x v="1"/>
    <x v="1"/>
    <x v="1"/>
    <x v="0"/>
    <s v="Finantsosakond"/>
    <s v="Omniva arvekeskus"/>
    <x v="9"/>
    <s v="600x12 kuud"/>
    <x v="0"/>
    <s v="Administreerimiskulud"/>
    <n v="55"/>
    <x v="0"/>
    <x v="0"/>
    <x v="0"/>
    <x v="0"/>
  </r>
  <r>
    <x v="0"/>
    <x v="1"/>
    <x v="1"/>
    <x v="1"/>
    <x v="0"/>
    <s v="Finantsosakond"/>
    <s v="Koolitused"/>
    <x v="10"/>
    <s v="1 inx375€"/>
    <x v="2"/>
    <s v="Koolituskulud"/>
    <n v="55"/>
    <x v="0"/>
    <x v="0"/>
    <x v="0"/>
    <x v="0"/>
  </r>
  <r>
    <x v="0"/>
    <x v="1"/>
    <x v="1"/>
    <x v="1"/>
    <x v="0"/>
    <s v="Finantsosakond"/>
    <s v="Koolituslähetuse sõidukulud"/>
    <x v="11"/>
    <m/>
    <x v="2"/>
    <s v="Koolituskulud"/>
    <n v="55"/>
    <x v="0"/>
    <x v="0"/>
    <x v="0"/>
    <x v="0"/>
  </r>
  <r>
    <x v="0"/>
    <x v="1"/>
    <x v="1"/>
    <x v="1"/>
    <x v="0"/>
    <s v="Finantsosakond"/>
    <s v="Isikliku sõiduauto komp."/>
    <x v="8"/>
    <m/>
    <x v="3"/>
    <s v="Sõidukite ülalpidamise kulud"/>
    <n v="55"/>
    <x v="0"/>
    <x v="0"/>
    <x v="0"/>
    <x v="0"/>
  </r>
  <r>
    <x v="0"/>
    <x v="1"/>
    <x v="1"/>
    <x v="1"/>
    <x v="0"/>
    <s v="Finantsosakond"/>
    <s v="Pmen hooldus"/>
    <x v="12"/>
    <s v="240x12 kuud"/>
    <x v="5"/>
    <s v="Info- ja kommunikatsioonitehnoliigised kulud"/>
    <n v="55"/>
    <x v="0"/>
    <x v="0"/>
    <x v="0"/>
    <x v="0"/>
  </r>
  <r>
    <x v="0"/>
    <x v="1"/>
    <x v="1"/>
    <x v="1"/>
    <x v="0"/>
    <s v="Finantsosakond"/>
    <s v="Raamatupidajate kogu liikmemaks"/>
    <x v="11"/>
    <m/>
    <x v="6"/>
    <s v="Liikmemaksud"/>
    <n v="452"/>
    <x v="1"/>
    <x v="1"/>
    <x v="1"/>
    <x v="0"/>
  </r>
  <r>
    <x v="0"/>
    <x v="1"/>
    <x v="1"/>
    <x v="1"/>
    <x v="0"/>
    <s v="Finantsosakond"/>
    <s v="Maksumaksjate liidu liikmemaks"/>
    <x v="13"/>
    <m/>
    <x v="6"/>
    <s v="Liikmemaksud"/>
    <n v="452"/>
    <x v="1"/>
    <x v="1"/>
    <x v="1"/>
    <x v="0"/>
  </r>
  <r>
    <x v="0"/>
    <x v="1"/>
    <x v="1"/>
    <x v="1"/>
    <x v="0"/>
    <s v="Vallavanem"/>
    <s v="Valitsuse liikmete koolituskulud"/>
    <x v="14"/>
    <m/>
    <x v="2"/>
    <s v="Koolituskulud"/>
    <n v="55"/>
    <x v="0"/>
    <x v="0"/>
    <x v="0"/>
    <x v="0"/>
  </r>
  <r>
    <x v="0"/>
    <x v="1"/>
    <x v="1"/>
    <x v="1"/>
    <x v="0"/>
    <s v="Finantsosakond"/>
    <s v="Pangateenustasud"/>
    <x v="15"/>
    <s v="Swedbank"/>
    <x v="0"/>
    <s v="Administreerimiskulud"/>
    <n v="55"/>
    <x v="0"/>
    <x v="0"/>
    <x v="0"/>
    <x v="0"/>
  </r>
  <r>
    <x v="0"/>
    <x v="1"/>
    <x v="1"/>
    <x v="1"/>
    <x v="0"/>
    <s v="Finantsosakond"/>
    <s v="Pangateenustasud"/>
    <x v="16"/>
    <m/>
    <x v="0"/>
    <s v="Administreerimiskulud"/>
    <n v="55"/>
    <x v="0"/>
    <x v="0"/>
    <x v="0"/>
    <x v="0"/>
  </r>
  <r>
    <x v="0"/>
    <x v="1"/>
    <x v="1"/>
    <x v="1"/>
    <x v="0"/>
    <s v="Kantselei"/>
    <s v="Arhivaalide hävitamise teenus"/>
    <x v="2"/>
    <m/>
    <x v="0"/>
    <s v="Administreerimiskulud"/>
    <n v="55"/>
    <x v="0"/>
    <x v="0"/>
    <x v="0"/>
    <x v="0"/>
  </r>
  <r>
    <x v="0"/>
    <x v="1"/>
    <x v="1"/>
    <x v="1"/>
    <x v="0"/>
    <s v="Kantselei"/>
    <s v="Arhiivi tarvikud"/>
    <x v="2"/>
    <m/>
    <x v="0"/>
    <s v="Administreerimiskulud"/>
    <n v="55"/>
    <x v="0"/>
    <x v="0"/>
    <x v="0"/>
    <x v="0"/>
  </r>
  <r>
    <x v="0"/>
    <x v="1"/>
    <x v="1"/>
    <x v="1"/>
    <x v="0"/>
    <s v="Kantselei"/>
    <s v="Kontoritarbed"/>
    <x v="17"/>
    <m/>
    <x v="0"/>
    <s v="Administreerimiskulud"/>
    <n v="55"/>
    <x v="0"/>
    <x v="0"/>
    <x v="0"/>
    <x v="0"/>
  </r>
  <r>
    <x v="0"/>
    <x v="1"/>
    <x v="1"/>
    <x v="1"/>
    <x v="0"/>
    <s v="Kantselei"/>
    <s v="Postikulud"/>
    <x v="18"/>
    <m/>
    <x v="0"/>
    <s v="Administreerimiskulud"/>
    <n v="55"/>
    <x v="0"/>
    <x v="0"/>
    <x v="0"/>
    <x v="0"/>
  </r>
  <r>
    <x v="0"/>
    <x v="1"/>
    <x v="1"/>
    <x v="1"/>
    <x v="0"/>
    <s v="Kantselei"/>
    <s v="Koopiapaber"/>
    <x v="10"/>
    <m/>
    <x v="0"/>
    <s v="Administreerimiskulud"/>
    <n v="55"/>
    <x v="0"/>
    <x v="0"/>
    <x v="0"/>
    <x v="0"/>
  </r>
  <r>
    <x v="0"/>
    <x v="1"/>
    <x v="1"/>
    <x v="1"/>
    <x v="0"/>
    <s v="Kantselei"/>
    <s v="Paljunduskulud"/>
    <x v="19"/>
    <m/>
    <x v="0"/>
    <s v="Administreerimiskulud"/>
    <n v="55"/>
    <x v="0"/>
    <x v="0"/>
    <x v="0"/>
    <x v="0"/>
  </r>
  <r>
    <x v="0"/>
    <x v="1"/>
    <x v="1"/>
    <x v="1"/>
    <x v="0"/>
    <s v="Kantselei"/>
    <s v="Kalendrid"/>
    <x v="20"/>
    <m/>
    <x v="0"/>
    <s v="Administreerimiskulud"/>
    <n v="55"/>
    <x v="0"/>
    <x v="0"/>
    <x v="0"/>
    <x v="0"/>
  </r>
  <r>
    <x v="0"/>
    <x v="1"/>
    <x v="1"/>
    <x v="1"/>
    <x v="0"/>
    <s v="Kantselei"/>
    <s v="Kalendermärkmikud"/>
    <x v="21"/>
    <m/>
    <x v="0"/>
    <s v="Administreerimiskulud"/>
    <n v="55"/>
    <x v="0"/>
    <x v="0"/>
    <x v="0"/>
    <x v="0"/>
  </r>
  <r>
    <x v="0"/>
    <x v="1"/>
    <x v="1"/>
    <x v="1"/>
    <x v="0"/>
    <s v="Kantselei"/>
    <s v="Meened (prillilapp, tassid, pastakad)"/>
    <x v="22"/>
    <m/>
    <x v="0"/>
    <s v="Administreerimiskulud"/>
    <n v="55"/>
    <x v="0"/>
    <x v="0"/>
    <x v="0"/>
    <x v="0"/>
  </r>
  <r>
    <x v="0"/>
    <x v="1"/>
    <x v="1"/>
    <x v="1"/>
    <x v="0"/>
    <s v="Kantselei"/>
    <s v="Lilled sünnipäevalistele jne"/>
    <x v="23"/>
    <m/>
    <x v="0"/>
    <s v="Administreerimiskulud"/>
    <n v="55"/>
    <x v="0"/>
    <x v="0"/>
    <x v="0"/>
    <x v="0"/>
  </r>
  <r>
    <x v="0"/>
    <x v="1"/>
    <x v="1"/>
    <x v="1"/>
    <x v="0"/>
    <s v="Kantselei"/>
    <s v="Lauatelefonid"/>
    <x v="24"/>
    <m/>
    <x v="0"/>
    <s v="Administreerimiskulud"/>
    <n v="55"/>
    <x v="0"/>
    <x v="0"/>
    <x v="0"/>
    <x v="0"/>
  </r>
  <r>
    <x v="0"/>
    <x v="1"/>
    <x v="1"/>
    <x v="1"/>
    <x v="0"/>
    <s v="Kantselei"/>
    <s v="Esinduskulud (kohv)"/>
    <x v="25"/>
    <m/>
    <x v="0"/>
    <s v="Administreerimiskulud"/>
    <n v="55"/>
    <x v="0"/>
    <x v="0"/>
    <x v="0"/>
    <x v="0"/>
  </r>
  <r>
    <x v="0"/>
    <x v="1"/>
    <x v="1"/>
    <x v="1"/>
    <x v="0"/>
    <s v="Kantselei"/>
    <s v="Esindus - ja vastuvõtu kulud"/>
    <x v="26"/>
    <m/>
    <x v="0"/>
    <s v="Administreerimiskulud"/>
    <n v="55"/>
    <x v="0"/>
    <x v="0"/>
    <x v="0"/>
    <x v="0"/>
  </r>
  <r>
    <x v="0"/>
    <x v="1"/>
    <x v="1"/>
    <x v="1"/>
    <x v="0"/>
    <s v="Kantselei"/>
    <s v="Kuulutused"/>
    <x v="14"/>
    <s v="kaastunde avaldused jms"/>
    <x v="0"/>
    <s v="Administreerimiskulud"/>
    <n v="55"/>
    <x v="0"/>
    <x v="0"/>
    <x v="0"/>
    <x v="0"/>
  </r>
  <r>
    <x v="0"/>
    <x v="1"/>
    <x v="1"/>
    <x v="1"/>
    <x v="0"/>
    <s v="Kantselei"/>
    <s v="Visiitkaardid"/>
    <x v="27"/>
    <m/>
    <x v="0"/>
    <s v="Administreerimiskulud"/>
    <n v="55"/>
    <x v="0"/>
    <x v="0"/>
    <x v="0"/>
    <x v="0"/>
  </r>
  <r>
    <x v="0"/>
    <x v="1"/>
    <x v="1"/>
    <x v="1"/>
    <x v="0"/>
    <s v="Vallavanem"/>
    <s v="R.Võrno lähetused"/>
    <x v="10"/>
    <m/>
    <x v="7"/>
    <s v="Lähetuskulud"/>
    <n v="55"/>
    <x v="0"/>
    <x v="0"/>
    <x v="0"/>
    <x v="0"/>
  </r>
  <r>
    <x v="0"/>
    <x v="1"/>
    <x v="1"/>
    <x v="1"/>
    <x v="0"/>
    <s v="Kantselei"/>
    <s v="Koolitustel osalemine"/>
    <x v="22"/>
    <s v="Mart, Vaive, Kersti, Tuuli, Inga, Kätlin"/>
    <x v="2"/>
    <s v="Koolituskulud"/>
    <n v="55"/>
    <x v="0"/>
    <x v="0"/>
    <x v="0"/>
    <x v="0"/>
  </r>
  <r>
    <x v="0"/>
    <x v="1"/>
    <x v="1"/>
    <x v="1"/>
    <x v="0"/>
    <s v="Kantselei"/>
    <s v="Vallavalitsuse koosseisu hõlmavad üldised koolitused"/>
    <x v="28"/>
    <m/>
    <x v="2"/>
    <s v="Koolituskulud"/>
    <n v="55"/>
    <x v="0"/>
    <x v="0"/>
    <x v="0"/>
    <x v="0"/>
  </r>
  <r>
    <x v="0"/>
    <x v="1"/>
    <x v="1"/>
    <x v="1"/>
    <x v="0"/>
    <s v="Vallavanem"/>
    <s v="Valla meeskonna koolitused"/>
    <x v="29"/>
    <m/>
    <x v="2"/>
    <s v="Koolituskulud"/>
    <n v="55"/>
    <x v="0"/>
    <x v="0"/>
    <x v="0"/>
    <x v="0"/>
  </r>
  <r>
    <x v="0"/>
    <x v="1"/>
    <x v="1"/>
    <x v="1"/>
    <x v="0"/>
    <s v="Kantselei"/>
    <s v="Mastilipud"/>
    <x v="30"/>
    <m/>
    <x v="4"/>
    <s v="Kinnistute, hoonete ja ruumide majandamiskulud"/>
    <n v="55"/>
    <x v="0"/>
    <x v="0"/>
    <x v="0"/>
    <x v="0"/>
  </r>
  <r>
    <x v="0"/>
    <x v="1"/>
    <x v="1"/>
    <x v="1"/>
    <x v="0"/>
    <s v="Vallavanem"/>
    <s v="Saku Läte"/>
    <x v="19"/>
    <m/>
    <x v="4"/>
    <s v="Kinnistute, hoonete ja ruumide majandamiskulud"/>
    <n v="55"/>
    <x v="0"/>
    <x v="0"/>
    <x v="0"/>
    <x v="0"/>
  </r>
  <r>
    <x v="0"/>
    <x v="1"/>
    <x v="1"/>
    <x v="1"/>
    <x v="0"/>
    <s v="Vallavanem"/>
    <s v="Vallamaja elekter"/>
    <x v="30"/>
    <m/>
    <x v="4"/>
    <s v="Kinnistute, hoonete ja ruumide majandamiskulud"/>
    <n v="55"/>
    <x v="0"/>
    <x v="0"/>
    <x v="0"/>
    <x v="0"/>
  </r>
  <r>
    <x v="0"/>
    <x v="1"/>
    <x v="1"/>
    <x v="1"/>
    <x v="0"/>
    <s v="Vallavanem"/>
    <s v="Vallamaja vesi"/>
    <x v="5"/>
    <m/>
    <x v="4"/>
    <s v="Kinnistute, hoonete ja ruumide majandamiskulud"/>
    <n v="55"/>
    <x v="0"/>
    <x v="0"/>
    <x v="0"/>
    <x v="0"/>
  </r>
  <r>
    <x v="0"/>
    <x v="1"/>
    <x v="1"/>
    <x v="1"/>
    <x v="0"/>
    <s v="Vallavanem"/>
    <s v="Vallamaja keskküte"/>
    <x v="31"/>
    <m/>
    <x v="4"/>
    <s v="Kinnistute, hoonete ja ruumide majandamiskulud"/>
    <n v="55"/>
    <x v="0"/>
    <x v="0"/>
    <x v="0"/>
    <x v="0"/>
  </r>
  <r>
    <x v="0"/>
    <x v="1"/>
    <x v="1"/>
    <x v="1"/>
    <x v="0"/>
    <s v="Vallavanem"/>
    <s v="Prügikonteineri rent"/>
    <x v="32"/>
    <m/>
    <x v="4"/>
    <s v="Kinnistute, hoonete ja ruumide majandamiskulud"/>
    <n v="55"/>
    <x v="0"/>
    <x v="0"/>
    <x v="0"/>
    <x v="0"/>
  </r>
  <r>
    <x v="0"/>
    <x v="1"/>
    <x v="1"/>
    <x v="1"/>
    <x v="0"/>
    <s v="Vallavanem"/>
    <s v="Jäätmekäitlus"/>
    <x v="33"/>
    <m/>
    <x v="4"/>
    <s v="Kinnistute, hoonete ja ruumide majandamiskulud"/>
    <n v="55"/>
    <x v="0"/>
    <x v="0"/>
    <x v="0"/>
    <x v="0"/>
  </r>
  <r>
    <x v="0"/>
    <x v="1"/>
    <x v="1"/>
    <x v="1"/>
    <x v="0"/>
    <s v="Vallavanem"/>
    <s v="Hoone kindlustus"/>
    <x v="34"/>
    <m/>
    <x v="4"/>
    <s v="Kinnistute, hoonete ja ruumide majandamiskulud"/>
    <n v="55"/>
    <x v="0"/>
    <x v="0"/>
    <x v="0"/>
    <x v="0"/>
  </r>
  <r>
    <x v="0"/>
    <x v="1"/>
    <x v="1"/>
    <x v="1"/>
    <x v="0"/>
    <s v="Vallavanem"/>
    <s v="Muud kinnistu ja hoonetega seotud kulud"/>
    <x v="35"/>
    <m/>
    <x v="4"/>
    <s v="Kinnistute, hoonete ja ruumide majandamiskulud"/>
    <n v="55"/>
    <x v="0"/>
    <x v="0"/>
    <x v="0"/>
    <x v="0"/>
  </r>
  <r>
    <x v="0"/>
    <x v="1"/>
    <x v="1"/>
    <x v="1"/>
    <x v="0"/>
    <s v="Kantselei"/>
    <s v="Isikliku sõiduauto komp."/>
    <x v="36"/>
    <s v="juhiabi"/>
    <x v="3"/>
    <s v="Sõidukite ülalpidamise kulud"/>
    <n v="55"/>
    <x v="0"/>
    <x v="0"/>
    <x v="0"/>
    <x v="0"/>
  </r>
  <r>
    <x v="0"/>
    <x v="1"/>
    <x v="1"/>
    <x v="1"/>
    <x v="0"/>
    <s v="Kantselei"/>
    <s v="Isikliku sõiduauto komp."/>
    <x v="36"/>
    <s v="vallasekretär"/>
    <x v="3"/>
    <s v="Sõidukite ülalpidamise kulud"/>
    <n v="55"/>
    <x v="0"/>
    <x v="0"/>
    <x v="0"/>
    <x v="0"/>
  </r>
  <r>
    <x v="0"/>
    <x v="1"/>
    <x v="1"/>
    <x v="1"/>
    <x v="0"/>
    <s v="Vallavanem"/>
    <s v="Isikliku sõiduauto komp."/>
    <x v="5"/>
    <s v="abivallavanem"/>
    <x v="3"/>
    <s v="Sõidukite ülalpidamise kulud"/>
    <n v="55"/>
    <x v="0"/>
    <x v="0"/>
    <x v="0"/>
    <x v="0"/>
  </r>
  <r>
    <x v="0"/>
    <x v="1"/>
    <x v="1"/>
    <x v="1"/>
    <x v="0"/>
    <s v="Vallavanem"/>
    <s v="Vallavanema auto liising"/>
    <x v="37"/>
    <m/>
    <x v="3"/>
    <s v="Sõidukite ülalpidamise kulud"/>
    <n v="55"/>
    <x v="0"/>
    <x v="0"/>
    <x v="0"/>
    <x v="0"/>
  </r>
  <r>
    <x v="0"/>
    <x v="1"/>
    <x v="1"/>
    <x v="1"/>
    <x v="0"/>
    <s v="Vallavanem"/>
    <s v="Vallavanema auto kindlustus"/>
    <x v="38"/>
    <m/>
    <x v="3"/>
    <s v="Sõidukite ülalpidamise kulud"/>
    <n v="55"/>
    <x v="0"/>
    <x v="0"/>
    <x v="0"/>
    <x v="0"/>
  </r>
  <r>
    <x v="0"/>
    <x v="1"/>
    <x v="1"/>
    <x v="1"/>
    <x v="0"/>
    <s v="Vallavanem"/>
    <s v="Vallavanema auto kütus"/>
    <x v="30"/>
    <m/>
    <x v="3"/>
    <s v="Sõidukite ülalpidamise kulud"/>
    <n v="55"/>
    <x v="0"/>
    <x v="0"/>
    <x v="0"/>
    <x v="0"/>
  </r>
  <r>
    <x v="0"/>
    <x v="1"/>
    <x v="1"/>
    <x v="1"/>
    <x v="0"/>
    <s v="Vallavanem"/>
    <s v="Vallavanema auto remont ja hooldus"/>
    <x v="10"/>
    <m/>
    <x v="3"/>
    <s v="Sõidukite ülalpidamise kulud"/>
    <n v="55"/>
    <x v="0"/>
    <x v="0"/>
    <x v="0"/>
    <x v="0"/>
  </r>
  <r>
    <x v="0"/>
    <x v="1"/>
    <x v="1"/>
    <x v="1"/>
    <x v="0"/>
    <s v="Kantselei"/>
    <s v="Amphora dokumendihaldustarkvara kuutasud"/>
    <x v="39"/>
    <s v="kuutasu 280,02+km; 2020 hinnatõus 9%"/>
    <x v="5"/>
    <s v="Info- ja kommunikatsioonitehnoliigised kulud"/>
    <n v="55"/>
    <x v="0"/>
    <x v="0"/>
    <x v="0"/>
    <x v="0"/>
  </r>
  <r>
    <x v="0"/>
    <x v="1"/>
    <x v="1"/>
    <x v="1"/>
    <x v="0"/>
    <s v="Kantselei"/>
    <s v="Amphora arendamine"/>
    <x v="10"/>
    <m/>
    <x v="5"/>
    <s v="Info- ja kommunikatsioonitehnoliigised kulud"/>
    <n v="55"/>
    <x v="0"/>
    <x v="0"/>
    <x v="0"/>
    <x v="0"/>
  </r>
  <r>
    <x v="0"/>
    <x v="1"/>
    <x v="1"/>
    <x v="1"/>
    <x v="0"/>
    <s v="Vallavanem"/>
    <s v="Kohvimasina rent"/>
    <x v="15"/>
    <m/>
    <x v="8"/>
    <s v="Inventari kulud, v.a infotehnoloogia ja kaitseotstarbelised kulud"/>
    <n v="55"/>
    <x v="0"/>
    <x v="0"/>
    <x v="0"/>
    <x v="0"/>
  </r>
  <r>
    <x v="0"/>
    <x v="1"/>
    <x v="1"/>
    <x v="1"/>
    <x v="0"/>
    <s v="Vallavanem"/>
    <s v="Muud inventari vajadused"/>
    <x v="10"/>
    <m/>
    <x v="8"/>
    <s v="Inventari kulud, v.a infotehnoloogia ja kaitseotstarbelised kulud"/>
    <n v="55"/>
    <x v="0"/>
    <x v="0"/>
    <x v="0"/>
    <x v="0"/>
  </r>
  <r>
    <x v="0"/>
    <x v="1"/>
    <x v="1"/>
    <x v="1"/>
    <x v="0"/>
    <s v="Kantselei"/>
    <s v="Töötervishoiuarsti teenused, gripivaktsiin, esmaabi vahendid"/>
    <x v="40"/>
    <m/>
    <x v="9"/>
    <s v="Meditsiinikulud ja hügieenitarbed"/>
    <n v="55"/>
    <x v="0"/>
    <x v="0"/>
    <x v="0"/>
    <x v="0"/>
  </r>
  <r>
    <x v="0"/>
    <x v="1"/>
    <x v="1"/>
    <x v="1"/>
    <x v="0"/>
    <s v="Kantselei"/>
    <s v="Prillide kompensatsioon"/>
    <x v="14"/>
    <s v="10 in."/>
    <x v="9"/>
    <s v="Meditsiinikulud ja hügieenitarbed"/>
    <n v="55"/>
    <x v="0"/>
    <x v="0"/>
    <x v="0"/>
    <x v="0"/>
  </r>
  <r>
    <x v="0"/>
    <x v="1"/>
    <x v="1"/>
    <x v="1"/>
    <x v="0"/>
    <s v="Kantselei"/>
    <s v="Raamatud (meene isa-ema, vanaema-vanaisa)"/>
    <x v="41"/>
    <m/>
    <x v="10"/>
    <s v="Teavikud ja kunstiesemed"/>
    <n v="55"/>
    <x v="0"/>
    <x v="0"/>
    <x v="0"/>
    <x v="0"/>
  </r>
  <r>
    <x v="0"/>
    <x v="1"/>
    <x v="1"/>
    <x v="1"/>
    <x v="0"/>
    <s v="Kantselei"/>
    <s v="Kalade ülalpidamine"/>
    <x v="32"/>
    <m/>
    <x v="0"/>
    <s v="Administreerimiskulud"/>
    <n v="55"/>
    <x v="0"/>
    <x v="0"/>
    <x v="0"/>
    <x v="0"/>
  </r>
  <r>
    <x v="0"/>
    <x v="1"/>
    <x v="1"/>
    <x v="1"/>
    <x v="0"/>
    <s v="Kantselei"/>
    <s v="Spordikulude hüvitamine"/>
    <x v="42"/>
    <s v="28 in x 400€"/>
    <x v="1"/>
    <s v="Mitmesugused majanduskulud"/>
    <n v="55"/>
    <x v="0"/>
    <x v="0"/>
    <x v="0"/>
    <x v="0"/>
  </r>
  <r>
    <x v="0"/>
    <x v="1"/>
    <x v="1"/>
    <x v="1"/>
    <x v="0"/>
    <s v="Maanõunik"/>
    <s v="Maamaks"/>
    <x v="43"/>
    <m/>
    <x v="11"/>
    <s v="Maamaks"/>
    <n v="3030"/>
    <x v="2"/>
    <x v="2"/>
    <x v="2"/>
    <x v="1"/>
  </r>
  <r>
    <x v="0"/>
    <x v="1"/>
    <x v="1"/>
    <x v="1"/>
    <x v="0"/>
    <s v="Ehitusnõunik"/>
    <s v="Vallamaja küttesüsteem"/>
    <x v="44"/>
    <m/>
    <x v="12"/>
    <s v="Rajatiste ja hoonete soetamine ja renoveerimine"/>
    <n v="15"/>
    <x v="3"/>
    <x v="3"/>
    <x v="3"/>
    <x v="2"/>
  </r>
  <r>
    <x v="0"/>
    <x v="1"/>
    <x v="1"/>
    <x v="1"/>
    <x v="0"/>
    <s v="Ehitusnõunik"/>
    <s v="Vinni-Pajusti avaliku ruumi arendamine (Kirjandustammik, vaateplatvorm, VPG ala)"/>
    <x v="45"/>
    <m/>
    <x v="12"/>
    <s v="Rajatiste ja hoonete soetamine ja renoveerimine"/>
    <n v="15"/>
    <x v="3"/>
    <x v="3"/>
    <x v="3"/>
    <x v="2"/>
  </r>
  <r>
    <x v="0"/>
    <x v="1"/>
    <x v="1"/>
    <x v="1"/>
    <x v="0"/>
    <s v="Vallavalitsus"/>
    <s v="Avalike mänguväljakute ja sportimispaikade rajamine"/>
    <x v="46"/>
    <m/>
    <x v="12"/>
    <s v="Rajatiste ja hoonete soetamine ja renoveerimine"/>
    <n v="15"/>
    <x v="3"/>
    <x v="3"/>
    <x v="3"/>
    <x v="2"/>
  </r>
  <r>
    <x v="0"/>
    <x v="1"/>
    <x v="1"/>
    <x v="1"/>
    <x v="0"/>
    <s v="Arendusnõunik"/>
    <s v="Valla üldplaneeringu koostamine"/>
    <x v="47"/>
    <m/>
    <x v="13"/>
    <s v="Arenguväljaminekud"/>
    <n v="15"/>
    <x v="3"/>
    <x v="3"/>
    <x v="3"/>
    <x v="2"/>
  </r>
  <r>
    <x v="0"/>
    <x v="1"/>
    <x v="1"/>
    <x v="1"/>
    <x v="0"/>
    <s v="Vallavalitsus"/>
    <s v="Tasandusfond"/>
    <x v="48"/>
    <m/>
    <x v="14"/>
    <s v="Tasandusfond"/>
    <n v="35200"/>
    <x v="4"/>
    <x v="4"/>
    <x v="4"/>
    <x v="1"/>
  </r>
  <r>
    <x v="0"/>
    <x v="1"/>
    <x v="1"/>
    <x v="1"/>
    <x v="0"/>
    <s v="Haridusnõunik"/>
    <s v="Toetusfondi vahendid koolide tarbeks"/>
    <x v="49"/>
    <m/>
    <x v="15"/>
    <s v="Toetusfond"/>
    <n v="35201"/>
    <x v="4"/>
    <x v="4"/>
    <x v="5"/>
    <x v="1"/>
  </r>
  <r>
    <x v="0"/>
    <x v="1"/>
    <x v="1"/>
    <x v="1"/>
    <x v="0"/>
    <s v="Kantselei"/>
    <s v="Fliisid jms"/>
    <x v="10"/>
    <m/>
    <x v="16"/>
    <s v="Eri- ja vormiriietus"/>
    <n v="55"/>
    <x v="0"/>
    <x v="0"/>
    <x v="0"/>
    <x v="0"/>
  </r>
  <r>
    <x v="0"/>
    <x v="1"/>
    <x v="1"/>
    <x v="1"/>
    <x v="0"/>
    <s v="Finantsosakond"/>
    <s v="Eelarve rakenduse Veera Liitumis- ja juurutusprotsess"/>
    <x v="50"/>
    <m/>
    <x v="5"/>
    <s v="Info- ja kommunikatsioonitehnoliigised kulud"/>
    <n v="55"/>
    <x v="0"/>
    <x v="0"/>
    <x v="0"/>
    <x v="0"/>
  </r>
  <r>
    <x v="0"/>
    <x v="1"/>
    <x v="1"/>
    <x v="1"/>
    <x v="0"/>
    <s v="Finantsosakond"/>
    <s v="Eelarve rakenduse Veera kuutasu"/>
    <x v="51"/>
    <m/>
    <x v="5"/>
    <s v="Info- ja kommunikatsioonitehnoliigised kulud"/>
    <n v="55"/>
    <x v="0"/>
    <x v="0"/>
    <x v="0"/>
    <x v="0"/>
  </r>
  <r>
    <x v="0"/>
    <x v="1"/>
    <x v="1"/>
    <x v="1"/>
    <x v="0"/>
    <s v="Vallavanem"/>
    <s v="Muud ettenägematud kulud"/>
    <x v="52"/>
    <s v="Rauno"/>
    <x v="1"/>
    <s v="Mitmesugused majanduskulud"/>
    <n v="55"/>
    <x v="0"/>
    <x v="0"/>
    <x v="0"/>
    <x v="0"/>
  </r>
  <r>
    <x v="0"/>
    <x v="2"/>
    <x v="2"/>
    <x v="2"/>
    <x v="0"/>
    <s v="Vallavalitsus"/>
    <s v="Reservfond"/>
    <x v="53"/>
    <s v="Põhitegevustuludest 1%"/>
    <x v="17"/>
    <s v="Muud tegevuskulud"/>
    <n v="60"/>
    <x v="5"/>
    <x v="0"/>
    <x v="6"/>
    <x v="0"/>
  </r>
  <r>
    <x v="0"/>
    <x v="2"/>
    <x v="2"/>
    <x v="2"/>
    <x v="0"/>
    <s v="Vallavanem"/>
    <s v="Kaasav eelarve"/>
    <x v="45"/>
    <m/>
    <x v="12"/>
    <s v="Rajatiste ja hoonete soetamine ja renoveerimine"/>
    <n v="15"/>
    <x v="3"/>
    <x v="3"/>
    <x v="3"/>
    <x v="2"/>
  </r>
  <r>
    <x v="0"/>
    <x v="3"/>
    <x v="3"/>
    <x v="3"/>
    <x v="0"/>
    <s v="Vallavalitsus"/>
    <s v="Laenude põhiosade tasumised"/>
    <x v="54"/>
    <m/>
    <x v="18"/>
    <s v="Laenude tasumine"/>
    <n v="2586"/>
    <x v="6"/>
    <x v="5"/>
    <x v="7"/>
    <x v="3"/>
  </r>
  <r>
    <x v="0"/>
    <x v="3"/>
    <x v="3"/>
    <x v="3"/>
    <x v="0"/>
    <s v="Vallavalitsus"/>
    <s v="Laenude intresside tasumised"/>
    <x v="55"/>
    <m/>
    <x v="19"/>
    <s v="Intressi-, viivise- ja kohustistasukulud võetud laenudelt"/>
    <n v="650"/>
    <x v="7"/>
    <x v="6"/>
    <x v="8"/>
    <x v="2"/>
  </r>
  <r>
    <x v="0"/>
    <x v="3"/>
    <x v="3"/>
    <x v="3"/>
    <x v="0"/>
    <s v="Finantsosakond"/>
    <s v="Finantstulud"/>
    <x v="56"/>
    <m/>
    <x v="20"/>
    <s v="Intressitulud"/>
    <n v="655"/>
    <x v="7"/>
    <x v="7"/>
    <x v="9"/>
    <x v="2"/>
  </r>
  <r>
    <x v="0"/>
    <x v="3"/>
    <x v="3"/>
    <x v="3"/>
    <x v="0"/>
    <s v="Vallavalitsus"/>
    <s v="Laenu võtmine"/>
    <x v="57"/>
    <m/>
    <x v="21"/>
    <s v="Laenude võtmine muudelt residentidelt"/>
    <n v="2585"/>
    <x v="8"/>
    <x v="8"/>
    <x v="10"/>
    <x v="3"/>
  </r>
  <r>
    <x v="0"/>
    <x v="3"/>
    <x v="3"/>
    <x v="3"/>
    <x v="0"/>
    <s v="Vallavalitsus"/>
    <s v="2020 võetud laenude tagasimaksed"/>
    <x v="58"/>
    <m/>
    <x v="18"/>
    <s v="Laenude tasumine"/>
    <n v="2586"/>
    <x v="6"/>
    <x v="5"/>
    <x v="7"/>
    <x v="3"/>
  </r>
  <r>
    <x v="0"/>
    <x v="4"/>
    <x v="4"/>
    <x v="4"/>
    <x v="0"/>
    <s v="Vallavalitsus"/>
    <s v="Eesti Linnade ja Valdade Liidu 2020.a. liikmemaks"/>
    <x v="59"/>
    <m/>
    <x v="6"/>
    <s v="Liikmemaksud"/>
    <n v="452"/>
    <x v="1"/>
    <x v="1"/>
    <x v="1"/>
    <x v="0"/>
  </r>
  <r>
    <x v="0"/>
    <x v="4"/>
    <x v="4"/>
    <x v="4"/>
    <x v="0"/>
    <s v="Teede- ja ühistranspordinõunik"/>
    <s v="Liikmemaks Põhja- Eesti Ühistranspordikeskus MTÜ-le"/>
    <x v="60"/>
    <m/>
    <x v="6"/>
    <s v="Liikmemaksud"/>
    <n v="452"/>
    <x v="1"/>
    <x v="1"/>
    <x v="1"/>
    <x v="0"/>
  </r>
  <r>
    <x v="0"/>
    <x v="4"/>
    <x v="4"/>
    <x v="4"/>
    <x v="0"/>
    <s v="Vallavalitsus"/>
    <s v="Paik MTÜ liikmemaks"/>
    <x v="10"/>
    <m/>
    <x v="6"/>
    <s v="Liikmemaksud"/>
    <n v="452"/>
    <x v="1"/>
    <x v="1"/>
    <x v="1"/>
    <x v="0"/>
  </r>
  <r>
    <x v="0"/>
    <x v="4"/>
    <x v="4"/>
    <x v="4"/>
    <x v="0"/>
    <s v="Vallavalitsus"/>
    <s v="Virumaa Koostöökogu MTÜ liikmemaks"/>
    <x v="61"/>
    <s v="2019.a +2%"/>
    <x v="6"/>
    <s v="Liikmemaksud"/>
    <n v="452"/>
    <x v="1"/>
    <x v="1"/>
    <x v="1"/>
    <x v="0"/>
  </r>
  <r>
    <x v="0"/>
    <x v="4"/>
    <x v="4"/>
    <x v="4"/>
    <x v="0"/>
    <s v="Vallavalitsus"/>
    <s v="VIROL omaosalus projektis &quot;Piirkondlike algatuste tugiprogramm 2020-2023&quot;"/>
    <x v="62"/>
    <s v="2020-2023 kogumaksumus 8264€"/>
    <x v="6"/>
    <s v="Liikmemaksud"/>
    <n v="452"/>
    <x v="1"/>
    <x v="1"/>
    <x v="1"/>
    <x v="0"/>
  </r>
  <r>
    <x v="0"/>
    <x v="4"/>
    <x v="4"/>
    <x v="4"/>
    <x v="0"/>
    <s v="Vallavalitsus"/>
    <s v="VIROL liikmemaks 2020"/>
    <x v="63"/>
    <m/>
    <x v="6"/>
    <s v="Liikmemaksud"/>
    <n v="452"/>
    <x v="1"/>
    <x v="1"/>
    <x v="1"/>
    <x v="0"/>
  </r>
  <r>
    <x v="1"/>
    <x v="5"/>
    <x v="5"/>
    <x v="5"/>
    <x v="1"/>
    <s v="Vallavalitsus"/>
    <s v="Noorkotkad"/>
    <x v="14"/>
    <m/>
    <x v="22"/>
    <s v="Kommunikatsiooni-, kultuuri- ja vaba aja sisustamise kulud"/>
    <n v="55"/>
    <x v="0"/>
    <x v="0"/>
    <x v="0"/>
    <x v="0"/>
  </r>
  <r>
    <x v="2"/>
    <x v="6"/>
    <x v="6"/>
    <x v="6"/>
    <x v="2"/>
    <s v="Vallavanem"/>
    <s v="Roela Tuletõrjeselts MTÜ toetus"/>
    <x v="64"/>
    <m/>
    <x v="23"/>
    <s v="Sihtotstarbelised eraldised muudele residentidele"/>
    <n v="4500"/>
    <x v="1"/>
    <x v="1"/>
    <x v="11"/>
    <x v="0"/>
  </r>
  <r>
    <x v="2"/>
    <x v="6"/>
    <x v="6"/>
    <x v="6"/>
    <x v="2"/>
    <s v="Noorsoo- ja spordinõunik"/>
    <s v="Elekter"/>
    <x v="65"/>
    <m/>
    <x v="4"/>
    <s v="Kinnistute, hoonete ja ruumide majandamiskulud"/>
    <n v="55"/>
    <x v="0"/>
    <x v="0"/>
    <x v="0"/>
    <x v="0"/>
  </r>
  <r>
    <x v="2"/>
    <x v="6"/>
    <x v="6"/>
    <x v="6"/>
    <x v="2"/>
    <s v="Noorsoo- ja spordinõunik"/>
    <s v="Sõidukite remont, hooldus jms"/>
    <x v="66"/>
    <m/>
    <x v="3"/>
    <s v="Sõidukite ülalpidamise kulud"/>
    <n v="55"/>
    <x v="0"/>
    <x v="0"/>
    <x v="0"/>
    <x v="0"/>
  </r>
  <r>
    <x v="3"/>
    <x v="7"/>
    <x v="7"/>
    <x v="7"/>
    <x v="3"/>
    <s v="Teede- ja ühistranspordinõunik"/>
    <s v="Teede korrashoiu kulud"/>
    <x v="67"/>
    <s v="Toetusfond"/>
    <x v="24"/>
    <s v="Rajatiste majandamiskulud"/>
    <n v="55"/>
    <x v="0"/>
    <x v="0"/>
    <x v="0"/>
    <x v="0"/>
  </r>
  <r>
    <x v="3"/>
    <x v="7"/>
    <x v="7"/>
    <x v="7"/>
    <x v="3"/>
    <s v="Teede- ja ühistranspordinõunik"/>
    <s v="Toetusfond"/>
    <x v="68"/>
    <s v="Teede korrashoiu kulud"/>
    <x v="15"/>
    <s v="Toetusfond"/>
    <n v="35201"/>
    <x v="4"/>
    <x v="4"/>
    <x v="5"/>
    <x v="1"/>
  </r>
  <r>
    <x v="3"/>
    <x v="7"/>
    <x v="7"/>
    <x v="7"/>
    <x v="3"/>
    <s v="Teede- ja ühistranspordinõunik"/>
    <s v="Ettevõtlust/turismi toetava taristu arendamine, sh kiire internetiühenduse leviku toetamine valla territooriumil"/>
    <x v="44"/>
    <m/>
    <x v="12"/>
    <s v="Rajatiste ja hoonete soetamine ja renoveerimine"/>
    <n v="15"/>
    <x v="3"/>
    <x v="3"/>
    <x v="3"/>
    <x v="2"/>
  </r>
  <r>
    <x v="3"/>
    <x v="7"/>
    <x v="7"/>
    <x v="7"/>
    <x v="3"/>
    <s v="Teede- ja ühistranspordinõunik"/>
    <s v="Uute musta katte lõikude rajamine"/>
    <x v="69"/>
    <s v="Kruusakattaga teedele uute tolmuvabade lõikude rajamine"/>
    <x v="24"/>
    <s v="Rajatiste majandamiskulud"/>
    <n v="55"/>
    <x v="0"/>
    <x v="0"/>
    <x v="0"/>
    <x v="0"/>
  </r>
  <r>
    <x v="3"/>
    <x v="8"/>
    <x v="8"/>
    <x v="8"/>
    <x v="3"/>
    <s v="IT spetsialist"/>
    <s v=" X-tee turvaserveri v6  majutus"/>
    <x v="70"/>
    <s v="AS Andmevara"/>
    <x v="5"/>
    <s v="Info- ja kommunikatsioonitehnoliigised kulud"/>
    <n v="55"/>
    <x v="0"/>
    <x v="0"/>
    <x v="0"/>
    <x v="0"/>
  </r>
  <r>
    <x v="3"/>
    <x v="8"/>
    <x v="8"/>
    <x v="8"/>
    <x v="3"/>
    <s v="IT spetsialist"/>
    <s v="Kohaliku omavalitsuse teenusportaali kasutamine"/>
    <x v="71"/>
    <s v="AS Andmevara"/>
    <x v="5"/>
    <s v="Info- ja kommunikatsioonitehnoliigised kulud"/>
    <n v="55"/>
    <x v="0"/>
    <x v="0"/>
    <x v="0"/>
    <x v="0"/>
  </r>
  <r>
    <x v="3"/>
    <x v="8"/>
    <x v="8"/>
    <x v="8"/>
    <x v="3"/>
    <s v="IT spetsialist"/>
    <s v="Kodulehe majutus ja e-post"/>
    <x v="30"/>
    <s v="Telia (e-post)"/>
    <x v="5"/>
    <s v="Info- ja kommunikatsioonitehnoliigised kulud"/>
    <n v="55"/>
    <x v="0"/>
    <x v="0"/>
    <x v="0"/>
    <x v="0"/>
  </r>
  <r>
    <x v="3"/>
    <x v="8"/>
    <x v="8"/>
    <x v="8"/>
    <x v="3"/>
    <s v="IT spetsialist"/>
    <s v="korrashoiuvahendid"/>
    <x v="0"/>
    <m/>
    <x v="4"/>
    <s v="Kinnistute, hoonete ja ruumide majandamiskulud"/>
    <n v="55"/>
    <x v="0"/>
    <x v="0"/>
    <x v="0"/>
    <x v="0"/>
  </r>
  <r>
    <x v="3"/>
    <x v="8"/>
    <x v="8"/>
    <x v="8"/>
    <x v="3"/>
    <s v="IT spetsialist"/>
    <s v="Sideteenused"/>
    <x v="72"/>
    <m/>
    <x v="0"/>
    <s v="Administreerimiskulud"/>
    <n v="55"/>
    <x v="0"/>
    <x v="0"/>
    <x v="0"/>
    <x v="0"/>
  </r>
  <r>
    <x v="3"/>
    <x v="8"/>
    <x v="8"/>
    <x v="8"/>
    <x v="3"/>
    <s v="IT spetsialist"/>
    <s v="Koolitused"/>
    <x v="73"/>
    <m/>
    <x v="2"/>
    <s v="Koolituskulud"/>
    <n v="55"/>
    <x v="0"/>
    <x v="0"/>
    <x v="0"/>
    <x v="0"/>
  </r>
  <r>
    <x v="3"/>
    <x v="8"/>
    <x v="8"/>
    <x v="8"/>
    <x v="3"/>
    <s v="IT spetsialist"/>
    <s v="Isikliku sõiduauto komp."/>
    <x v="74"/>
    <m/>
    <x v="3"/>
    <s v="Sõidukite ülalpidamise kulud"/>
    <n v="55"/>
    <x v="0"/>
    <x v="0"/>
    <x v="0"/>
    <x v="0"/>
  </r>
  <r>
    <x v="3"/>
    <x v="8"/>
    <x v="8"/>
    <x v="8"/>
    <x v="3"/>
    <s v="IT spetsialist"/>
    <s v="Valvekaamerate vahetus"/>
    <x v="22"/>
    <m/>
    <x v="8"/>
    <s v="Inventari kulud, v.a infotehnoloogia ja kaitseotstarbelised kulud"/>
    <n v="55"/>
    <x v="0"/>
    <x v="0"/>
    <x v="0"/>
    <x v="0"/>
  </r>
  <r>
    <x v="3"/>
    <x v="8"/>
    <x v="8"/>
    <x v="8"/>
    <x v="3"/>
    <s v="IT spetsialist"/>
    <s v="7 arvutit"/>
    <x v="75"/>
    <m/>
    <x v="5"/>
    <s v="Info- ja kommunikatsioonitehnoliigised kulud"/>
    <n v="55"/>
    <x v="0"/>
    <x v="0"/>
    <x v="0"/>
    <x v="0"/>
  </r>
  <r>
    <x v="3"/>
    <x v="8"/>
    <x v="8"/>
    <x v="8"/>
    <x v="3"/>
    <s v="IT spetsialist"/>
    <s v="7 monitori"/>
    <x v="76"/>
    <m/>
    <x v="5"/>
    <s v="Info- ja kommunikatsioonitehnoliigised kulud"/>
    <n v="55"/>
    <x v="0"/>
    <x v="0"/>
    <x v="0"/>
    <x v="0"/>
  </r>
  <r>
    <x v="3"/>
    <x v="8"/>
    <x v="8"/>
    <x v="8"/>
    <x v="3"/>
    <s v="IT spetsialist"/>
    <s v="Ruuteri ja Syslogi hooldustasu"/>
    <x v="77"/>
    <m/>
    <x v="5"/>
    <s v="Info- ja kommunikatsioonitehnoliigised kulud"/>
    <n v="55"/>
    <x v="0"/>
    <x v="0"/>
    <x v="0"/>
    <x v="0"/>
  </r>
  <r>
    <x v="3"/>
    <x v="8"/>
    <x v="8"/>
    <x v="8"/>
    <x v="3"/>
    <s v="IT spetsialist"/>
    <s v="Esri EA aastatasu"/>
    <x v="22"/>
    <m/>
    <x v="5"/>
    <s v="Info- ja kommunikatsioonitehnoliigised kulud"/>
    <n v="55"/>
    <x v="0"/>
    <x v="0"/>
    <x v="0"/>
    <x v="0"/>
  </r>
  <r>
    <x v="3"/>
    <x v="8"/>
    <x v="8"/>
    <x v="8"/>
    <x v="3"/>
    <s v="IT spetsialist"/>
    <s v="Virtuaalserver"/>
    <x v="78"/>
    <m/>
    <x v="5"/>
    <s v="Info- ja kommunikatsioonitehnoliigised kulud"/>
    <n v="55"/>
    <x v="0"/>
    <x v="0"/>
    <x v="0"/>
    <x v="0"/>
  </r>
  <r>
    <x v="3"/>
    <x v="8"/>
    <x v="8"/>
    <x v="8"/>
    <x v="3"/>
    <s v="IT spetsialist"/>
    <s v="Viirusetõrje"/>
    <x v="79"/>
    <m/>
    <x v="5"/>
    <s v="Info- ja kommunikatsioonitehnoliigised kulud"/>
    <n v="55"/>
    <x v="0"/>
    <x v="0"/>
    <x v="0"/>
    <x v="0"/>
  </r>
  <r>
    <x v="3"/>
    <x v="8"/>
    <x v="8"/>
    <x v="8"/>
    <x v="3"/>
    <s v="IT spetsialist"/>
    <s v="Muud mitmesugused ennustamatud kulud: 752,6 € kuus"/>
    <x v="80"/>
    <m/>
    <x v="5"/>
    <s v="Info- ja kommunikatsioonitehnoliigised kulud"/>
    <n v="55"/>
    <x v="0"/>
    <x v="0"/>
    <x v="0"/>
    <x v="0"/>
  </r>
  <r>
    <x v="3"/>
    <x v="9"/>
    <x v="9"/>
    <x v="9"/>
    <x v="3"/>
    <s v="Maanõunik"/>
    <s v="Maade mõõdistamised"/>
    <x v="76"/>
    <m/>
    <x v="4"/>
    <s v="Kinnistute, hoonete ja ruumide majandamiskulud"/>
    <n v="55"/>
    <x v="0"/>
    <x v="0"/>
    <x v="0"/>
    <x v="0"/>
  </r>
  <r>
    <x v="3"/>
    <x v="9"/>
    <x v="9"/>
    <x v="9"/>
    <x v="3"/>
    <s v="Arendusnõunik"/>
    <s v="Ettevõtlustoetused"/>
    <x v="35"/>
    <m/>
    <x v="25"/>
    <s v="Sihtotstarbelised eraldised põhivara soetamiseks muudele residentidele"/>
    <n v="4502"/>
    <x v="1"/>
    <x v="9"/>
    <x v="12"/>
    <x v="2"/>
  </r>
  <r>
    <x v="3"/>
    <x v="9"/>
    <x v="9"/>
    <x v="9"/>
    <x v="3"/>
    <s v="Vallavalitsus"/>
    <s v="Sideteenused"/>
    <x v="81"/>
    <m/>
    <x v="0"/>
    <s v="Administreerimiskulud"/>
    <n v="55"/>
    <x v="0"/>
    <x v="0"/>
    <x v="0"/>
    <x v="0"/>
  </r>
  <r>
    <x v="3"/>
    <x v="9"/>
    <x v="9"/>
    <x v="9"/>
    <x v="3"/>
    <s v="Vallavalitsus"/>
    <s v="Isikliku sõiduauto komp."/>
    <x v="82"/>
    <s v="Irina 150€, Aivar 335€, Gustav 150€, Erik 150€; Kätlyn 150€"/>
    <x v="3"/>
    <s v="Sõidukite ülalpidamise kulud"/>
    <n v="55"/>
    <x v="0"/>
    <x v="0"/>
    <x v="0"/>
    <x v="0"/>
  </r>
  <r>
    <x v="3"/>
    <x v="9"/>
    <x v="9"/>
    <x v="9"/>
    <x v="3"/>
    <s v="Vallavalitsus"/>
    <s v="Koolitused"/>
    <x v="83"/>
    <s v="Erik 400€; Gustav 400€; Aivar 400€; Irina 400€"/>
    <x v="2"/>
    <s v="Koolituskulud"/>
    <n v="55"/>
    <x v="0"/>
    <x v="0"/>
    <x v="0"/>
    <x v="0"/>
  </r>
  <r>
    <x v="3"/>
    <x v="9"/>
    <x v="9"/>
    <x v="9"/>
    <x v="3"/>
    <s v="Vallavalitsus"/>
    <s v="Tervise- ja spordiarendamise hüvitis"/>
    <x v="83"/>
    <m/>
    <x v="1"/>
    <s v="Mitmesugused majanduskulud"/>
    <n v="55"/>
    <x v="0"/>
    <x v="0"/>
    <x v="0"/>
    <x v="0"/>
  </r>
  <r>
    <x v="3"/>
    <x v="9"/>
    <x v="9"/>
    <x v="9"/>
    <x v="3"/>
    <s v="Arendusnõunik"/>
    <s v="Hajaasustuseprogramm"/>
    <x v="84"/>
    <m/>
    <x v="25"/>
    <s v="Sihtotstarbelised eraldised põhivara soetamiseks muudele residentidele"/>
    <n v="4502"/>
    <x v="1"/>
    <x v="9"/>
    <x v="12"/>
    <x v="2"/>
  </r>
  <r>
    <x v="3"/>
    <x v="9"/>
    <x v="9"/>
    <x v="9"/>
    <x v="3"/>
    <s v="Arendusnõunik"/>
    <s v="Hajaasustuseprogrammiga "/>
    <x v="85"/>
    <s v="Prognoositav"/>
    <x v="26"/>
    <s v="Põhivara soetuseks saadav sihtfinantseerimine"/>
    <n v="3502"/>
    <x v="6"/>
    <x v="10"/>
    <x v="13"/>
    <x v="2"/>
  </r>
  <r>
    <x v="3"/>
    <x v="9"/>
    <x v="9"/>
    <x v="9"/>
    <x v="3"/>
    <s v="Maanõunik"/>
    <s v="Maadega soetud notaritasud"/>
    <x v="86"/>
    <m/>
    <x v="0"/>
    <s v="Administreerimiskulud"/>
    <n v="55"/>
    <x v="0"/>
    <x v="0"/>
    <x v="0"/>
    <x v="0"/>
  </r>
  <r>
    <x v="3"/>
    <x v="9"/>
    <x v="9"/>
    <x v="9"/>
    <x v="3"/>
    <s v="Keskkonna- ja kommunaalnõunik"/>
    <s v="Kaunis kodu auhinnafond"/>
    <x v="10"/>
    <m/>
    <x v="23"/>
    <s v="Sihtotstarbelised eraldised muudele residentidele"/>
    <n v="4500"/>
    <x v="1"/>
    <x v="1"/>
    <x v="11"/>
    <x v="0"/>
  </r>
  <r>
    <x v="3"/>
    <x v="9"/>
    <x v="9"/>
    <x v="9"/>
    <x v="3"/>
    <s v="Keskkonna- ja kommunaalnõunik"/>
    <s v="Albumid, lilled jms"/>
    <x v="10"/>
    <s v="Kaunis kodu"/>
    <x v="23"/>
    <s v="Sihtotstarbelised eraldised muudele residentidele"/>
    <n v="55"/>
    <x v="1"/>
    <x v="0"/>
    <x v="0"/>
    <x v="0"/>
  </r>
  <r>
    <x v="3"/>
    <x v="9"/>
    <x v="9"/>
    <x v="9"/>
    <x v="3"/>
    <s v="Teede- ja ühistranspordinõunik"/>
    <s v="Geoarhiivi moodul"/>
    <x v="87"/>
    <s v="GEODATA"/>
    <x v="5"/>
    <s v="Info- ja kommunikatsioonitehnoliigised kulud"/>
    <n v="55"/>
    <x v="0"/>
    <x v="0"/>
    <x v="0"/>
    <x v="0"/>
  </r>
  <r>
    <x v="3"/>
    <x v="9"/>
    <x v="9"/>
    <x v="9"/>
    <x v="3"/>
    <s v="Teede- ja ühistranspordinõunik"/>
    <s v="Kohalike teede moodul"/>
    <x v="88"/>
    <s v="GEODATA"/>
    <x v="5"/>
    <s v="Info- ja kommunikatsioonitehnoliigised kulud"/>
    <n v="55"/>
    <x v="0"/>
    <x v="0"/>
    <x v="0"/>
    <x v="0"/>
  </r>
  <r>
    <x v="3"/>
    <x v="9"/>
    <x v="9"/>
    <x v="9"/>
    <x v="3"/>
    <s v="Vallavalitsus"/>
    <s v="Muud ettenägematud kulud  "/>
    <x v="2"/>
    <m/>
    <x v="1"/>
    <s v="Mitmesugused majanduskulud"/>
    <n v="55"/>
    <x v="0"/>
    <x v="0"/>
    <x v="0"/>
    <x v="0"/>
  </r>
  <r>
    <x v="3"/>
    <x v="9"/>
    <x v="9"/>
    <x v="9"/>
    <x v="3"/>
    <s v="Vallavalitsus"/>
    <s v="Riigilõivud "/>
    <x v="89"/>
    <m/>
    <x v="27"/>
    <s v="Maksu-, riigilõivu- ja trahvikulud"/>
    <n v="60"/>
    <x v="5"/>
    <x v="0"/>
    <x v="6"/>
    <x v="0"/>
  </r>
  <r>
    <x v="4"/>
    <x v="10"/>
    <x v="10"/>
    <x v="10"/>
    <x v="4"/>
    <s v="Keskkonna- ja kommunaalnõunik"/>
    <s v="Jäätmekava"/>
    <x v="7"/>
    <m/>
    <x v="4"/>
    <s v="Kinnistute, hoonete ja ruumide majandamiskulud"/>
    <n v="55"/>
    <x v="0"/>
    <x v="0"/>
    <x v="0"/>
    <x v="0"/>
  </r>
  <r>
    <x v="4"/>
    <x v="10"/>
    <x v="10"/>
    <x v="10"/>
    <x v="4"/>
    <s v="Keskkonna- ja kommunaalnõunik"/>
    <s v="Jäätmevaldajate register EVALD "/>
    <x v="87"/>
    <m/>
    <x v="5"/>
    <s v="Info- ja kommunikatsioonitehnoliigised kulud"/>
    <n v="55"/>
    <x v="0"/>
    <x v="0"/>
    <x v="0"/>
    <x v="0"/>
  </r>
  <r>
    <x v="4"/>
    <x v="11"/>
    <x v="11"/>
    <x v="11"/>
    <x v="4"/>
    <s v="Keskkonna- ja kommunaalnõunik"/>
    <s v="a. Jäätmeringid (ohtlikud jäätmed, sh eterniit); _x000a_b. ebaseaduslikult ladestatud jäätmete koristamine KOV maadelt;_x000a_c. konteinerite tühjendus ja rent (või väljaostmine); Valdavalt püsikulu"/>
    <x v="90"/>
    <m/>
    <x v="4"/>
    <s v="Kinnistute, hoonete ja ruumide majandamiskulud"/>
    <n v="55"/>
    <x v="0"/>
    <x v="0"/>
    <x v="0"/>
    <x v="0"/>
  </r>
  <r>
    <x v="4"/>
    <x v="11"/>
    <x v="11"/>
    <x v="11"/>
    <x v="4"/>
    <s v="Keskkonna- ja kommunaalnõunik"/>
    <s v="GEODATA jäätmehalduse moodul"/>
    <x v="87"/>
    <m/>
    <x v="5"/>
    <s v="Info- ja kommunikatsioonitehnoliigised kulud"/>
    <n v="55"/>
    <x v="0"/>
    <x v="0"/>
    <x v="0"/>
    <x v="0"/>
  </r>
  <r>
    <x v="5"/>
    <x v="12"/>
    <x v="12"/>
    <x v="12"/>
    <x v="5"/>
    <s v="Ehitusnõunik"/>
    <s v="Alevike kanalisatsioon"/>
    <x v="91"/>
    <m/>
    <x v="12"/>
    <s v="Rajatiste ja hoonete soetamine ja renoveerimine"/>
    <n v="15"/>
    <x v="3"/>
    <x v="3"/>
    <x v="3"/>
    <x v="2"/>
  </r>
  <r>
    <x v="5"/>
    <x v="12"/>
    <x v="12"/>
    <x v="12"/>
    <x v="5"/>
    <s v="Arendusnõunik"/>
    <s v="ÜVK arendamise kava investeeringute kaasrahastamine"/>
    <x v="92"/>
    <m/>
    <x v="12"/>
    <s v="Rajatiste ja hoonete soetamine ja renoveerimine"/>
    <n v="15"/>
    <x v="3"/>
    <x v="3"/>
    <x v="3"/>
    <x v="2"/>
  </r>
  <r>
    <x v="5"/>
    <x v="13"/>
    <x v="13"/>
    <x v="13"/>
    <x v="5"/>
    <s v="Ehitusnõunik"/>
    <s v="Tänavalguste elektrikulud"/>
    <x v="93"/>
    <m/>
    <x v="24"/>
    <s v="Rajatiste majandamiskulud"/>
    <n v="55"/>
    <x v="0"/>
    <x v="0"/>
    <x v="0"/>
    <x v="0"/>
  </r>
  <r>
    <x v="5"/>
    <x v="13"/>
    <x v="13"/>
    <x v="13"/>
    <x v="5"/>
    <s v="Ehitusnõunik"/>
    <s v="Tänavalgustuse rekonstrueerimine"/>
    <x v="94"/>
    <m/>
    <x v="12"/>
    <s v="Rajatiste ja hoonete soetamine ja renoveerimine"/>
    <n v="15"/>
    <x v="3"/>
    <x v="3"/>
    <x v="3"/>
    <x v="2"/>
  </r>
  <r>
    <x v="5"/>
    <x v="13"/>
    <x v="13"/>
    <x v="13"/>
    <x v="5"/>
    <s v="Ehitusnõunik"/>
    <s v="Tänavalgustuse rekonstrueerimine"/>
    <x v="95"/>
    <s v="Ühtekuuluvusfond"/>
    <x v="12"/>
    <s v="Rajatiste ja hoonete soetamine ja renoveerimine"/>
    <n v="15"/>
    <x v="3"/>
    <x v="3"/>
    <x v="3"/>
    <x v="2"/>
  </r>
  <r>
    <x v="5"/>
    <x v="13"/>
    <x v="13"/>
    <x v="13"/>
    <x v="5"/>
    <s v="Ehitusnõunik"/>
    <s v="Ühtekuuluvusfond"/>
    <x v="96"/>
    <m/>
    <x v="26"/>
    <s v="Põhivara soetuseks saadav sihtfinantseerimine"/>
    <n v="3502"/>
    <x v="6"/>
    <x v="10"/>
    <x v="13"/>
    <x v="2"/>
  </r>
  <r>
    <x v="5"/>
    <x v="14"/>
    <x v="14"/>
    <x v="14"/>
    <x v="5"/>
    <s v="Laekvere piirkond"/>
    <s v="Laekvere piirkonna varade kindlustus"/>
    <x v="97"/>
    <s v="2019 eelarves ei olnud planeeritud, kuid kulu tehti, 2018 kohta info puudub"/>
    <x v="4"/>
    <s v="Kinnistute, hoonete ja ruumide majandamiskulud"/>
    <n v="55"/>
    <x v="0"/>
    <x v="0"/>
    <x v="0"/>
    <x v="0"/>
  </r>
  <r>
    <x v="5"/>
    <x v="14"/>
    <x v="14"/>
    <x v="14"/>
    <x v="5"/>
    <s v="Laekvere piirkond"/>
    <s v="Töökoja kasutus ja ruumide rent"/>
    <x v="98"/>
    <s v="Rendime Laekvere PM OÜ-l Kioti traktorile ja seadmetele garaazi, võtame Kioti traktorile diiselkütet, muruniidukite ja Fiat Doblo bensiini"/>
    <x v="4"/>
    <s v="Kinnistute, hoonete ja ruumide majandamiskulud"/>
    <n v="55"/>
    <x v="0"/>
    <x v="0"/>
    <x v="0"/>
    <x v="0"/>
  </r>
  <r>
    <x v="5"/>
    <x v="14"/>
    <x v="14"/>
    <x v="14"/>
    <x v="5"/>
    <s v="Laekvere piirkond"/>
    <s v="Remondimaterjalid"/>
    <x v="44"/>
    <s v="Valla korterid, tööliste olmeruumid, avalikud rajatised, bussiootepaviljonid jne"/>
    <x v="4"/>
    <s v="Kinnistute, hoonete ja ruumide majandamiskulud"/>
    <n v="55"/>
    <x v="0"/>
    <x v="0"/>
    <x v="0"/>
    <x v="0"/>
  </r>
  <r>
    <x v="5"/>
    <x v="14"/>
    <x v="14"/>
    <x v="14"/>
    <x v="5"/>
    <s v="Laekvere piirkond"/>
    <s v="Vesi-ja kanalisastioon"/>
    <x v="99"/>
    <s v="Salutaguse tee 2 ja Paasvere külamaja -Emajõe Veevärk"/>
    <x v="4"/>
    <s v="Kinnistute, hoonete ja ruumide majandamiskulud"/>
    <n v="55"/>
    <x v="0"/>
    <x v="0"/>
    <x v="0"/>
    <x v="0"/>
  </r>
  <r>
    <x v="5"/>
    <x v="14"/>
    <x v="14"/>
    <x v="14"/>
    <x v="5"/>
    <s v="Laekvere piirkond"/>
    <s v="Veeautomaat Saku Läte"/>
    <x v="81"/>
    <s v="Salutaguse tee 2"/>
    <x v="4"/>
    <s v="Kinnistute, hoonete ja ruumide majandamiskulud"/>
    <n v="55"/>
    <x v="0"/>
    <x v="0"/>
    <x v="0"/>
    <x v="0"/>
  </r>
  <r>
    <x v="5"/>
    <x v="14"/>
    <x v="14"/>
    <x v="14"/>
    <x v="5"/>
    <s v="Laekvere piirkond"/>
    <s v="Kohvimasina hooldus"/>
    <x v="11"/>
    <s v="Salutaguse tee 2"/>
    <x v="4"/>
    <s v="Kinnistute, hoonete ja ruumide majandamiskulud"/>
    <n v="55"/>
    <x v="0"/>
    <x v="0"/>
    <x v="0"/>
    <x v="0"/>
  </r>
  <r>
    <x v="5"/>
    <x v="14"/>
    <x v="14"/>
    <x v="14"/>
    <x v="5"/>
    <s v="Laekvere piirkond"/>
    <s v="Porivaipade rent (Linström)"/>
    <x v="38"/>
    <s v="Salutaguse tee 2 "/>
    <x v="4"/>
    <s v="Kinnistute, hoonete ja ruumide majandamiskulud"/>
    <n v="55"/>
    <x v="0"/>
    <x v="0"/>
    <x v="0"/>
    <x v="0"/>
  </r>
  <r>
    <x v="5"/>
    <x v="14"/>
    <x v="14"/>
    <x v="14"/>
    <x v="5"/>
    <s v="Laekvere piirkond"/>
    <s v="Keskküte"/>
    <x v="100"/>
    <s v="Salutaguse tee 2 terve hoone "/>
    <x v="4"/>
    <s v="Kinnistute, hoonete ja ruumide majandamiskulud"/>
    <n v="55"/>
    <x v="0"/>
    <x v="0"/>
    <x v="0"/>
    <x v="0"/>
  </r>
  <r>
    <x v="5"/>
    <x v="14"/>
    <x v="14"/>
    <x v="14"/>
    <x v="5"/>
    <s v="Laekvere piirkond"/>
    <s v="Elekter "/>
    <x v="101"/>
    <s v="Salutaguse tee 2 terve hoone ja Paasvere külamaja"/>
    <x v="4"/>
    <s v="Kinnistute, hoonete ja ruumide majandamiskulud"/>
    <n v="55"/>
    <x v="0"/>
    <x v="0"/>
    <x v="0"/>
    <x v="0"/>
  </r>
  <r>
    <x v="5"/>
    <x v="14"/>
    <x v="14"/>
    <x v="14"/>
    <x v="5"/>
    <s v="Laekvere piirkond"/>
    <s v="Elektri käidukorraldus"/>
    <x v="102"/>
    <s v="Enno Mandel Elektritööd teostabLaekvere piirkonna eletripaigaldiste käidukorraldust"/>
    <x v="4"/>
    <s v="Kinnistute, hoonete ja ruumide majandamiskulud"/>
    <n v="55"/>
    <x v="0"/>
    <x v="0"/>
    <x v="0"/>
    <x v="0"/>
  </r>
  <r>
    <x v="5"/>
    <x v="14"/>
    <x v="14"/>
    <x v="14"/>
    <x v="5"/>
    <s v="Laekvere piirkond"/>
    <s v="Signalisatsiooni hooldus"/>
    <x v="103"/>
    <s v="Salutaguse tee 2 hoone Ennak SEL"/>
    <x v="4"/>
    <s v="Kinnistute, hoonete ja ruumide majandamiskulud"/>
    <n v="55"/>
    <x v="0"/>
    <x v="0"/>
    <x v="0"/>
    <x v="0"/>
  </r>
  <r>
    <x v="5"/>
    <x v="14"/>
    <x v="14"/>
    <x v="14"/>
    <x v="5"/>
    <s v="Laekvere piirkond"/>
    <s v="Korrashoiu vahendid"/>
    <x v="40"/>
    <s v="Koristustarbed,luuad, harjad wc paber ,kätepaber jne-olen arvestanud ka Laekvere sauna puhastusvahendite  kulu"/>
    <x v="4"/>
    <s v="Kinnistute, hoonete ja ruumide majandamiskulud"/>
    <n v="55"/>
    <x v="0"/>
    <x v="0"/>
    <x v="0"/>
    <x v="0"/>
  </r>
  <r>
    <x v="5"/>
    <x v="14"/>
    <x v="14"/>
    <x v="14"/>
    <x v="5"/>
    <s v="Laekvere piirkond"/>
    <s v="Ohtlike puude raie"/>
    <x v="104"/>
    <s v="Kokku vaja maha võtta ca 14 ohtlikku puud, arboristi teenus  vähemalt 150€ puu, lõhkuda Laekveres hakkide pesasid"/>
    <x v="4"/>
    <s v="Kinnistute, hoonete ja ruumide majandamiskulud"/>
    <n v="55"/>
    <x v="0"/>
    <x v="0"/>
    <x v="0"/>
    <x v="0"/>
  </r>
  <r>
    <x v="5"/>
    <x v="14"/>
    <x v="14"/>
    <x v="14"/>
    <x v="5"/>
    <s v="Laekvere piirkond"/>
    <s v="Prügivedu "/>
    <x v="20"/>
    <s v="Ragn Sells"/>
    <x v="4"/>
    <s v="Kinnistute, hoonete ja ruumide majandamiskulud"/>
    <n v="55"/>
    <x v="0"/>
    <x v="0"/>
    <x v="0"/>
    <x v="0"/>
  </r>
  <r>
    <x v="5"/>
    <x v="14"/>
    <x v="14"/>
    <x v="14"/>
    <x v="5"/>
    <s v="Laekvere piirkond"/>
    <s v="Paberikonteinerite tühjendus"/>
    <x v="105"/>
    <s v="Väätsa Prügila"/>
    <x v="4"/>
    <s v="Kinnistute, hoonete ja ruumide majandamiskulud"/>
    <n v="55"/>
    <x v="0"/>
    <x v="0"/>
    <x v="0"/>
    <x v="0"/>
  </r>
  <r>
    <x v="5"/>
    <x v="14"/>
    <x v="14"/>
    <x v="14"/>
    <x v="5"/>
    <s v="Laekvere piirkond"/>
    <s v="Korteriühistute tasud"/>
    <x v="29"/>
    <s v="Remondifond, tühjade valla korterite küte, kommunaalid(peab vaatama 2019 tegelikke kulusid) Kelle eelarvest lähevad sotsiaalkorterite Vassivere põik 4-5;4-18;1-1 ja 1-13 kulud?"/>
    <x v="4"/>
    <s v="Kinnistute, hoonete ja ruumide majandamiskulud"/>
    <n v="55"/>
    <x v="0"/>
    <x v="0"/>
    <x v="0"/>
    <x v="0"/>
  </r>
  <r>
    <x v="5"/>
    <x v="14"/>
    <x v="14"/>
    <x v="14"/>
    <x v="5"/>
    <s v="Laekvere piirkond"/>
    <s v="Amplid, lilled,istikud "/>
    <x v="106"/>
    <s v="Laekvere parki on vaja istutada uusi puid ca 10 tk 80€ suur potis istik"/>
    <x v="4"/>
    <s v="Kinnistute, hoonete ja ruumide majandamiskulud"/>
    <n v="55"/>
    <x v="0"/>
    <x v="0"/>
    <x v="0"/>
    <x v="0"/>
  </r>
  <r>
    <x v="5"/>
    <x v="14"/>
    <x v="14"/>
    <x v="14"/>
    <x v="5"/>
    <s v="Laekvere piirkond"/>
    <s v="ELISA TV"/>
    <x v="107"/>
    <s v="Vassivere põik 1-1 ja 1-13  sotsiaalkorterite  elanike TV, mille nad vallale kinni maksavad"/>
    <x v="4"/>
    <s v="Kinnistute, hoonete ja ruumide majandamiskulud"/>
    <n v="55"/>
    <x v="0"/>
    <x v="0"/>
    <x v="0"/>
    <x v="0"/>
  </r>
  <r>
    <x v="5"/>
    <x v="14"/>
    <x v="14"/>
    <x v="14"/>
    <x v="5"/>
    <s v="Laekvere piirkond"/>
    <s v="Kontoritarbed"/>
    <x v="108"/>
    <s v="Tahmad, paber, pliiatsid jne."/>
    <x v="0"/>
    <s v="Administreerimiskulud"/>
    <n v="55"/>
    <x v="0"/>
    <x v="0"/>
    <x v="0"/>
    <x v="0"/>
  </r>
  <r>
    <x v="5"/>
    <x v="14"/>
    <x v="14"/>
    <x v="14"/>
    <x v="5"/>
    <s v="Laekvere piirkond"/>
    <s v="Telefon"/>
    <x v="109"/>
    <m/>
    <x v="0"/>
    <s v="Administreerimiskulud"/>
    <n v="55"/>
    <x v="0"/>
    <x v="0"/>
    <x v="0"/>
    <x v="0"/>
  </r>
  <r>
    <x v="5"/>
    <x v="14"/>
    <x v="14"/>
    <x v="14"/>
    <x v="5"/>
    <s v="Laekvere piirkond"/>
    <s v="Koolitused"/>
    <x v="110"/>
    <m/>
    <x v="2"/>
    <s v="Koolituskulud"/>
    <n v="55"/>
    <x v="0"/>
    <x v="0"/>
    <x v="0"/>
    <x v="0"/>
  </r>
  <r>
    <x v="5"/>
    <x v="14"/>
    <x v="14"/>
    <x v="14"/>
    <x v="5"/>
    <s v="Laekvere piirkond"/>
    <s v="Peugeo Partner"/>
    <x v="111"/>
    <s v="kütus"/>
    <x v="3"/>
    <s v="Sõidukite ülalpidamise kulud"/>
    <n v="55"/>
    <x v="0"/>
    <x v="0"/>
    <x v="0"/>
    <x v="0"/>
  </r>
  <r>
    <x v="5"/>
    <x v="14"/>
    <x v="14"/>
    <x v="14"/>
    <x v="5"/>
    <s v="Laekvere piirkond"/>
    <s v="Peugeo Partner"/>
    <x v="66"/>
    <s v="hooldus, rehvid"/>
    <x v="3"/>
    <s v="Sõidukite ülalpidamise kulud"/>
    <n v="55"/>
    <x v="0"/>
    <x v="0"/>
    <x v="0"/>
    <x v="0"/>
  </r>
  <r>
    <x v="5"/>
    <x v="14"/>
    <x v="14"/>
    <x v="14"/>
    <x v="5"/>
    <s v="Laekvere piirkond"/>
    <s v="Peugeo Partner"/>
    <x v="108"/>
    <s v="kindlustus(kasko+liiklus)"/>
    <x v="3"/>
    <s v="Sõidukite ülalpidamise kulud"/>
    <n v="55"/>
    <x v="0"/>
    <x v="0"/>
    <x v="0"/>
    <x v="0"/>
  </r>
  <r>
    <x v="5"/>
    <x v="14"/>
    <x v="14"/>
    <x v="14"/>
    <x v="5"/>
    <s v="Laekvere piirkond"/>
    <s v="Peugeo Partner"/>
    <x v="112"/>
    <s v="liising"/>
    <x v="3"/>
    <s v="Sõidukite ülalpidamise kulud"/>
    <n v="55"/>
    <x v="0"/>
    <x v="0"/>
    <x v="0"/>
    <x v="0"/>
  </r>
  <r>
    <x v="5"/>
    <x v="14"/>
    <x v="14"/>
    <x v="14"/>
    <x v="5"/>
    <s v="Laekvere piirkond"/>
    <s v="VW Transporter"/>
    <x v="2"/>
    <s v="hooldus, rehvid , tehnoülevaatus"/>
    <x v="3"/>
    <s v="Sõidukite ülalpidamise kulud"/>
    <n v="55"/>
    <x v="0"/>
    <x v="0"/>
    <x v="0"/>
    <x v="0"/>
  </r>
  <r>
    <x v="5"/>
    <x v="14"/>
    <x v="14"/>
    <x v="14"/>
    <x v="5"/>
    <s v="Laekvere piirkond"/>
    <s v="VW Transporter"/>
    <x v="104"/>
    <s v="kütus"/>
    <x v="3"/>
    <s v="Sõidukite ülalpidamise kulud"/>
    <n v="55"/>
    <x v="0"/>
    <x v="0"/>
    <x v="0"/>
    <x v="0"/>
  </r>
  <r>
    <x v="5"/>
    <x v="14"/>
    <x v="14"/>
    <x v="14"/>
    <x v="5"/>
    <s v="Laekvere piirkond"/>
    <s v="VW Transporter"/>
    <x v="108"/>
    <s v="kindlustus(kasko+liiklus)"/>
    <x v="3"/>
    <s v="Sõidukite ülalpidamise kulud"/>
    <n v="55"/>
    <x v="0"/>
    <x v="0"/>
    <x v="0"/>
    <x v="0"/>
  </r>
  <r>
    <x v="5"/>
    <x v="14"/>
    <x v="14"/>
    <x v="14"/>
    <x v="5"/>
    <s v="Laekvere piirkond"/>
    <s v="Fiat Doblo"/>
    <x v="0"/>
    <s v="liikluskindlustus"/>
    <x v="3"/>
    <s v="Sõidukite ülalpidamise kulud"/>
    <n v="55"/>
    <x v="0"/>
    <x v="0"/>
    <x v="0"/>
    <x v="0"/>
  </r>
  <r>
    <x v="5"/>
    <x v="14"/>
    <x v="14"/>
    <x v="14"/>
    <x v="5"/>
    <s v="Laekvere piirkond"/>
    <s v="Fiat Doblo"/>
    <x v="2"/>
    <s v="hooldus, rehvid ,tehnoülevaatud"/>
    <x v="3"/>
    <s v="Sõidukite ülalpidamise kulud"/>
    <n v="55"/>
    <x v="0"/>
    <x v="0"/>
    <x v="0"/>
    <x v="0"/>
  </r>
  <r>
    <x v="5"/>
    <x v="14"/>
    <x v="14"/>
    <x v="14"/>
    <x v="5"/>
    <s v="Laekvere piirkond"/>
    <s v="Nissan NV300 väikebuss"/>
    <x v="20"/>
    <s v="kindlustus(kasko+liiklus)"/>
    <x v="3"/>
    <s v="Sõidukite ülalpidamise kulud"/>
    <n v="55"/>
    <x v="0"/>
    <x v="0"/>
    <x v="0"/>
    <x v="0"/>
  </r>
  <r>
    <x v="5"/>
    <x v="14"/>
    <x v="14"/>
    <x v="14"/>
    <x v="5"/>
    <s v="Laekvere piirkond"/>
    <s v="Nisssan NV300 väikebuss"/>
    <x v="10"/>
    <s v="kütus ( viimasel ajal on läinud Muuga-Laekvere kooli eelarvest?"/>
    <x v="3"/>
    <s v="Sõidukite ülalpidamise kulud"/>
    <n v="55"/>
    <x v="0"/>
    <x v="0"/>
    <x v="0"/>
    <x v="0"/>
  </r>
  <r>
    <x v="5"/>
    <x v="14"/>
    <x v="14"/>
    <x v="14"/>
    <x v="5"/>
    <s v="Laekvere piirkond"/>
    <s v="Nissan NV300  väikebuss"/>
    <x v="2"/>
    <s v="hooldus, pesu, klaasipesuvedelik jne"/>
    <x v="3"/>
    <s v="Sõidukite ülalpidamise kulud"/>
    <n v="55"/>
    <x v="0"/>
    <x v="0"/>
    <x v="0"/>
    <x v="0"/>
  </r>
  <r>
    <x v="5"/>
    <x v="14"/>
    <x v="14"/>
    <x v="14"/>
    <x v="5"/>
    <s v="Laekvere piirkond"/>
    <s v="Seadmete ja masinate tarvikud"/>
    <x v="99"/>
    <s v="Murutraktori rihmad,saagide osad ,ketid,niidukite terad ,kiilrihmad,õlid, filtrid."/>
    <x v="8"/>
    <s v="Inventari kulud, v.a infotehnoloogia ja kaitseotstarbelised kulud"/>
    <n v="55"/>
    <x v="0"/>
    <x v="0"/>
    <x v="0"/>
    <x v="0"/>
  </r>
  <r>
    <x v="5"/>
    <x v="14"/>
    <x v="14"/>
    <x v="14"/>
    <x v="5"/>
    <s v="Laekvere piirkond"/>
    <s v="Hooldus"/>
    <x v="113"/>
    <s v="Kioti traktor, murutraktor, haagised, niidukid, nende kindlustus, ülevaatused"/>
    <x v="8"/>
    <s v="Inventari kulud, v.a infotehnoloogia ja kaitseotstarbelised kulud"/>
    <n v="55"/>
    <x v="0"/>
    <x v="0"/>
    <x v="0"/>
    <x v="0"/>
  </r>
  <r>
    <x v="5"/>
    <x v="14"/>
    <x v="14"/>
    <x v="14"/>
    <x v="5"/>
    <s v="Laekvere piirkond"/>
    <s v="Traktorile KIOTi niiduki OPTIMAL BP-185  soetamine"/>
    <x v="114"/>
    <s v="Praegune niiduk amortiseerunud, töötab viimase piiri peal"/>
    <x v="8"/>
    <s v="Inventari kulud, v.a infotehnoloogia ja kaitseotstarbelised kulud"/>
    <n v="55"/>
    <x v="0"/>
    <x v="0"/>
    <x v="0"/>
    <x v="0"/>
  </r>
  <r>
    <x v="5"/>
    <x v="14"/>
    <x v="14"/>
    <x v="14"/>
    <x v="5"/>
    <s v="Laekvere piirkond"/>
    <s v="Talguliste toitlustamine"/>
    <x v="0"/>
    <m/>
    <x v="22"/>
    <s v="Kommunikatsiooni-, kultuuri- ja vaba aja sisustamise kulud"/>
    <n v="55"/>
    <x v="0"/>
    <x v="0"/>
    <x v="0"/>
    <x v="0"/>
  </r>
  <r>
    <x v="5"/>
    <x v="14"/>
    <x v="14"/>
    <x v="14"/>
    <x v="5"/>
    <s v="Laekvere piirkond"/>
    <s v="Tervisekulud"/>
    <x v="7"/>
    <s v="5 töötajat x 400 eurot aastas"/>
    <x v="1"/>
    <s v="Mitmesugused majanduskulud"/>
    <n v="55"/>
    <x v="0"/>
    <x v="0"/>
    <x v="0"/>
    <x v="0"/>
  </r>
  <r>
    <x v="5"/>
    <x v="14"/>
    <x v="14"/>
    <x v="14"/>
    <x v="5"/>
    <s v="Laekvere piirkond"/>
    <s v="Töötervishoiu kulud"/>
    <x v="2"/>
    <s v="5 töötajat"/>
    <x v="9"/>
    <s v="Meditsiinikulud ja hügieenitarbed"/>
    <n v="55"/>
    <x v="0"/>
    <x v="0"/>
    <x v="0"/>
    <x v="0"/>
  </r>
  <r>
    <x v="5"/>
    <x v="14"/>
    <x v="14"/>
    <x v="14"/>
    <x v="5"/>
    <s v="Laekvere piirkond"/>
    <s v="Tööriided ja töökindad"/>
    <x v="2"/>
    <s v="5 töötajat"/>
    <x v="8"/>
    <s v="Inventari kulud, v.a infotehnoloogia ja kaitseotstarbelised kulud"/>
    <n v="55"/>
    <x v="0"/>
    <x v="0"/>
    <x v="0"/>
    <x v="0"/>
  </r>
  <r>
    <x v="5"/>
    <x v="14"/>
    <x v="14"/>
    <x v="14"/>
    <x v="5"/>
    <s v="Laekvere piirkond"/>
    <s v="Prillid"/>
    <x v="41"/>
    <s v="2 töötajat"/>
    <x v="9"/>
    <s v="Meditsiinikulud ja hügieenitarbed"/>
    <n v="55"/>
    <x v="0"/>
    <x v="0"/>
    <x v="0"/>
    <x v="0"/>
  </r>
  <r>
    <x v="5"/>
    <x v="14"/>
    <x v="14"/>
    <x v="14"/>
    <x v="5"/>
    <s v="Laekvere piirkond"/>
    <s v="Teeme ära talgud "/>
    <x v="108"/>
    <m/>
    <x v="22"/>
    <s v="Kommunikatsiooni-, kultuuri- ja vaba aja sisustamise kulud"/>
    <n v="55"/>
    <x v="0"/>
    <x v="0"/>
    <x v="0"/>
    <x v="0"/>
  </r>
  <r>
    <x v="5"/>
    <x v="14"/>
    <x v="14"/>
    <x v="14"/>
    <x v="5"/>
    <s v="Laekvere piirkond"/>
    <s v="Transport"/>
    <x v="115"/>
    <s v="M.K.Reis-x teenindatav reedene Venevere-Paasvere-Vassivere poe liin,surnuaaipühal ja jõululaupäeval buss Simuna surnuaiale(FIE Teet Põldoja)"/>
    <x v="1"/>
    <s v="Mitmesugused majanduskulud"/>
    <n v="55"/>
    <x v="0"/>
    <x v="0"/>
    <x v="0"/>
    <x v="0"/>
  </r>
  <r>
    <x v="5"/>
    <x v="14"/>
    <x v="14"/>
    <x v="14"/>
    <x v="5"/>
    <s v="Laekvere piirkond"/>
    <s v="Internetiühendus"/>
    <x v="116"/>
    <s v="Kõigi Laekvere alevikus valla kuuluvate  hoonete internetiühendus jookseb läbi Salutaguse tee 2 teeninduskeskuse, kust toimub hargnemine"/>
    <x v="5"/>
    <s v="Info- ja kommunikatsioonitehnoliigised kulud"/>
    <n v="55"/>
    <x v="0"/>
    <x v="0"/>
    <x v="0"/>
    <x v="0"/>
  </r>
  <r>
    <x v="5"/>
    <x v="14"/>
    <x v="14"/>
    <x v="14"/>
    <x v="5"/>
    <s v="Laekvere piirkond"/>
    <s v="Riistvara soetamine"/>
    <x v="32"/>
    <s v="Ruuter jne."/>
    <x v="5"/>
    <s v="Info- ja kommunikatsioonitehnoliigised kulud"/>
    <n v="55"/>
    <x v="0"/>
    <x v="0"/>
    <x v="0"/>
    <x v="0"/>
  </r>
  <r>
    <x v="5"/>
    <x v="14"/>
    <x v="14"/>
    <x v="14"/>
    <x v="5"/>
    <s v="Laekvere piirkond"/>
    <s v="Laekvere kompostimisväljaku rajamine"/>
    <x v="22"/>
    <s v="maa soetus"/>
    <x v="28"/>
    <s v="Maa soetamine"/>
    <n v="15"/>
    <x v="3"/>
    <x v="3"/>
    <x v="3"/>
    <x v="2"/>
  </r>
  <r>
    <x v="5"/>
    <x v="15"/>
    <x v="15"/>
    <x v="14"/>
    <x v="5"/>
    <s v="Rägavere piirkond"/>
    <s v="Rägavere piirkonna varade kindlustus"/>
    <x v="117"/>
    <m/>
    <x v="4"/>
    <s v="Kinnistute, hoonete ja ruumide majandamiskulud"/>
    <n v="55"/>
    <x v="0"/>
    <x v="0"/>
    <x v="0"/>
    <x v="0"/>
  </r>
  <r>
    <x v="5"/>
    <x v="15"/>
    <x v="15"/>
    <x v="14"/>
    <x v="5"/>
    <s v="Rägavere piirkond"/>
    <s v="Remondimaterjalid"/>
    <x v="118"/>
    <m/>
    <x v="4"/>
    <s v="Kinnistute, hoonete ja ruumide majandamiskulud"/>
    <n v="55"/>
    <x v="0"/>
    <x v="0"/>
    <x v="0"/>
    <x v="0"/>
  </r>
  <r>
    <x v="5"/>
    <x v="15"/>
    <x v="15"/>
    <x v="14"/>
    <x v="5"/>
    <s v="Rägavere piirkond"/>
    <s v="Vesi-ja kanalisastioon"/>
    <x v="110"/>
    <m/>
    <x v="4"/>
    <s v="Kinnistute, hoonete ja ruumide majandamiskulud"/>
    <n v="55"/>
    <x v="0"/>
    <x v="0"/>
    <x v="0"/>
    <x v="0"/>
  </r>
  <r>
    <x v="5"/>
    <x v="15"/>
    <x v="15"/>
    <x v="14"/>
    <x v="5"/>
    <s v="Rägavere piirkond"/>
    <s v="Veeautomaat Saku Läte"/>
    <x v="119"/>
    <m/>
    <x v="4"/>
    <s v="Kinnistute, hoonete ja ruumide majandamiskulud"/>
    <n v="55"/>
    <x v="0"/>
    <x v="0"/>
    <x v="0"/>
    <x v="0"/>
  </r>
  <r>
    <x v="5"/>
    <x v="15"/>
    <x v="15"/>
    <x v="14"/>
    <x v="5"/>
    <s v="Rägavere piirkond"/>
    <s v="Korrashoiu vahendid"/>
    <x v="41"/>
    <m/>
    <x v="4"/>
    <s v="Kinnistute, hoonete ja ruumide majandamiskulud"/>
    <n v="55"/>
    <x v="0"/>
    <x v="0"/>
    <x v="0"/>
    <x v="0"/>
  </r>
  <r>
    <x v="5"/>
    <x v="15"/>
    <x v="15"/>
    <x v="14"/>
    <x v="5"/>
    <s v="Rägavere piirkond"/>
    <s v="Ohtlike puude raie, niitmis teenus jm"/>
    <x v="2"/>
    <m/>
    <x v="4"/>
    <s v="Kinnistute, hoonete ja ruumide majandamiskulud"/>
    <n v="55"/>
    <x v="0"/>
    <x v="0"/>
    <x v="0"/>
    <x v="0"/>
  </r>
  <r>
    <x v="5"/>
    <x v="15"/>
    <x v="15"/>
    <x v="14"/>
    <x v="5"/>
    <s v="Rägavere piirkond"/>
    <s v="Prügivedu "/>
    <x v="120"/>
    <s v=" Lääne-Viru Jäätmekeskus"/>
    <x v="4"/>
    <s v="Kinnistute, hoonete ja ruumide majandamiskulud"/>
    <n v="55"/>
    <x v="0"/>
    <x v="0"/>
    <x v="0"/>
    <x v="0"/>
  </r>
  <r>
    <x v="5"/>
    <x v="15"/>
    <x v="15"/>
    <x v="14"/>
    <x v="5"/>
    <s v="Rägavere piirkond"/>
    <s v="Korteriühistute tasud"/>
    <x v="25"/>
    <m/>
    <x v="4"/>
    <s v="Kinnistute, hoonete ja ruumide majandamiskulud"/>
    <n v="55"/>
    <x v="0"/>
    <x v="0"/>
    <x v="0"/>
    <x v="0"/>
  </r>
  <r>
    <x v="5"/>
    <x v="15"/>
    <x v="15"/>
    <x v="14"/>
    <x v="5"/>
    <s v="Rägavere piirkond"/>
    <s v="Amplid, lilled,istikud "/>
    <x v="41"/>
    <m/>
    <x v="4"/>
    <s v="Kinnistute, hoonete ja ruumide majandamiskulud"/>
    <n v="55"/>
    <x v="0"/>
    <x v="0"/>
    <x v="0"/>
    <x v="0"/>
  </r>
  <r>
    <x v="5"/>
    <x v="15"/>
    <x v="15"/>
    <x v="14"/>
    <x v="5"/>
    <s v="Rägavere piirkond"/>
    <s v="Valveteenus"/>
    <x v="121"/>
    <m/>
    <x v="4"/>
    <s v="Kinnistute, hoonete ja ruumide majandamiskulud"/>
    <n v="55"/>
    <x v="0"/>
    <x v="0"/>
    <x v="0"/>
    <x v="0"/>
  </r>
  <r>
    <x v="5"/>
    <x v="15"/>
    <x v="15"/>
    <x v="14"/>
    <x v="5"/>
    <s v="Rägavere piirkond"/>
    <s v="Katla hooldus, korstnapühkija"/>
    <x v="32"/>
    <m/>
    <x v="4"/>
    <s v="Kinnistute, hoonete ja ruumide majandamiskulud"/>
    <n v="55"/>
    <x v="0"/>
    <x v="0"/>
    <x v="0"/>
    <x v="0"/>
  </r>
  <r>
    <x v="5"/>
    <x v="15"/>
    <x v="15"/>
    <x v="14"/>
    <x v="5"/>
    <s v="Rägavere piirkond"/>
    <s v="Pelleti ost"/>
    <x v="114"/>
    <m/>
    <x v="4"/>
    <s v="Kinnistute, hoonete ja ruumide majandamiskulud"/>
    <n v="55"/>
    <x v="0"/>
    <x v="0"/>
    <x v="0"/>
    <x v="0"/>
  </r>
  <r>
    <x v="5"/>
    <x v="15"/>
    <x v="15"/>
    <x v="14"/>
    <x v="5"/>
    <s v="Rägavere piirkond"/>
    <s v="Valve- ja tuletõrje signalisatsiooni hooldus"/>
    <x v="122"/>
    <m/>
    <x v="4"/>
    <s v="Kinnistute, hoonete ja ruumide majandamiskulud"/>
    <n v="55"/>
    <x v="0"/>
    <x v="0"/>
    <x v="0"/>
    <x v="0"/>
  </r>
  <r>
    <x v="5"/>
    <x v="15"/>
    <x v="15"/>
    <x v="14"/>
    <x v="5"/>
    <s v="Rägavere piirkond"/>
    <s v="Elekter"/>
    <x v="123"/>
    <m/>
    <x v="4"/>
    <s v="Kinnistute, hoonete ja ruumide majandamiskulud"/>
    <n v="55"/>
    <x v="0"/>
    <x v="0"/>
    <x v="0"/>
    <x v="0"/>
  </r>
  <r>
    <x v="5"/>
    <x v="15"/>
    <x v="15"/>
    <x v="14"/>
    <x v="5"/>
    <s v="Rägavere piirkond"/>
    <s v="Kontoritarbed"/>
    <x v="32"/>
    <s v="Tahmad, paber, pliiatsid jne."/>
    <x v="0"/>
    <s v="Administreerimiskulud"/>
    <n v="55"/>
    <x v="0"/>
    <x v="0"/>
    <x v="0"/>
    <x v="0"/>
  </r>
  <r>
    <x v="5"/>
    <x v="15"/>
    <x v="15"/>
    <x v="14"/>
    <x v="5"/>
    <s v="Rägavere piirkond"/>
    <s v="Telefon"/>
    <x v="124"/>
    <s v="mobiiltelefon 5783 3232"/>
    <x v="0"/>
    <s v="Administreerimiskulud"/>
    <n v="55"/>
    <x v="0"/>
    <x v="0"/>
    <x v="0"/>
    <x v="0"/>
  </r>
  <r>
    <x v="5"/>
    <x v="15"/>
    <x v="15"/>
    <x v="14"/>
    <x v="5"/>
    <s v="Rägavere piirkond"/>
    <s v="Koolitused"/>
    <x v="41"/>
    <m/>
    <x v="2"/>
    <s v="Koolituskulud"/>
    <n v="55"/>
    <x v="0"/>
    <x v="0"/>
    <x v="0"/>
    <x v="0"/>
  </r>
  <r>
    <x v="5"/>
    <x v="15"/>
    <x v="15"/>
    <x v="14"/>
    <x v="5"/>
    <s v="Rägavere piirkond"/>
    <s v="Väikebussi kütus"/>
    <x v="40"/>
    <s v="kütus"/>
    <x v="3"/>
    <s v="Sõidukite ülalpidamise kulud"/>
    <n v="55"/>
    <x v="0"/>
    <x v="0"/>
    <x v="0"/>
    <x v="0"/>
  </r>
  <r>
    <x v="5"/>
    <x v="15"/>
    <x v="15"/>
    <x v="14"/>
    <x v="5"/>
    <s v="Rägavere piirkond"/>
    <s v="Väikebuss"/>
    <x v="125"/>
    <s v="liising, kasko, liiklus, tarvikud"/>
    <x v="3"/>
    <s v="Sõidukite ülalpidamise kulud"/>
    <n v="55"/>
    <x v="0"/>
    <x v="0"/>
    <x v="0"/>
    <x v="0"/>
  </r>
  <r>
    <x v="5"/>
    <x v="15"/>
    <x v="15"/>
    <x v="14"/>
    <x v="5"/>
    <s v="Rägavere piirkond"/>
    <s v="Isikliku sõiduauto komp."/>
    <x v="126"/>
    <m/>
    <x v="3"/>
    <s v="Sõidukite ülalpidamise kulud"/>
    <n v="55"/>
    <x v="0"/>
    <x v="0"/>
    <x v="0"/>
    <x v="0"/>
  </r>
  <r>
    <x v="5"/>
    <x v="15"/>
    <x v="15"/>
    <x v="14"/>
    <x v="5"/>
    <s v="Rägavere piirkond"/>
    <s v="Seadmete ja masinate tarvikud"/>
    <x v="65"/>
    <s v="Murutraktori rihmad,saagide osad ,ketid,niidukite terad ,kiilrihmad,õlid, filtrid hooldus"/>
    <x v="8"/>
    <s v="Inventari kulud, v.a infotehnoloogia ja kaitseotstarbelised kulud"/>
    <n v="55"/>
    <x v="0"/>
    <x v="0"/>
    <x v="0"/>
    <x v="0"/>
  </r>
  <r>
    <x v="5"/>
    <x v="15"/>
    <x v="15"/>
    <x v="14"/>
    <x v="5"/>
    <s v="Rägavere piirkond"/>
    <s v="Murutraktori, trimmerite kütus"/>
    <x v="7"/>
    <m/>
    <x v="8"/>
    <s v="Inventari kulud, v.a infotehnoloogia ja kaitseotstarbelised kulud"/>
    <n v="55"/>
    <x v="0"/>
    <x v="0"/>
    <x v="0"/>
    <x v="0"/>
  </r>
  <r>
    <x v="5"/>
    <x v="15"/>
    <x v="15"/>
    <x v="14"/>
    <x v="5"/>
    <s v="Rägavere piirkond"/>
    <s v="Internetiühendus"/>
    <x v="127"/>
    <s v="Andigo OÜ internet, kaks lautelefoni"/>
    <x v="5"/>
    <s v="Info- ja kommunikatsioonitehnoliigised kulud"/>
    <n v="55"/>
    <x v="0"/>
    <x v="0"/>
    <x v="0"/>
    <x v="0"/>
  </r>
  <r>
    <x v="5"/>
    <x v="16"/>
    <x v="16"/>
    <x v="14"/>
    <x v="5"/>
    <s v="Roela piirkond"/>
    <s v="Heakorratööd"/>
    <x v="128"/>
    <s v="Fixsum Service-muruniitmine,Vaarmets,"/>
    <x v="4"/>
    <s v="Kinnistute, hoonete ja ruumide majandamiskulud"/>
    <n v="55"/>
    <x v="0"/>
    <x v="0"/>
    <x v="0"/>
    <x v="0"/>
  </r>
  <r>
    <x v="5"/>
    <x v="16"/>
    <x v="16"/>
    <x v="14"/>
    <x v="5"/>
    <s v="Roela piirkond"/>
    <s v="Prügiveod piirkonna"/>
    <x v="120"/>
    <m/>
    <x v="4"/>
    <s v="Kinnistute, hoonete ja ruumide majandamiskulud"/>
    <n v="55"/>
    <x v="0"/>
    <x v="0"/>
    <x v="0"/>
    <x v="0"/>
  </r>
  <r>
    <x v="5"/>
    <x v="16"/>
    <x v="16"/>
    <x v="14"/>
    <x v="5"/>
    <s v="Roela piirkond"/>
    <s v="Heakorravahendid"/>
    <x v="7"/>
    <s v="kütus, õli, jõhv trimmerile,luuad, rehad,labidad"/>
    <x v="4"/>
    <s v="Kinnistute, hoonete ja ruumide majandamiskulud"/>
    <n v="55"/>
    <x v="0"/>
    <x v="0"/>
    <x v="0"/>
    <x v="0"/>
  </r>
  <r>
    <x v="5"/>
    <x v="16"/>
    <x v="16"/>
    <x v="14"/>
    <x v="5"/>
    <s v="Roela piirkond"/>
    <s v="Istikud, suvelilled"/>
    <x v="2"/>
    <m/>
    <x v="4"/>
    <s v="Kinnistute, hoonete ja ruumide majandamiskulud"/>
    <n v="55"/>
    <x v="0"/>
    <x v="0"/>
    <x v="0"/>
    <x v="0"/>
  </r>
  <r>
    <x v="5"/>
    <x v="16"/>
    <x v="16"/>
    <x v="14"/>
    <x v="5"/>
    <s v="Roela piirkond"/>
    <s v="Elekter"/>
    <x v="123"/>
    <s v="Korterid"/>
    <x v="4"/>
    <s v="Kinnistute, hoonete ja ruumide majandamiskulud"/>
    <n v="55"/>
    <x v="0"/>
    <x v="0"/>
    <x v="0"/>
    <x v="0"/>
  </r>
  <r>
    <x v="5"/>
    <x v="16"/>
    <x v="16"/>
    <x v="14"/>
    <x v="5"/>
    <s v="Roela piirkond"/>
    <s v="Vesi- ja kanalisatsioon"/>
    <x v="20"/>
    <s v="Korterid (roela soojus)"/>
    <x v="4"/>
    <s v="Kinnistute, hoonete ja ruumide majandamiskulud"/>
    <n v="55"/>
    <x v="0"/>
    <x v="0"/>
    <x v="0"/>
    <x v="0"/>
  </r>
  <r>
    <x v="5"/>
    <x v="16"/>
    <x v="16"/>
    <x v="14"/>
    <x v="5"/>
    <s v="Roela piirkond"/>
    <s v="Prügivedu"/>
    <x v="129"/>
    <s v="Korter (Aida)"/>
    <x v="4"/>
    <s v="Kinnistute, hoonete ja ruumide majandamiskulud"/>
    <n v="55"/>
    <x v="0"/>
    <x v="0"/>
    <x v="0"/>
    <x v="0"/>
  </r>
  <r>
    <x v="5"/>
    <x v="16"/>
    <x v="16"/>
    <x v="14"/>
    <x v="5"/>
    <s v="Roela piirkond"/>
    <s v="Prügivedu (konteineri rent)"/>
    <x v="130"/>
    <s v="Korter (Aida)"/>
    <x v="4"/>
    <s v="Kinnistute, hoonete ja ruumide majandamiskulud"/>
    <n v="55"/>
    <x v="0"/>
    <x v="0"/>
    <x v="0"/>
    <x v="0"/>
  </r>
  <r>
    <x v="5"/>
    <x v="16"/>
    <x v="16"/>
    <x v="14"/>
    <x v="5"/>
    <s v="Roela piirkond"/>
    <s v="Korstnapühkija"/>
    <x v="89"/>
    <s v="Korter (Aida)"/>
    <x v="4"/>
    <s v="Kinnistute, hoonete ja ruumide majandamiskulud"/>
    <n v="55"/>
    <x v="0"/>
    <x v="0"/>
    <x v="0"/>
    <x v="0"/>
  </r>
  <r>
    <x v="5"/>
    <x v="16"/>
    <x v="16"/>
    <x v="14"/>
    <x v="5"/>
    <s v="Roela piirkond"/>
    <s v="KÜ kommunaalmaksed"/>
    <x v="131"/>
    <m/>
    <x v="4"/>
    <s v="Kinnistute, hoonete ja ruumide majandamiskulud"/>
    <n v="55"/>
    <x v="0"/>
    <x v="0"/>
    <x v="0"/>
    <x v="0"/>
  </r>
  <r>
    <x v="5"/>
    <x v="16"/>
    <x v="16"/>
    <x v="14"/>
    <x v="5"/>
    <s v="Roela piirkond"/>
    <s v="Kõnnitee truup"/>
    <x v="22"/>
    <m/>
    <x v="4"/>
    <s v="Kinnistute, hoonete ja ruumide majandamiskulud"/>
    <n v="55"/>
    <x v="0"/>
    <x v="0"/>
    <x v="0"/>
    <x v="0"/>
  </r>
  <r>
    <x v="5"/>
    <x v="16"/>
    <x v="16"/>
    <x v="14"/>
    <x v="5"/>
    <s v="Roela piirkond"/>
    <s v="Teadete tahvlid"/>
    <x v="30"/>
    <m/>
    <x v="4"/>
    <s v="Kinnistute, hoonete ja ruumide majandamiskulud"/>
    <n v="55"/>
    <x v="0"/>
    <x v="0"/>
    <x v="0"/>
    <x v="0"/>
  </r>
  <r>
    <x v="5"/>
    <x v="17"/>
    <x v="17"/>
    <x v="14"/>
    <x v="5"/>
    <s v="Tudu piirkond"/>
    <s v="Elekter"/>
    <x v="28"/>
    <s v="Korterid"/>
    <x v="4"/>
    <s v="Kinnistute, hoonete ja ruumide majandamiskulud"/>
    <n v="55"/>
    <x v="0"/>
    <x v="0"/>
    <x v="0"/>
    <x v="0"/>
  </r>
  <r>
    <x v="5"/>
    <x v="17"/>
    <x v="17"/>
    <x v="14"/>
    <x v="5"/>
    <s v="Tudu piirkond"/>
    <s v="Korstnapühkimisteenus"/>
    <x v="108"/>
    <s v="Korterid, katlamaja"/>
    <x v="4"/>
    <s v="Kinnistute, hoonete ja ruumide majandamiskulud"/>
    <n v="55"/>
    <x v="0"/>
    <x v="0"/>
    <x v="0"/>
    <x v="0"/>
  </r>
  <r>
    <x v="5"/>
    <x v="17"/>
    <x v="17"/>
    <x v="14"/>
    <x v="5"/>
    <s v="Tudu piirkond"/>
    <s v="Prügivedu"/>
    <x v="132"/>
    <s v="Korterid"/>
    <x v="4"/>
    <s v="Kinnistute, hoonete ja ruumide majandamiskulud"/>
    <n v="55"/>
    <x v="0"/>
    <x v="0"/>
    <x v="0"/>
    <x v="0"/>
  </r>
  <r>
    <x v="5"/>
    <x v="17"/>
    <x v="17"/>
    <x v="14"/>
    <x v="5"/>
    <s v="Tudu piirkond"/>
    <s v="Niitmine"/>
    <x v="133"/>
    <s v="FIE Salin"/>
    <x v="4"/>
    <s v="Kinnistute, hoonete ja ruumide majandamiskulud"/>
    <n v="55"/>
    <x v="0"/>
    <x v="0"/>
    <x v="0"/>
    <x v="0"/>
  </r>
  <r>
    <x v="5"/>
    <x v="17"/>
    <x v="17"/>
    <x v="14"/>
    <x v="5"/>
    <s v="Tudu piirkond"/>
    <s v="Niitmine "/>
    <x v="134"/>
    <s v="Ehitme OÜ"/>
    <x v="4"/>
    <s v="Kinnistute, hoonete ja ruumide majandamiskulud"/>
    <n v="55"/>
    <x v="0"/>
    <x v="0"/>
    <x v="0"/>
    <x v="0"/>
  </r>
  <r>
    <x v="5"/>
    <x v="17"/>
    <x v="17"/>
    <x v="14"/>
    <x v="5"/>
    <s v="Tudu piirkond"/>
    <s v="Rahvamaja küttepuud"/>
    <x v="126"/>
    <m/>
    <x v="4"/>
    <s v="Kinnistute, hoonete ja ruumide majandamiskulud"/>
    <n v="55"/>
    <x v="0"/>
    <x v="0"/>
    <x v="0"/>
    <x v="0"/>
  </r>
  <r>
    <x v="5"/>
    <x v="17"/>
    <x v="17"/>
    <x v="14"/>
    <x v="5"/>
    <s v="Tudu piirkond"/>
    <s v="Istikud, suvelilled"/>
    <x v="32"/>
    <m/>
    <x v="4"/>
    <s v="Kinnistute, hoonete ja ruumide majandamiskulud"/>
    <n v="55"/>
    <x v="0"/>
    <x v="0"/>
    <x v="0"/>
    <x v="0"/>
  </r>
  <r>
    <x v="5"/>
    <x v="17"/>
    <x v="17"/>
    <x v="14"/>
    <x v="5"/>
    <s v="Tudu piirkond"/>
    <s v="Heakorravahendid"/>
    <x v="10"/>
    <s v="rehad, labidad, küte, õli, kindad, jne "/>
    <x v="4"/>
    <s v="Kinnistute, hoonete ja ruumide majandamiskulud"/>
    <n v="55"/>
    <x v="0"/>
    <x v="0"/>
    <x v="0"/>
    <x v="0"/>
  </r>
  <r>
    <x v="5"/>
    <x v="17"/>
    <x v="17"/>
    <x v="14"/>
    <x v="5"/>
    <s v="Tudu piirkond"/>
    <s v="Trimmer"/>
    <x v="2"/>
    <m/>
    <x v="4"/>
    <s v="Kinnistute, hoonete ja ruumide majandamiskulud"/>
    <n v="55"/>
    <x v="0"/>
    <x v="0"/>
    <x v="0"/>
    <x v="0"/>
  </r>
  <r>
    <x v="5"/>
    <x v="17"/>
    <x v="17"/>
    <x v="14"/>
    <x v="5"/>
    <s v="Tudu piirkond"/>
    <s v="Telia"/>
    <x v="135"/>
    <m/>
    <x v="5"/>
    <s v="Info- ja kommunikatsioonitehnoliigised kulud"/>
    <n v="55"/>
    <x v="0"/>
    <x v="0"/>
    <x v="0"/>
    <x v="0"/>
  </r>
  <r>
    <x v="5"/>
    <x v="18"/>
    <x v="18"/>
    <x v="14"/>
    <x v="5"/>
    <s v="Viru-Jaagupi piirkond"/>
    <s v="Prügivedu"/>
    <x v="136"/>
    <s v="Kesk 15"/>
    <x v="4"/>
    <s v="Kinnistute, hoonete ja ruumide majandamiskulud"/>
    <n v="55"/>
    <x v="0"/>
    <x v="0"/>
    <x v="0"/>
    <x v="0"/>
  </r>
  <r>
    <x v="5"/>
    <x v="18"/>
    <x v="18"/>
    <x v="14"/>
    <x v="5"/>
    <s v="Viru-Jaagupi piirkond"/>
    <s v="Konteineri rent"/>
    <x v="137"/>
    <s v="Kesk 15"/>
    <x v="4"/>
    <s v="Kinnistute, hoonete ja ruumide majandamiskulud"/>
    <n v="55"/>
    <x v="0"/>
    <x v="0"/>
    <x v="0"/>
    <x v="0"/>
  </r>
  <r>
    <x v="5"/>
    <x v="18"/>
    <x v="18"/>
    <x v="14"/>
    <x v="5"/>
    <s v="Viru-Jaagupi piirkond"/>
    <s v="Vesi- ja kanalisatsioon"/>
    <x v="138"/>
    <s v="Kesk 15, Koolimaja, saun"/>
    <x v="4"/>
    <s v="Kinnistute, hoonete ja ruumide majandamiskulud"/>
    <n v="55"/>
    <x v="0"/>
    <x v="0"/>
    <x v="0"/>
    <x v="0"/>
  </r>
  <r>
    <x v="5"/>
    <x v="18"/>
    <x v="18"/>
    <x v="14"/>
    <x v="5"/>
    <s v="Viru-Jaagupi piirkond"/>
    <s v="Prügivedu"/>
    <x v="139"/>
    <s v="Kooli tee 7"/>
    <x v="4"/>
    <s v="Kinnistute, hoonete ja ruumide majandamiskulud"/>
    <n v="55"/>
    <x v="0"/>
    <x v="0"/>
    <x v="0"/>
    <x v="0"/>
  </r>
  <r>
    <x v="5"/>
    <x v="18"/>
    <x v="18"/>
    <x v="14"/>
    <x v="5"/>
    <s v="Viru-Jaagupi piirkond"/>
    <s v="Prügivedu"/>
    <x v="110"/>
    <s v="Piirkonna prügi"/>
    <x v="4"/>
    <s v="Kinnistute, hoonete ja ruumide majandamiskulud"/>
    <n v="55"/>
    <x v="0"/>
    <x v="0"/>
    <x v="0"/>
    <x v="0"/>
  </r>
  <r>
    <x v="5"/>
    <x v="18"/>
    <x v="18"/>
    <x v="14"/>
    <x v="5"/>
    <s v="Viru-Jaagupi piirkond"/>
    <s v="Koolimaja küttepuud"/>
    <x v="126"/>
    <m/>
    <x v="4"/>
    <s v="Kinnistute, hoonete ja ruumide majandamiskulud"/>
    <n v="55"/>
    <x v="0"/>
    <x v="0"/>
    <x v="0"/>
    <x v="0"/>
  </r>
  <r>
    <x v="5"/>
    <x v="18"/>
    <x v="18"/>
    <x v="14"/>
    <x v="5"/>
    <s v="Viru-Jaagupi piirkond"/>
    <s v="Heakorratööd"/>
    <x v="123"/>
    <m/>
    <x v="4"/>
    <s v="Kinnistute, hoonete ja ruumide majandamiskulud"/>
    <n v="55"/>
    <x v="0"/>
    <x v="0"/>
    <x v="0"/>
    <x v="0"/>
  </r>
  <r>
    <x v="5"/>
    <x v="18"/>
    <x v="18"/>
    <x v="14"/>
    <x v="5"/>
    <s v="Viru-Jaagupi piirkond"/>
    <s v="Elekter"/>
    <x v="140"/>
    <m/>
    <x v="4"/>
    <s v="Kinnistute, hoonete ja ruumide majandamiskulud"/>
    <n v="55"/>
    <x v="0"/>
    <x v="0"/>
    <x v="0"/>
    <x v="0"/>
  </r>
  <r>
    <x v="5"/>
    <x v="18"/>
    <x v="18"/>
    <x v="14"/>
    <x v="5"/>
    <s v="Viru-Jaagupi piirkond"/>
    <s v="Korrashoiuvahendid"/>
    <x v="14"/>
    <s v="luuad, rehad, puh.vahendid, paber jne"/>
    <x v="4"/>
    <s v="Kinnistute, hoonete ja ruumide majandamiskulud"/>
    <n v="55"/>
    <x v="0"/>
    <x v="0"/>
    <x v="0"/>
    <x v="0"/>
  </r>
  <r>
    <x v="5"/>
    <x v="18"/>
    <x v="18"/>
    <x v="14"/>
    <x v="5"/>
    <s v="Viru-Jaagupi piirkond"/>
    <s v="Valvekulud"/>
    <x v="139"/>
    <m/>
    <x v="4"/>
    <s v="Kinnistute, hoonete ja ruumide majandamiskulud"/>
    <n v="55"/>
    <x v="0"/>
    <x v="0"/>
    <x v="0"/>
    <x v="0"/>
  </r>
  <r>
    <x v="5"/>
    <x v="18"/>
    <x v="18"/>
    <x v="14"/>
    <x v="5"/>
    <s v="Viru-Jaagupi piirkond"/>
    <s v="Korrashoiuvahendite rendid, õlid"/>
    <x v="10"/>
    <s v="töövahendite hooldus, tarvikud, küte, õli"/>
    <x v="4"/>
    <s v="Kinnistute, hoonete ja ruumide majandamiskulud"/>
    <n v="55"/>
    <x v="0"/>
    <x v="0"/>
    <x v="0"/>
    <x v="0"/>
  </r>
  <r>
    <x v="5"/>
    <x v="18"/>
    <x v="18"/>
    <x v="14"/>
    <x v="5"/>
    <s v="Viru-Jaagupi piirkond"/>
    <s v="Remondifond"/>
    <x v="141"/>
    <s v="Kesk 21 + niitmine"/>
    <x v="4"/>
    <s v="Kinnistute, hoonete ja ruumide majandamiskulud"/>
    <n v="55"/>
    <x v="0"/>
    <x v="0"/>
    <x v="0"/>
    <x v="0"/>
  </r>
  <r>
    <x v="5"/>
    <x v="18"/>
    <x v="18"/>
    <x v="14"/>
    <x v="5"/>
    <s v="Viru-Jaagupi piirkond"/>
    <s v="Tuletõrje süsteem (Telia kuutasu)"/>
    <x v="142"/>
    <s v="Kooli tee 7"/>
    <x v="4"/>
    <s v="Kinnistute, hoonete ja ruumide majandamiskulud"/>
    <n v="55"/>
    <x v="0"/>
    <x v="0"/>
    <x v="0"/>
    <x v="0"/>
  </r>
  <r>
    <x v="5"/>
    <x v="18"/>
    <x v="18"/>
    <x v="14"/>
    <x v="5"/>
    <s v="Viru-Jaagupi piirkond"/>
    <s v="Tuletõrje süsteemi hooldus"/>
    <x v="143"/>
    <s v="Kooli tee 7"/>
    <x v="4"/>
    <s v="Kinnistute, hoonete ja ruumide majandamiskulud"/>
    <n v="55"/>
    <x v="0"/>
    <x v="0"/>
    <x v="0"/>
    <x v="0"/>
  </r>
  <r>
    <x v="5"/>
    <x v="18"/>
    <x v="18"/>
    <x v="14"/>
    <x v="5"/>
    <s v="Viru-Jaagupi piirkond"/>
    <s v="Istikud, ohtlikud puud"/>
    <x v="10"/>
    <m/>
    <x v="4"/>
    <s v="Kinnistute, hoonete ja ruumide majandamiskulud"/>
    <n v="55"/>
    <x v="0"/>
    <x v="0"/>
    <x v="0"/>
    <x v="0"/>
  </r>
  <r>
    <x v="5"/>
    <x v="18"/>
    <x v="18"/>
    <x v="14"/>
    <x v="5"/>
    <s v="Viru-Jaagupi piirkond"/>
    <s v="Teadete tahvlid"/>
    <x v="144"/>
    <s v="2tk"/>
    <x v="4"/>
    <s v="Kinnistute, hoonete ja ruumide majandamiskulud"/>
    <n v="55"/>
    <x v="0"/>
    <x v="0"/>
    <x v="0"/>
    <x v="0"/>
  </r>
  <r>
    <x v="5"/>
    <x v="18"/>
    <x v="18"/>
    <x v="14"/>
    <x v="5"/>
    <s v="Viru-Jaagupi piirkond"/>
    <s v="Korstnapühkija"/>
    <x v="32"/>
    <m/>
    <x v="4"/>
    <s v="Kinnistute, hoonete ja ruumide majandamiskulud"/>
    <n v="55"/>
    <x v="0"/>
    <x v="0"/>
    <x v="0"/>
    <x v="0"/>
  </r>
  <r>
    <x v="5"/>
    <x v="18"/>
    <x v="18"/>
    <x v="14"/>
    <x v="5"/>
    <s v="Viru-Jaagupi piirkond"/>
    <s v="Pingid"/>
    <x v="115"/>
    <m/>
    <x v="4"/>
    <s v="Kinnistute, hoonete ja ruumide majandamiskulud"/>
    <n v="55"/>
    <x v="0"/>
    <x v="0"/>
    <x v="0"/>
    <x v="0"/>
  </r>
  <r>
    <x v="5"/>
    <x v="18"/>
    <x v="18"/>
    <x v="14"/>
    <x v="5"/>
    <s v="Viru-Jaagupi piirkond"/>
    <s v="Telefon, internet"/>
    <x v="32"/>
    <m/>
    <x v="0"/>
    <s v="Administreerimiskulud"/>
    <n v="55"/>
    <x v="0"/>
    <x v="0"/>
    <x v="0"/>
    <x v="0"/>
  </r>
  <r>
    <x v="5"/>
    <x v="18"/>
    <x v="18"/>
    <x v="14"/>
    <x v="5"/>
    <s v="Viru-Jaagupi piirkond"/>
    <s v="Isikliku sõiduauto komp."/>
    <x v="126"/>
    <s v="12 kuud*300"/>
    <x v="3"/>
    <s v="Sõidukite ülalpidamise kulud"/>
    <n v="55"/>
    <x v="0"/>
    <x v="0"/>
    <x v="0"/>
    <x v="0"/>
  </r>
  <r>
    <x v="5"/>
    <x v="18"/>
    <x v="18"/>
    <x v="14"/>
    <x v="5"/>
    <s v="Viru-Jaagupi piirkond"/>
    <s v="Haagise kindlustus"/>
    <x v="13"/>
    <m/>
    <x v="3"/>
    <s v="Sõidukite ülalpidamise kulud"/>
    <n v="55"/>
    <x v="0"/>
    <x v="0"/>
    <x v="0"/>
    <x v="0"/>
  </r>
  <r>
    <x v="5"/>
    <x v="18"/>
    <x v="18"/>
    <x v="14"/>
    <x v="5"/>
    <s v="Viru-Jaagupi piirkond"/>
    <s v="Haagise pisiremondid"/>
    <x v="89"/>
    <m/>
    <x v="3"/>
    <s v="Sõidukite ülalpidamise kulud"/>
    <n v="55"/>
    <x v="0"/>
    <x v="0"/>
    <x v="0"/>
    <x v="0"/>
  </r>
  <r>
    <x v="5"/>
    <x v="18"/>
    <x v="18"/>
    <x v="14"/>
    <x v="5"/>
    <s v="Viru-Jaagupi piirkond"/>
    <s v="Haagise rehvid"/>
    <x v="129"/>
    <m/>
    <x v="3"/>
    <s v="Sõidukite ülalpidamise kulud"/>
    <n v="55"/>
    <x v="0"/>
    <x v="0"/>
    <x v="0"/>
    <x v="0"/>
  </r>
  <r>
    <x v="5"/>
    <x v="18"/>
    <x v="18"/>
    <x v="14"/>
    <x v="5"/>
    <s v="Viru-Jaagupi piirkond"/>
    <s v="PEUGEOT PARTNER 648BLS kütus"/>
    <x v="126"/>
    <m/>
    <x v="3"/>
    <s v="Sõidukite ülalpidamise kulud"/>
    <n v="55"/>
    <x v="0"/>
    <x v="0"/>
    <x v="0"/>
    <x v="0"/>
  </r>
  <r>
    <x v="5"/>
    <x v="18"/>
    <x v="18"/>
    <x v="14"/>
    <x v="5"/>
    <s v="Viru-Jaagupi piirkond"/>
    <s v="PEUGEOT PARTNER 648BLS kindlustus"/>
    <x v="145"/>
    <m/>
    <x v="3"/>
    <s v="Sõidukite ülalpidamise kulud"/>
    <n v="55"/>
    <x v="0"/>
    <x v="0"/>
    <x v="0"/>
    <x v="0"/>
  </r>
  <r>
    <x v="5"/>
    <x v="18"/>
    <x v="18"/>
    <x v="14"/>
    <x v="5"/>
    <s v="Viru-Jaagupi piirkond"/>
    <s v="PEUGEOT PARTNER 648BLS rehvid"/>
    <x v="108"/>
    <m/>
    <x v="3"/>
    <s v="Sõidukite ülalpidamise kulud"/>
    <n v="55"/>
    <x v="0"/>
    <x v="0"/>
    <x v="0"/>
    <x v="0"/>
  </r>
  <r>
    <x v="5"/>
    <x v="18"/>
    <x v="18"/>
    <x v="14"/>
    <x v="5"/>
    <s v="Viru-Jaagupi piirkond"/>
    <s v="PEUGEOT PARTNER 648BLS pisiremondid, ülevaatused"/>
    <x v="146"/>
    <m/>
    <x v="3"/>
    <s v="Sõidukite ülalpidamise kulud"/>
    <n v="55"/>
    <x v="0"/>
    <x v="0"/>
    <x v="0"/>
    <x v="0"/>
  </r>
  <r>
    <x v="5"/>
    <x v="18"/>
    <x v="18"/>
    <x v="14"/>
    <x v="5"/>
    <s v="Viru-Jaagupi piirkond"/>
    <s v="tervise ja spordi edendamine"/>
    <x v="108"/>
    <m/>
    <x v="1"/>
    <s v="Mitmesugused majanduskulud"/>
    <n v="55"/>
    <x v="0"/>
    <x v="0"/>
    <x v="0"/>
    <x v="0"/>
  </r>
  <r>
    <x v="5"/>
    <x v="18"/>
    <x v="18"/>
    <x v="14"/>
    <x v="5"/>
    <s v="Viru-Jaagupi piirkond"/>
    <s v="Katuse vahetus"/>
    <x v="147"/>
    <s v="Kesk 15"/>
    <x v="4"/>
    <s v="Kinnistute, hoonete ja ruumide majandamiskulud"/>
    <n v="55"/>
    <x v="0"/>
    <x v="0"/>
    <x v="0"/>
    <x v="0"/>
  </r>
  <r>
    <x v="5"/>
    <x v="19"/>
    <x v="19"/>
    <x v="14"/>
    <x v="5"/>
    <s v="Vinni-Pajusti piirkond"/>
    <s v="Korterite kommunaalmaksed"/>
    <x v="148"/>
    <m/>
    <x v="4"/>
    <s v="Kinnistute, hoonete ja ruumide majandamiskulud"/>
    <n v="55"/>
    <x v="0"/>
    <x v="0"/>
    <x v="0"/>
    <x v="0"/>
  </r>
  <r>
    <x v="5"/>
    <x v="19"/>
    <x v="19"/>
    <x v="14"/>
    <x v="5"/>
    <s v="Vinni-Pajusti piirkond"/>
    <s v="valvekaameratega seotud kulud"/>
    <x v="149"/>
    <s v="Telia"/>
    <x v="4"/>
    <s v="Kinnistute, hoonete ja ruumide majandamiskulud"/>
    <n v="55"/>
    <x v="0"/>
    <x v="0"/>
    <x v="0"/>
    <x v="0"/>
  </r>
  <r>
    <x v="5"/>
    <x v="19"/>
    <x v="19"/>
    <x v="14"/>
    <x v="5"/>
    <s v="Vinni-Pajusti piirkond"/>
    <s v="Suuremad niitmised"/>
    <x v="83"/>
    <s v="Tammikus OÜ"/>
    <x v="4"/>
    <s v="Kinnistute, hoonete ja ruumide majandamiskulud"/>
    <n v="55"/>
    <x v="0"/>
    <x v="0"/>
    <x v="0"/>
    <x v="0"/>
  </r>
  <r>
    <x v="5"/>
    <x v="19"/>
    <x v="19"/>
    <x v="14"/>
    <x v="5"/>
    <s v="Vinni-Pajusti piirkond"/>
    <s v="Prügikonteinerite rent"/>
    <x v="150"/>
    <m/>
    <x v="4"/>
    <s v="Kinnistute, hoonete ja ruumide majandamiskulud"/>
    <n v="55"/>
    <x v="0"/>
    <x v="0"/>
    <x v="0"/>
    <x v="0"/>
  </r>
  <r>
    <x v="5"/>
    <x v="19"/>
    <x v="19"/>
    <x v="14"/>
    <x v="5"/>
    <s v="Vinni-Pajusti piirkond"/>
    <s v="Prügivedu, konteinerite rent"/>
    <x v="111"/>
    <s v="Jäätmekeskus"/>
    <x v="4"/>
    <s v="Kinnistute, hoonete ja ruumide majandamiskulud"/>
    <n v="55"/>
    <x v="0"/>
    <x v="0"/>
    <x v="0"/>
    <x v="0"/>
  </r>
  <r>
    <x v="5"/>
    <x v="19"/>
    <x v="19"/>
    <x v="14"/>
    <x v="5"/>
    <s v="Vinni-Pajusti piirkond"/>
    <s v="Elektri tarbimine"/>
    <x v="151"/>
    <m/>
    <x v="4"/>
    <s v="Kinnistute, hoonete ja ruumide majandamiskulud"/>
    <n v="55"/>
    <x v="0"/>
    <x v="0"/>
    <x v="0"/>
    <x v="0"/>
  </r>
  <r>
    <x v="5"/>
    <x v="19"/>
    <x v="19"/>
    <x v="14"/>
    <x v="5"/>
    <s v="Vinni-Pajusti piirkond"/>
    <s v="Heakorra tööde tarbitav kütus"/>
    <x v="98"/>
    <m/>
    <x v="4"/>
    <s v="Kinnistute, hoonete ja ruumide majandamiskulud"/>
    <n v="55"/>
    <x v="0"/>
    <x v="0"/>
    <x v="0"/>
    <x v="0"/>
  </r>
  <r>
    <x v="5"/>
    <x v="19"/>
    <x v="19"/>
    <x v="14"/>
    <x v="5"/>
    <s v="Vinni-Pajusti piirkond"/>
    <s v="Muud kinnistute ja hoonetega seotud kulud"/>
    <x v="152"/>
    <m/>
    <x v="4"/>
    <s v="Kinnistute, hoonete ja ruumide majandamiskulud"/>
    <n v="55"/>
    <x v="0"/>
    <x v="0"/>
    <x v="0"/>
    <x v="0"/>
  </r>
  <r>
    <x v="5"/>
    <x v="19"/>
    <x v="19"/>
    <x v="14"/>
    <x v="5"/>
    <s v="Vinni-Pajusti piirkond"/>
    <s v="Pingid"/>
    <x v="115"/>
    <m/>
    <x v="4"/>
    <s v="Kinnistute, hoonete ja ruumide majandamiskulud"/>
    <n v="55"/>
    <x v="0"/>
    <x v="0"/>
    <x v="0"/>
    <x v="0"/>
  </r>
  <r>
    <x v="5"/>
    <x v="19"/>
    <x v="19"/>
    <x v="14"/>
    <x v="5"/>
    <s v="Arendusnõunik"/>
    <s v="Vinni liiklusväljaku joonimine"/>
    <x v="7"/>
    <m/>
    <x v="24"/>
    <s v="Rajatiste majandamiskulud"/>
    <n v="55"/>
    <x v="0"/>
    <x v="0"/>
    <x v="0"/>
    <x v="0"/>
  </r>
  <r>
    <x v="5"/>
    <x v="19"/>
    <x v="19"/>
    <x v="14"/>
    <x v="5"/>
    <s v="Vinni-Pajusti piirkond"/>
    <s v="sideteenused"/>
    <x v="153"/>
    <m/>
    <x v="0"/>
    <s v="Administreerimiskulud"/>
    <n v="55"/>
    <x v="0"/>
    <x v="0"/>
    <x v="0"/>
    <x v="0"/>
  </r>
  <r>
    <x v="5"/>
    <x v="19"/>
    <x v="19"/>
    <x v="14"/>
    <x v="5"/>
    <s v="Vinni-Pajusti piirkond"/>
    <s v="Isikliku sõiduauto komp."/>
    <x v="38"/>
    <s v="abipolitseid"/>
    <x v="3"/>
    <s v="Sõidukite ülalpidamise kulud"/>
    <n v="55"/>
    <x v="0"/>
    <x v="0"/>
    <x v="0"/>
    <x v="0"/>
  </r>
  <r>
    <x v="5"/>
    <x v="19"/>
    <x v="19"/>
    <x v="14"/>
    <x v="5"/>
    <s v="Vinni-Pajusti piirkond"/>
    <s v="Haagiste, sõidukite kindlustused"/>
    <x v="154"/>
    <m/>
    <x v="3"/>
    <s v="Sõidukite ülalpidamise kulud"/>
    <n v="55"/>
    <x v="0"/>
    <x v="0"/>
    <x v="0"/>
    <x v="0"/>
  </r>
  <r>
    <x v="5"/>
    <x v="19"/>
    <x v="19"/>
    <x v="14"/>
    <x v="5"/>
    <s v="Vinni-Pajusti piirkond"/>
    <s v="sõidupäeviku teenus"/>
    <x v="155"/>
    <m/>
    <x v="3"/>
    <s v="Sõidukite ülalpidamise kulud"/>
    <n v="55"/>
    <x v="0"/>
    <x v="0"/>
    <x v="0"/>
    <x v="0"/>
  </r>
  <r>
    <x v="5"/>
    <x v="19"/>
    <x v="19"/>
    <x v="14"/>
    <x v="5"/>
    <s v="Vinni-Pajusti piirkond"/>
    <s v="ülevaatus"/>
    <x v="103"/>
    <m/>
    <x v="3"/>
    <s v="Sõidukite ülalpidamise kulud"/>
    <n v="55"/>
    <x v="0"/>
    <x v="0"/>
    <x v="0"/>
    <x v="0"/>
  </r>
  <r>
    <x v="5"/>
    <x v="19"/>
    <x v="19"/>
    <x v="14"/>
    <x v="5"/>
    <s v="Vinni-Pajusti piirkond"/>
    <s v="liising"/>
    <x v="156"/>
    <s v="Silberauto"/>
    <x v="3"/>
    <s v="Sõidukite ülalpidamise kulud"/>
    <n v="55"/>
    <x v="0"/>
    <x v="0"/>
    <x v="0"/>
    <x v="0"/>
  </r>
  <r>
    <x v="5"/>
    <x v="19"/>
    <x v="19"/>
    <x v="14"/>
    <x v="5"/>
    <s v="Vinni-Pajusti piirkond"/>
    <s v="liisingauto remont"/>
    <x v="138"/>
    <s v="Silberauto liisingauto remont"/>
    <x v="3"/>
    <s v="Sõidukite ülalpidamise kulud"/>
    <n v="55"/>
    <x v="0"/>
    <x v="0"/>
    <x v="0"/>
    <x v="0"/>
  </r>
  <r>
    <x v="5"/>
    <x v="19"/>
    <x v="19"/>
    <x v="14"/>
    <x v="5"/>
    <s v="Vinni-Pajusti piirkond"/>
    <s v="kütus"/>
    <x v="157"/>
    <m/>
    <x v="3"/>
    <s v="Sõidukite ülalpidamise kulud"/>
    <n v="55"/>
    <x v="0"/>
    <x v="0"/>
    <x v="0"/>
    <x v="0"/>
  </r>
  <r>
    <x v="5"/>
    <x v="19"/>
    <x v="19"/>
    <x v="14"/>
    <x v="5"/>
    <s v="Vinni-Pajusti piirkond"/>
    <s v="sõidukite remondi jms kulud"/>
    <x v="123"/>
    <m/>
    <x v="3"/>
    <s v="Sõidukite ülalpidamise kulud"/>
    <n v="55"/>
    <x v="0"/>
    <x v="0"/>
    <x v="0"/>
    <x v="0"/>
  </r>
  <r>
    <x v="5"/>
    <x v="19"/>
    <x v="19"/>
    <x v="14"/>
    <x v="5"/>
    <s v="Vinni-Pajusti piirkond"/>
    <s v="muud sõidukitega seotud kulud"/>
    <x v="114"/>
    <m/>
    <x v="3"/>
    <s v="Sõidukite ülalpidamise kulud"/>
    <n v="55"/>
    <x v="0"/>
    <x v="0"/>
    <x v="0"/>
    <x v="0"/>
  </r>
  <r>
    <x v="5"/>
    <x v="19"/>
    <x v="19"/>
    <x v="14"/>
    <x v="5"/>
    <s v="Vinni-Pajusti piirkond"/>
    <s v="Tööriistad"/>
    <x v="115"/>
    <m/>
    <x v="8"/>
    <s v="Inventari kulud, v.a infotehnoloogia ja kaitseotstarbelised kulud"/>
    <n v="55"/>
    <x v="0"/>
    <x v="0"/>
    <x v="0"/>
    <x v="0"/>
  </r>
  <r>
    <x v="5"/>
    <x v="20"/>
    <x v="20"/>
    <x v="14"/>
    <x v="5"/>
    <s v="Viru-Jaagupi piirkonna juht"/>
    <s v="Küttepuud"/>
    <x v="158"/>
    <m/>
    <x v="4"/>
    <s v="Kinnistute, hoonete ja ruumide majandamiskulud"/>
    <n v="55"/>
    <x v="0"/>
    <x v="0"/>
    <x v="0"/>
    <x v="0"/>
  </r>
  <r>
    <x v="5"/>
    <x v="20"/>
    <x v="20"/>
    <x v="14"/>
    <x v="5"/>
    <s v="Viru-Jaagupi piirkonna juht"/>
    <s v="Prügivedu"/>
    <x v="159"/>
    <m/>
    <x v="4"/>
    <s v="Kinnistute, hoonete ja ruumide majandamiskulud"/>
    <n v="55"/>
    <x v="0"/>
    <x v="0"/>
    <x v="0"/>
    <x v="0"/>
  </r>
  <r>
    <x v="5"/>
    <x v="20"/>
    <x v="20"/>
    <x v="14"/>
    <x v="5"/>
    <s v="Viru-Jaagupi piirkonna juht"/>
    <s v="Vesi- ja kanalisatsioon"/>
    <x v="146"/>
    <m/>
    <x v="4"/>
    <s v="Kinnistute, hoonete ja ruumide majandamiskulud"/>
    <n v="55"/>
    <x v="0"/>
    <x v="0"/>
    <x v="0"/>
    <x v="0"/>
  </r>
  <r>
    <x v="5"/>
    <x v="20"/>
    <x v="20"/>
    <x v="14"/>
    <x v="5"/>
    <s v="Viru-Jaagupi piirkonna juht"/>
    <s v="Elekter"/>
    <x v="99"/>
    <m/>
    <x v="4"/>
    <s v="Kinnistute, hoonete ja ruumide majandamiskulud"/>
    <n v="55"/>
    <x v="0"/>
    <x v="0"/>
    <x v="0"/>
    <x v="0"/>
  </r>
  <r>
    <x v="5"/>
    <x v="20"/>
    <x v="20"/>
    <x v="14"/>
    <x v="5"/>
    <s v="Viru-Jaagupi piirkonna juht"/>
    <s v="Pisiremonttööd"/>
    <x v="98"/>
    <m/>
    <x v="4"/>
    <s v="Kinnistute, hoonete ja ruumide majandamiskulud"/>
    <n v="55"/>
    <x v="0"/>
    <x v="0"/>
    <x v="0"/>
    <x v="0"/>
  </r>
  <r>
    <x v="5"/>
    <x v="20"/>
    <x v="20"/>
    <x v="14"/>
    <x v="5"/>
    <s v="Viru-Jaagupi piirkonna juht"/>
    <s v="Korrashoiuvahendid"/>
    <x v="20"/>
    <m/>
    <x v="4"/>
    <s v="Kinnistute, hoonete ja ruumide majandamiskulud"/>
    <n v="55"/>
    <x v="0"/>
    <x v="0"/>
    <x v="0"/>
    <x v="0"/>
  </r>
  <r>
    <x v="5"/>
    <x v="20"/>
    <x v="20"/>
    <x v="14"/>
    <x v="5"/>
    <s v="Viru-Jaagupi piirkonna juht"/>
    <s v="Korstnapühkimisteenus"/>
    <x v="160"/>
    <m/>
    <x v="4"/>
    <s v="Kinnistute, hoonete ja ruumide majandamiskulud"/>
    <n v="55"/>
    <x v="0"/>
    <x v="0"/>
    <x v="0"/>
    <x v="0"/>
  </r>
  <r>
    <x v="5"/>
    <x v="21"/>
    <x v="21"/>
    <x v="14"/>
    <x v="5"/>
    <s v="Viru-Jaagupi piirkonna juht"/>
    <s v="Välikäimlad"/>
    <x v="161"/>
    <s v="Viru-Jaagupi"/>
    <x v="4"/>
    <s v="Kinnistute, hoonete ja ruumide majandamiskulud"/>
    <n v="55"/>
    <x v="0"/>
    <x v="0"/>
    <x v="0"/>
    <x v="0"/>
  </r>
  <r>
    <x v="5"/>
    <x v="21"/>
    <x v="21"/>
    <x v="14"/>
    <x v="5"/>
    <s v="Viru-Jaagupi piirkonna juht"/>
    <s v="Prügivedu"/>
    <x v="123"/>
    <m/>
    <x v="4"/>
    <s v="Kinnistute, hoonete ja ruumide majandamiskulud"/>
    <n v="55"/>
    <x v="0"/>
    <x v="0"/>
    <x v="0"/>
    <x v="0"/>
  </r>
  <r>
    <x v="5"/>
    <x v="21"/>
    <x v="21"/>
    <x v="14"/>
    <x v="5"/>
    <s v="Viru-Jaagupi piirkonna juht"/>
    <s v="Konteineri rent"/>
    <x v="162"/>
    <s v="Tudu 2 konteinerit (Ragn Sells, Jäätmekeskus)"/>
    <x v="4"/>
    <s v="Kinnistute, hoonete ja ruumide majandamiskulud"/>
    <n v="55"/>
    <x v="0"/>
    <x v="0"/>
    <x v="0"/>
    <x v="0"/>
  </r>
  <r>
    <x v="5"/>
    <x v="21"/>
    <x v="21"/>
    <x v="14"/>
    <x v="5"/>
    <s v="Viru-Jaagupi piirkonna juht"/>
    <s v="Liiv"/>
    <x v="14"/>
    <m/>
    <x v="4"/>
    <s v="Kinnistute, hoonete ja ruumide majandamiskulud"/>
    <n v="55"/>
    <x v="0"/>
    <x v="0"/>
    <x v="0"/>
    <x v="0"/>
  </r>
  <r>
    <x v="5"/>
    <x v="21"/>
    <x v="21"/>
    <x v="14"/>
    <x v="5"/>
    <s v="Viru-Jaagupi piirkonna juht"/>
    <s v="Tõrma kalmistu haldamine"/>
    <x v="163"/>
    <m/>
    <x v="4"/>
    <s v="Kinnistute, hoonete ja ruumide majandamiskulud"/>
    <n v="55"/>
    <x v="0"/>
    <x v="0"/>
    <x v="0"/>
    <x v="0"/>
  </r>
  <r>
    <x v="5"/>
    <x v="21"/>
    <x v="21"/>
    <x v="14"/>
    <x v="5"/>
    <s v="Viru-Jaagupi piirkonna juht"/>
    <s v="Simuna kalmistu haldamine"/>
    <x v="164"/>
    <m/>
    <x v="4"/>
    <s v="Kinnistute, hoonete ja ruumide majandamiskulud"/>
    <n v="55"/>
    <x v="0"/>
    <x v="0"/>
    <x v="0"/>
    <x v="0"/>
  </r>
  <r>
    <x v="5"/>
    <x v="21"/>
    <x v="21"/>
    <x v="14"/>
    <x v="5"/>
    <s v="Viru-Jaagupi piirkonna juht"/>
    <s v="Heakorravahendid"/>
    <x v="2"/>
    <s v="kärud, rehad, kastekannud jms"/>
    <x v="4"/>
    <s v="Kinnistute, hoonete ja ruumide majandamiskulud"/>
    <n v="55"/>
    <x v="0"/>
    <x v="0"/>
    <x v="0"/>
    <x v="0"/>
  </r>
  <r>
    <x v="5"/>
    <x v="21"/>
    <x v="21"/>
    <x v="14"/>
    <x v="5"/>
    <s v="Viru-Jaagupi piirkonna juht"/>
    <s v="Ohtlike puude langetus"/>
    <x v="115"/>
    <s v="Tudu "/>
    <x v="4"/>
    <s v="Kinnistute, hoonete ja ruumide majandamiskulud"/>
    <n v="55"/>
    <x v="0"/>
    <x v="0"/>
    <x v="0"/>
    <x v="0"/>
  </r>
  <r>
    <x v="5"/>
    <x v="21"/>
    <x v="21"/>
    <x v="14"/>
    <x v="5"/>
    <s v="Viru-Jaagupi piirkonna juht"/>
    <s v="Ohtlike puude langetus, pinnase tasandamine"/>
    <x v="115"/>
    <s v="Viru-Jaagupi"/>
    <x v="4"/>
    <s v="Kinnistute, hoonete ja ruumide majandamiskulud"/>
    <n v="55"/>
    <x v="0"/>
    <x v="0"/>
    <x v="0"/>
    <x v="0"/>
  </r>
  <r>
    <x v="5"/>
    <x v="21"/>
    <x v="21"/>
    <x v="14"/>
    <x v="5"/>
    <s v="Viru-Jaagupi piirkonna juht"/>
    <s v="Kütus seadmetele"/>
    <x v="2"/>
    <s v="traktor, trimmer, saag"/>
    <x v="4"/>
    <s v="Kinnistute, hoonete ja ruumide majandamiskulud"/>
    <n v="55"/>
    <x v="0"/>
    <x v="0"/>
    <x v="0"/>
    <x v="0"/>
  </r>
  <r>
    <x v="5"/>
    <x v="21"/>
    <x v="21"/>
    <x v="14"/>
    <x v="5"/>
    <s v="Viru-Jaagupi piirkonna juht"/>
    <s v="Viru-Jaagupi kabeli põrand"/>
    <x v="7"/>
    <m/>
    <x v="4"/>
    <s v="Kinnistute, hoonete ja ruumide majandamiskulud"/>
    <n v="55"/>
    <x v="0"/>
    <x v="0"/>
    <x v="0"/>
    <x v="0"/>
  </r>
  <r>
    <x v="5"/>
    <x v="21"/>
    <x v="21"/>
    <x v="14"/>
    <x v="5"/>
    <s v="Viru-Jaagupi piirkonna juht"/>
    <s v="Viru-Jaagupi kalmistu kiviaed"/>
    <x v="44"/>
    <m/>
    <x v="24"/>
    <s v="Rajatiste majandamiskulud"/>
    <n v="55"/>
    <x v="0"/>
    <x v="0"/>
    <x v="0"/>
    <x v="0"/>
  </r>
  <r>
    <x v="5"/>
    <x v="22"/>
    <x v="22"/>
    <x v="14"/>
    <x v="5"/>
    <s v="Keskkonna- ja kommunaalnõunik"/>
    <s v="Varjupaikade MTÜ püsitasu kohalikelt + muuda tasud"/>
    <x v="151"/>
    <m/>
    <x v="4"/>
    <s v="Kinnistute, hoonete ja ruumide majandamiskulud"/>
    <n v="55"/>
    <x v="0"/>
    <x v="0"/>
    <x v="0"/>
    <x v="0"/>
  </r>
  <r>
    <x v="5"/>
    <x v="22"/>
    <x v="22"/>
    <x v="14"/>
    <x v="5"/>
    <s v="Keskkonna- ja kommunaalnõunik"/>
    <s v="muud hulkuvate loomadega seotud kulud"/>
    <x v="165"/>
    <m/>
    <x v="4"/>
    <s v="Kinnistute, hoonete ja ruumide majandamiskulud"/>
    <n v="55"/>
    <x v="0"/>
    <x v="0"/>
    <x v="0"/>
    <x v="0"/>
  </r>
  <r>
    <x v="5"/>
    <x v="22"/>
    <x v="22"/>
    <x v="14"/>
    <x v="5"/>
    <s v="Keskkonna- ja kommunaalnõunik"/>
    <s v="Lemmikloomaregister SPIN TEK"/>
    <x v="166"/>
    <m/>
    <x v="5"/>
    <s v="Info- ja kommunikatsioonitehnoliigised kulud"/>
    <n v="55"/>
    <x v="0"/>
    <x v="0"/>
    <x v="0"/>
    <x v="0"/>
  </r>
  <r>
    <x v="6"/>
    <x v="23"/>
    <x v="23"/>
    <x v="15"/>
    <x v="6"/>
    <s v="Finantsosakond"/>
    <s v="Rakvere Haigla AS investeeringute osamakse"/>
    <x v="167"/>
    <m/>
    <x v="25"/>
    <s v="Sihtotstarbelised eraldised põhivara soetamiseks muudele residentidele"/>
    <n v="4502"/>
    <x v="1"/>
    <x v="9"/>
    <x v="12"/>
    <x v="2"/>
  </r>
  <r>
    <x v="6"/>
    <x v="23"/>
    <x v="23"/>
    <x v="15"/>
    <x v="6"/>
    <s v="Finantsosakond"/>
    <s v="Rakvere Haigla MTÜ liikmemaks"/>
    <x v="28"/>
    <m/>
    <x v="6"/>
    <s v="Liikmemaksud"/>
    <n v="452"/>
    <x v="1"/>
    <x v="1"/>
    <x v="1"/>
    <x v="0"/>
  </r>
  <r>
    <x v="6"/>
    <x v="23"/>
    <x v="23"/>
    <x v="15"/>
    <x v="6"/>
    <s v="Sotsiaalosakond"/>
    <s v="Piret Mets Väike-Maarja TK (Laekvere) kohvimasin"/>
    <x v="20"/>
    <m/>
    <x v="8"/>
    <s v="Inventari kulud, v.a infotehnoloogia ja kaitseotstarbelised kulud"/>
    <n v="55"/>
    <x v="0"/>
    <x v="0"/>
    <x v="0"/>
    <x v="0"/>
  </r>
  <r>
    <x v="6"/>
    <x v="23"/>
    <x v="23"/>
    <x v="15"/>
    <x v="6"/>
    <s v="Sotsiaalosakond"/>
    <s v="Piret Mets Väike-Maarja TK (Laekvere) Transpordikulu"/>
    <x v="163"/>
    <m/>
    <x v="1"/>
    <s v="Mitmesugused majanduskulud"/>
    <n v="55"/>
    <x v="0"/>
    <x v="0"/>
    <x v="0"/>
    <x v="0"/>
  </r>
  <r>
    <x v="6"/>
    <x v="23"/>
    <x v="23"/>
    <x v="15"/>
    <x v="6"/>
    <s v="Sotsiaalosakond"/>
    <s v="Vinni Tervisekeskusele helikindlad uksed"/>
    <x v="22"/>
    <m/>
    <x v="4"/>
    <s v="Kinnistute, hoonete ja ruumide majandamiskulud"/>
    <n v="55"/>
    <x v="0"/>
    <x v="0"/>
    <x v="0"/>
    <x v="0"/>
  </r>
  <r>
    <x v="7"/>
    <x v="24"/>
    <x v="24"/>
    <x v="16"/>
    <x v="7"/>
    <s v="Vallavalitsus"/>
    <s v="Toetus tegevuskuludeks"/>
    <x v="168"/>
    <s v="Vinni Spordikompl."/>
    <x v="23"/>
    <s v="Sihtotstarbelised eraldised muudele residentidele"/>
    <n v="4500"/>
    <x v="1"/>
    <x v="1"/>
    <x v="11"/>
    <x v="0"/>
  </r>
  <r>
    <x v="7"/>
    <x v="24"/>
    <x v="24"/>
    <x v="16"/>
    <x v="7"/>
    <s v="Vallavalitsus"/>
    <s v="Maaküttega seotud liisingmaksed"/>
    <x v="169"/>
    <s v="12x1520,33"/>
    <x v="25"/>
    <s v="Sihtotstarbelised eraldised põhivara soetamiseks muudele residentidele"/>
    <n v="4502"/>
    <x v="1"/>
    <x v="9"/>
    <x v="12"/>
    <x v="2"/>
  </r>
  <r>
    <x v="7"/>
    <x v="24"/>
    <x v="24"/>
    <x v="16"/>
    <x v="7"/>
    <s v="Vallavalitsus"/>
    <s v="Maaküttega seotud intressidemaksed"/>
    <x v="170"/>
    <s v="12x304,07"/>
    <x v="25"/>
    <s v="Sihtotstarbelised eraldised põhivara soetamiseks muudele residentidele"/>
    <n v="4502"/>
    <x v="1"/>
    <x v="9"/>
    <x v="12"/>
    <x v="2"/>
  </r>
  <r>
    <x v="7"/>
    <x v="24"/>
    <x v="24"/>
    <x v="16"/>
    <x v="7"/>
    <s v="Vallavalitsus"/>
    <s v="Maaküttega seotud kindlustusmaksed"/>
    <x v="171"/>
    <s v="12x149,29"/>
    <x v="25"/>
    <s v="Sihtotstarbelised eraldised põhivara soetamiseks muudele residentidele"/>
    <n v="4502"/>
    <x v="1"/>
    <x v="9"/>
    <x v="12"/>
    <x v="2"/>
  </r>
  <r>
    <x v="7"/>
    <x v="25"/>
    <x v="25"/>
    <x v="16"/>
    <x v="7"/>
    <s v="Muuga Spordihoone"/>
    <s v="bürootarbed"/>
    <x v="0"/>
    <m/>
    <x v="0"/>
    <s v="Administreerimiskulud"/>
    <n v="55"/>
    <x v="0"/>
    <x v="0"/>
    <x v="0"/>
    <x v="0"/>
  </r>
  <r>
    <x v="7"/>
    <x v="25"/>
    <x v="25"/>
    <x v="16"/>
    <x v="7"/>
    <s v="Muuga Spordihoone"/>
    <s v="tahmakasssetid, toonerid, tindikasseid"/>
    <x v="108"/>
    <m/>
    <x v="0"/>
    <s v="Administreerimiskulud"/>
    <n v="55"/>
    <x v="0"/>
    <x v="0"/>
    <x v="0"/>
    <x v="0"/>
  </r>
  <r>
    <x v="7"/>
    <x v="25"/>
    <x v="25"/>
    <x v="16"/>
    <x v="7"/>
    <s v="Muuga Spordihoone"/>
    <s v="Rent (Isikliku sõiduauto kulude hüvit.)"/>
    <x v="172"/>
    <m/>
    <x v="3"/>
    <s v="Sõidukite ülalpidamise kulud"/>
    <n v="55"/>
    <x v="0"/>
    <x v="0"/>
    <x v="0"/>
    <x v="0"/>
  </r>
  <r>
    <x v="7"/>
    <x v="25"/>
    <x v="25"/>
    <x v="16"/>
    <x v="7"/>
    <s v="Muuga Spordihoone"/>
    <s v="Telia internet, TV, lauatelefon"/>
    <x v="173"/>
    <m/>
    <x v="0"/>
    <s v="Administreerimiskulud"/>
    <n v="55"/>
    <x v="0"/>
    <x v="0"/>
    <x v="0"/>
    <x v="0"/>
  </r>
  <r>
    <x v="7"/>
    <x v="25"/>
    <x v="25"/>
    <x v="16"/>
    <x v="7"/>
    <s v="Muuga Spordihoone"/>
    <s v="Töötajate tervisekontroll, läbivaatus"/>
    <x v="1"/>
    <m/>
    <x v="9"/>
    <s v="Meditsiinikulud ja hügieenitarbed"/>
    <n v="55"/>
    <x v="0"/>
    <x v="0"/>
    <x v="0"/>
    <x v="0"/>
  </r>
  <r>
    <x v="7"/>
    <x v="25"/>
    <x v="25"/>
    <x v="16"/>
    <x v="7"/>
    <s v="Muuga Spordihoone"/>
    <s v="Ürituste korraldamise kulud"/>
    <x v="108"/>
    <m/>
    <x v="22"/>
    <s v="Kommunikatsiooni-, kultuuri- ja vaba aja sisustamise kulud"/>
    <n v="55"/>
    <x v="0"/>
    <x v="0"/>
    <x v="0"/>
    <x v="0"/>
  </r>
  <r>
    <x v="7"/>
    <x v="25"/>
    <x v="25"/>
    <x v="16"/>
    <x v="7"/>
    <s v="Muuga Spordihoone"/>
    <s v="osavõtutasud"/>
    <x v="41"/>
    <m/>
    <x v="22"/>
    <s v="Kommunikatsiooni-, kultuuri- ja vaba aja sisustamise kulud"/>
    <n v="55"/>
    <x v="0"/>
    <x v="0"/>
    <x v="0"/>
    <x v="0"/>
  </r>
  <r>
    <x v="7"/>
    <x v="25"/>
    <x v="25"/>
    <x v="16"/>
    <x v="7"/>
    <s v="Muuga Spordihoone"/>
    <s v="Spordiüritused"/>
    <x v="65"/>
    <m/>
    <x v="22"/>
    <s v="Kommunikatsiooni-, kultuuri- ja vaba aja sisustamise kulud"/>
    <n v="55"/>
    <x v="0"/>
    <x v="0"/>
    <x v="0"/>
    <x v="0"/>
  </r>
  <r>
    <x v="7"/>
    <x v="25"/>
    <x v="25"/>
    <x v="16"/>
    <x v="7"/>
    <s v="Muuga Spordihoone"/>
    <s v="Transpordi kasutus"/>
    <x v="108"/>
    <m/>
    <x v="22"/>
    <s v="Kommunikatsiooni-, kultuuri- ja vaba aja sisustamise kulud"/>
    <n v="55"/>
    <x v="0"/>
    <x v="0"/>
    <x v="0"/>
    <x v="0"/>
  </r>
  <r>
    <x v="7"/>
    <x v="25"/>
    <x v="25"/>
    <x v="16"/>
    <x v="7"/>
    <s v="Muuga Spordihoone"/>
    <s v="Elektri kulu"/>
    <x v="44"/>
    <m/>
    <x v="4"/>
    <s v="Kinnistute, hoonete ja ruumide majandamiskulud"/>
    <n v="55"/>
    <x v="0"/>
    <x v="0"/>
    <x v="0"/>
    <x v="0"/>
  </r>
  <r>
    <x v="7"/>
    <x v="25"/>
    <x v="25"/>
    <x v="16"/>
    <x v="7"/>
    <s v="Muuga Spordihoone"/>
    <s v="elektrikäitlemislepingu kulu"/>
    <x v="174"/>
    <m/>
    <x v="4"/>
    <s v="Kinnistute, hoonete ja ruumide majandamiskulud"/>
    <n v="55"/>
    <x v="0"/>
    <x v="0"/>
    <x v="0"/>
    <x v="0"/>
  </r>
  <r>
    <x v="7"/>
    <x v="25"/>
    <x v="25"/>
    <x v="16"/>
    <x v="7"/>
    <s v="Muuga Spordihoone"/>
    <s v="korrashoiu- ja pisiremondi materjalid"/>
    <x v="66"/>
    <m/>
    <x v="4"/>
    <s v="Kinnistute, hoonete ja ruumide majandamiskulud"/>
    <n v="55"/>
    <x v="0"/>
    <x v="0"/>
    <x v="0"/>
    <x v="0"/>
  </r>
  <r>
    <x v="7"/>
    <x v="25"/>
    <x v="25"/>
    <x v="16"/>
    <x v="7"/>
    <s v="Muuga Spordihoone"/>
    <s v="korrashoiu- ja prügioveoteenused"/>
    <x v="103"/>
    <m/>
    <x v="4"/>
    <s v="Kinnistute, hoonete ja ruumide majandamiskulud"/>
    <n v="55"/>
    <x v="0"/>
    <x v="0"/>
    <x v="0"/>
    <x v="0"/>
  </r>
  <r>
    <x v="7"/>
    <x v="25"/>
    <x v="25"/>
    <x v="16"/>
    <x v="7"/>
    <s v="Muuga Spordihoone"/>
    <s v="Vesi- ja kanalisatsioon"/>
    <x v="175"/>
    <m/>
    <x v="4"/>
    <s v="Kinnistute, hoonete ja ruumide majandamiskulud"/>
    <n v="55"/>
    <x v="0"/>
    <x v="0"/>
    <x v="0"/>
    <x v="0"/>
  </r>
  <r>
    <x v="7"/>
    <x v="25"/>
    <x v="25"/>
    <x v="16"/>
    <x v="7"/>
    <s v="Muuga Spordihoone"/>
    <s v="remonttööd"/>
    <x v="176"/>
    <m/>
    <x v="4"/>
    <s v="Kinnistute, hoonete ja ruumide majandamiskulud"/>
    <n v="55"/>
    <x v="0"/>
    <x v="0"/>
    <x v="0"/>
    <x v="0"/>
  </r>
  <r>
    <x v="7"/>
    <x v="25"/>
    <x v="25"/>
    <x v="16"/>
    <x v="7"/>
    <s v="Muuga Spordihoone"/>
    <s v="ATS signalisatsioon"/>
    <x v="177"/>
    <m/>
    <x v="4"/>
    <s v="Kinnistute, hoonete ja ruumide majandamiskulud"/>
    <n v="55"/>
    <x v="0"/>
    <x v="0"/>
    <x v="0"/>
    <x v="0"/>
  </r>
  <r>
    <x v="7"/>
    <x v="25"/>
    <x v="25"/>
    <x v="16"/>
    <x v="7"/>
    <s v="Muuga Spordihoone"/>
    <s v="istikud"/>
    <x v="124"/>
    <m/>
    <x v="4"/>
    <s v="Kinnistute, hoonete ja ruumide majandamiskulud"/>
    <n v="55"/>
    <x v="0"/>
    <x v="0"/>
    <x v="0"/>
    <x v="0"/>
  </r>
  <r>
    <x v="7"/>
    <x v="25"/>
    <x v="25"/>
    <x v="16"/>
    <x v="7"/>
    <s v="Muuga Spordihoone"/>
    <s v="Lipud,vimplid, sümboolika"/>
    <x v="120"/>
    <m/>
    <x v="4"/>
    <s v="Kinnistute, hoonete ja ruumide majandamiskulud"/>
    <n v="55"/>
    <x v="0"/>
    <x v="0"/>
    <x v="0"/>
    <x v="0"/>
  </r>
  <r>
    <x v="7"/>
    <x v="25"/>
    <x v="25"/>
    <x v="16"/>
    <x v="7"/>
    <s v="Muuga Spordihoone"/>
    <s v="infotehnoloogiline riist-ja tarkvara"/>
    <x v="32"/>
    <m/>
    <x v="5"/>
    <s v="Info- ja kommunikatsioonitehnoliigised kulud"/>
    <n v="55"/>
    <x v="0"/>
    <x v="0"/>
    <x v="0"/>
    <x v="0"/>
  </r>
  <r>
    <x v="7"/>
    <x v="26"/>
    <x v="26"/>
    <x v="16"/>
    <x v="7"/>
    <s v="Arendusnõunik"/>
    <s v="sisseostetud teenus (kevad- ja järelhooldus)"/>
    <x v="123"/>
    <m/>
    <x v="4"/>
    <s v="Kinnistute, hoonete ja ruumide majandamiskulud"/>
    <n v="55"/>
    <x v="0"/>
    <x v="0"/>
    <x v="0"/>
    <x v="0"/>
  </r>
  <r>
    <x v="7"/>
    <x v="26"/>
    <x v="26"/>
    <x v="16"/>
    <x v="7"/>
    <s v="Arendusnõunik"/>
    <s v="väetis"/>
    <x v="10"/>
    <m/>
    <x v="4"/>
    <s v="Kinnistute, hoonete ja ruumide majandamiskulud"/>
    <n v="55"/>
    <x v="0"/>
    <x v="0"/>
    <x v="0"/>
    <x v="0"/>
  </r>
  <r>
    <x v="7"/>
    <x v="26"/>
    <x v="26"/>
    <x v="16"/>
    <x v="7"/>
    <s v="Arendusnõunik"/>
    <s v="kütus"/>
    <x v="32"/>
    <m/>
    <x v="4"/>
    <s v="Kinnistute, hoonete ja ruumide majandamiskulud"/>
    <n v="55"/>
    <x v="0"/>
    <x v="0"/>
    <x v="0"/>
    <x v="0"/>
  </r>
  <r>
    <x v="7"/>
    <x v="26"/>
    <x v="26"/>
    <x v="16"/>
    <x v="7"/>
    <s v="Arendusnõunik"/>
    <s v="töövahendid, remont"/>
    <x v="178"/>
    <m/>
    <x v="4"/>
    <s v="Kinnistute, hoonete ja ruumide majandamiskulud"/>
    <n v="55"/>
    <x v="0"/>
    <x v="0"/>
    <x v="0"/>
    <x v="0"/>
  </r>
  <r>
    <x v="7"/>
    <x v="26"/>
    <x v="26"/>
    <x v="16"/>
    <x v="7"/>
    <s v="Arendusnõunik"/>
    <s v="side (Telia)"/>
    <x v="179"/>
    <m/>
    <x v="4"/>
    <s v="Kinnistute, hoonete ja ruumide majandamiskulud"/>
    <n v="55"/>
    <x v="0"/>
    <x v="0"/>
    <x v="0"/>
    <x v="0"/>
  </r>
  <r>
    <x v="7"/>
    <x v="27"/>
    <x v="27"/>
    <x v="16"/>
    <x v="7"/>
    <s v="Noorsoo- ja spordinõunik"/>
    <s v="Toetused sportlastele, spordiüritused, kaasfinantseeringud, valla parimate sportlaste tunnustamine. (jooksvalt 2020)"/>
    <x v="125"/>
    <m/>
    <x v="29"/>
    <s v="Sihtotstarbelised eraldised jooksvateks kuludeks"/>
    <n v="4500"/>
    <x v="1"/>
    <x v="1"/>
    <x v="11"/>
    <x v="0"/>
  </r>
  <r>
    <x v="7"/>
    <x v="28"/>
    <x v="28"/>
    <x v="16"/>
    <x v="7"/>
    <s v="Noorsoo- ja spordinõunik"/>
    <s v="Valla koolide ja lasteaedade  2020 aasta suusatamise-ja kergejõustikuvõistlused, spordipäevad."/>
    <x v="146"/>
    <m/>
    <x v="1"/>
    <s v="Mitmesugused majanduskulud"/>
    <n v="55"/>
    <x v="0"/>
    <x v="0"/>
    <x v="0"/>
    <x v="0"/>
  </r>
  <r>
    <x v="7"/>
    <x v="28"/>
    <x v="28"/>
    <x v="16"/>
    <x v="7"/>
    <s v="Noorsoo- ja spordinõunik"/>
    <s v="Valla päevadel spordivõistluste korraldamine"/>
    <x v="14"/>
    <m/>
    <x v="1"/>
    <s v="Mitmesugused majanduskulud"/>
    <n v="55"/>
    <x v="0"/>
    <x v="0"/>
    <x v="0"/>
    <x v="0"/>
  </r>
  <r>
    <x v="7"/>
    <x v="28"/>
    <x v="28"/>
    <x v="16"/>
    <x v="7"/>
    <s v="Noorsoo- ja spordinõunik"/>
    <s v="Eesti 2020 aasta omavalitsuste tali-ja suvemängudel osalemine "/>
    <x v="114"/>
    <m/>
    <x v="1"/>
    <s v="Mitmesugused majanduskulud"/>
    <n v="55"/>
    <x v="0"/>
    <x v="0"/>
    <x v="0"/>
    <x v="0"/>
  </r>
  <r>
    <x v="7"/>
    <x v="29"/>
    <x v="29"/>
    <x v="16"/>
    <x v="7"/>
    <s v="Noorsoo- ja spordinõunik"/>
    <s v="Vinni Spordikompleksis elanike tervise ja spordivõimaluste tagamine (lasteaiad, koolid jne.)"/>
    <x v="152"/>
    <m/>
    <x v="1"/>
    <s v="Mitmesugused majanduskulud"/>
    <n v="55"/>
    <x v="0"/>
    <x v="0"/>
    <x v="0"/>
    <x v="0"/>
  </r>
  <r>
    <x v="7"/>
    <x v="29"/>
    <x v="29"/>
    <x v="16"/>
    <x v="7"/>
    <s v="Noorsoo- ja spordinõunik"/>
    <s v="Vinni Spordikompleksis elanike tervise ja spordivõimaluste tagamine (elanikkond)"/>
    <x v="180"/>
    <m/>
    <x v="1"/>
    <s v="Mitmesugused majanduskulud"/>
    <n v="55"/>
    <x v="0"/>
    <x v="0"/>
    <x v="0"/>
    <x v="0"/>
  </r>
  <r>
    <x v="7"/>
    <x v="30"/>
    <x v="30"/>
    <x v="16"/>
    <x v="7"/>
    <s v="Noorsoo- ja spordinõunik"/>
    <s v="Spordiseltside, klubide, mtü-de, andekate sportlaste ja spordiürituste korraldamise toetused"/>
    <x v="181"/>
    <m/>
    <x v="29"/>
    <s v="Sihtotstarbelised eraldised jooksvateks kuludeks"/>
    <n v="4500"/>
    <x v="1"/>
    <x v="1"/>
    <x v="11"/>
    <x v="0"/>
  </r>
  <r>
    <x v="7"/>
    <x v="31"/>
    <x v="31"/>
    <x v="17"/>
    <x v="7"/>
    <s v="Noorsoo- ja spordinõunik"/>
    <s v="Noorte volikogu töö korraldamine, arendamine            "/>
    <x v="7"/>
    <m/>
    <x v="1"/>
    <s v="Mitmesugused majanduskulud"/>
    <n v="55"/>
    <x v="0"/>
    <x v="0"/>
    <x v="0"/>
    <x v="0"/>
  </r>
  <r>
    <x v="7"/>
    <x v="31"/>
    <x v="31"/>
    <x v="17"/>
    <x v="7"/>
    <s v="Noorsoo- ja spordinõunik"/>
    <s v="Isikliku sõiduauto komp."/>
    <x v="74"/>
    <m/>
    <x v="3"/>
    <s v="Sõidukite ülalpidamise kulud"/>
    <n v="55"/>
    <x v="0"/>
    <x v="0"/>
    <x v="0"/>
    <x v="0"/>
  </r>
  <r>
    <x v="7"/>
    <x v="31"/>
    <x v="31"/>
    <x v="17"/>
    <x v="7"/>
    <s v="Noorsoo- ja spordinõunik"/>
    <s v="Sideteenused"/>
    <x v="182"/>
    <m/>
    <x v="0"/>
    <s v="Administreerimiskulud"/>
    <n v="55"/>
    <x v="0"/>
    <x v="0"/>
    <x v="0"/>
    <x v="0"/>
  </r>
  <r>
    <x v="7"/>
    <x v="31"/>
    <x v="31"/>
    <x v="17"/>
    <x v="7"/>
    <s v="Noorsoo- ja spordinõunik"/>
    <s v="Seminaridel osalemine"/>
    <x v="120"/>
    <m/>
    <x v="2"/>
    <s v="Koolituskulud"/>
    <n v="55"/>
    <x v="0"/>
    <x v="0"/>
    <x v="0"/>
    <x v="0"/>
  </r>
  <r>
    <x v="7"/>
    <x v="31"/>
    <x v="31"/>
    <x v="17"/>
    <x v="7"/>
    <s v="Noorsoo- ja spordinõunik"/>
    <s v="Lauatennise laud Tudu kooli"/>
    <x v="66"/>
    <s v="esialgu taotles vahendeid selle soetuseks Tudu Hariduse ja Spordiselts MTÜ"/>
    <x v="8"/>
    <s v="Inventari kulud, v.a infotehnoloogia ja kaitseotstarbelised kulud"/>
    <n v="55"/>
    <x v="0"/>
    <x v="0"/>
    <x v="0"/>
    <x v="0"/>
  </r>
  <r>
    <x v="7"/>
    <x v="32"/>
    <x v="32"/>
    <x v="17"/>
    <x v="7"/>
    <s v="Noorsoo- ja spordinõunik"/>
    <s v="Noorsoo projektide kaasfinantseerimised"/>
    <x v="114"/>
    <m/>
    <x v="29"/>
    <s v="Sihtotstarbelised eraldised jooksvateks kuludeks"/>
    <n v="4500"/>
    <x v="1"/>
    <x v="1"/>
    <x v="11"/>
    <x v="0"/>
  </r>
  <r>
    <x v="7"/>
    <x v="33"/>
    <x v="33"/>
    <x v="17"/>
    <x v="7"/>
    <s v="Noorsoo- ja spordinõunik"/>
    <s v="Laste töö- ja puhkelaagri toitlustuskulud"/>
    <x v="10"/>
    <m/>
    <x v="30"/>
    <s v="Toiduained ja toitlustusteenused"/>
    <n v="55"/>
    <x v="0"/>
    <x v="0"/>
    <x v="0"/>
    <x v="0"/>
  </r>
  <r>
    <x v="7"/>
    <x v="33"/>
    <x v="33"/>
    <x v="17"/>
    <x v="7"/>
    <s v="Noorsoo- ja spordinõunik"/>
    <s v="Laste töö- ja puhkelaagri elektrikulud"/>
    <x v="66"/>
    <m/>
    <x v="4"/>
    <s v="Kinnistute, hoonete ja ruumide majandamiskulud"/>
    <n v="55"/>
    <x v="0"/>
    <x v="0"/>
    <x v="0"/>
    <x v="0"/>
  </r>
  <r>
    <x v="7"/>
    <x v="34"/>
    <x v="34"/>
    <x v="17"/>
    <x v="7"/>
    <s v="Noorsoo- ja spordinõunik"/>
    <s v="Vinni Valla Noored MTÜ"/>
    <x v="183"/>
    <m/>
    <x v="29"/>
    <s v="Sihtotstarbelised eraldised jooksvateks kuludeks"/>
    <n v="4500"/>
    <x v="1"/>
    <x v="1"/>
    <x v="11"/>
    <x v="0"/>
  </r>
  <r>
    <x v="7"/>
    <x v="35"/>
    <x v="35"/>
    <x v="18"/>
    <x v="7"/>
    <s v="Vallavanem"/>
    <s v="Vinni Vald 30"/>
    <x v="148"/>
    <m/>
    <x v="22"/>
    <s v="Kommunikatsiooni-, kultuuri- ja vaba aja sisustamise kulud"/>
    <n v="55"/>
    <x v="0"/>
    <x v="0"/>
    <x v="0"/>
    <x v="0"/>
  </r>
  <r>
    <x v="7"/>
    <x v="35"/>
    <x v="35"/>
    <x v="18"/>
    <x v="7"/>
    <s v="Vallavanem"/>
    <s v="Vabariigi aastapäev"/>
    <x v="22"/>
    <m/>
    <x v="22"/>
    <s v="Kommunikatsiooni-, kultuuri- ja vaba aja sisustamise kulud"/>
    <n v="55"/>
    <x v="0"/>
    <x v="0"/>
    <x v="0"/>
    <x v="0"/>
  </r>
  <r>
    <x v="7"/>
    <x v="35"/>
    <x v="35"/>
    <x v="18"/>
    <x v="7"/>
    <s v="Pajusti klubi"/>
    <s v="Vinni Filharmoonikud, advendikingitus"/>
    <x v="98"/>
    <m/>
    <x v="22"/>
    <s v="Kommunikatsiooni-, kultuuri- ja vaba aja sisustamise kulud"/>
    <n v="55"/>
    <x v="0"/>
    <x v="0"/>
    <x v="0"/>
    <x v="0"/>
  </r>
  <r>
    <x v="7"/>
    <x v="35"/>
    <x v="35"/>
    <x v="18"/>
    <x v="7"/>
    <s v="Vallavanem"/>
    <s v="Töötajate juubelid"/>
    <x v="10"/>
    <m/>
    <x v="22"/>
    <s v="Kommunikatsiooni-, kultuuri- ja vaba aja sisustamise kulud"/>
    <n v="55"/>
    <x v="0"/>
    <x v="0"/>
    <x v="0"/>
    <x v="0"/>
  </r>
  <r>
    <x v="7"/>
    <x v="36"/>
    <x v="36"/>
    <x v="18"/>
    <x v="7"/>
    <s v="Kultuurinõunik"/>
    <s v="Kultuuri MTÜ-de toetused"/>
    <x v="184"/>
    <m/>
    <x v="23"/>
    <s v="Sihtotstarbelised eraldised muudele residentidele"/>
    <n v="4500"/>
    <x v="1"/>
    <x v="1"/>
    <x v="11"/>
    <x v="0"/>
  </r>
  <r>
    <x v="7"/>
    <x v="36"/>
    <x v="36"/>
    <x v="18"/>
    <x v="7"/>
    <s v="Kultuurinõunik"/>
    <s v="Kultuuri MTÜ-de toetuste reserv"/>
    <x v="3"/>
    <s v="10% kultuuri MTÜ-de kogumahust"/>
    <x v="23"/>
    <s v="Sihtotstarbelised eraldised muudele residentidele"/>
    <n v="4500"/>
    <x v="1"/>
    <x v="1"/>
    <x v="11"/>
    <x v="0"/>
  </r>
  <r>
    <x v="7"/>
    <x v="37"/>
    <x v="37"/>
    <x v="18"/>
    <x v="7"/>
    <s v="Ehitusnõunik"/>
    <s v="Muud kulud"/>
    <x v="10"/>
    <m/>
    <x v="4"/>
    <s v="Kinnistute, hoonete ja ruumide majandamiskulud"/>
    <n v="55"/>
    <x v="0"/>
    <x v="0"/>
    <x v="0"/>
    <x v="0"/>
  </r>
  <r>
    <x v="7"/>
    <x v="37"/>
    <x v="37"/>
    <x v="18"/>
    <x v="7"/>
    <s v="Ehitusnõunik"/>
    <s v="Elekter"/>
    <x v="123"/>
    <m/>
    <x v="24"/>
    <s v="Rajatiste majandamiskulud"/>
    <n v="55"/>
    <x v="0"/>
    <x v="0"/>
    <x v="0"/>
    <x v="0"/>
  </r>
  <r>
    <x v="7"/>
    <x v="37"/>
    <x v="37"/>
    <x v="18"/>
    <x v="7"/>
    <s v="Ehitusnõunik"/>
    <s v="Laekvere kergliiklustee"/>
    <x v="45"/>
    <m/>
    <x v="12"/>
    <s v="Rajatiste ja hoonete soetamine ja renoveerimine"/>
    <n v="15"/>
    <x v="3"/>
    <x v="3"/>
    <x v="3"/>
    <x v="2"/>
  </r>
  <r>
    <x v="7"/>
    <x v="37"/>
    <x v="37"/>
    <x v="18"/>
    <x v="7"/>
    <s v="Ehitusnõunik"/>
    <s v="Viru-Jaagupi – Kannastiku kergliiklustee"/>
    <x v="185"/>
    <m/>
    <x v="12"/>
    <s v="Rajatiste ja hoonete soetamine ja renoveerimine"/>
    <n v="15"/>
    <x v="3"/>
    <x v="3"/>
    <x v="3"/>
    <x v="2"/>
  </r>
  <r>
    <x v="7"/>
    <x v="38"/>
    <x v="38"/>
    <x v="18"/>
    <x v="7"/>
    <s v="Pajusti klubi"/>
    <s v="Vilde kirjanduspreemia"/>
    <x v="14"/>
    <m/>
    <x v="23"/>
    <s v="Sihtotstarbelised eraldised muudele residentidele"/>
    <n v="4500"/>
    <x v="1"/>
    <x v="1"/>
    <x v="11"/>
    <x v="0"/>
  </r>
  <r>
    <x v="7"/>
    <x v="38"/>
    <x v="38"/>
    <x v="18"/>
    <x v="7"/>
    <s v="Pajusti klubi"/>
    <s v="Raamatud, lilled, külaliste vastuvõtt jms"/>
    <x v="14"/>
    <m/>
    <x v="0"/>
    <s v="Administreerimiskulud"/>
    <n v="55"/>
    <x v="0"/>
    <x v="0"/>
    <x v="0"/>
    <x v="0"/>
  </r>
  <r>
    <x v="7"/>
    <x v="39"/>
    <x v="39"/>
    <x v="18"/>
    <x v="7"/>
    <s v="Kultuurinõunik"/>
    <s v="Kultuuri projektide kaasfinantseerimised 2020.a"/>
    <x v="125"/>
    <m/>
    <x v="23"/>
    <s v="Sihtotstarbelised eraldised muudele residentidele"/>
    <n v="4500"/>
    <x v="1"/>
    <x v="1"/>
    <x v="11"/>
    <x v="0"/>
  </r>
  <r>
    <x v="7"/>
    <x v="40"/>
    <x v="40"/>
    <x v="19"/>
    <x v="7"/>
    <s v="Vinni-Pajusti raamatukogu"/>
    <s v="Soojus"/>
    <x v="151"/>
    <m/>
    <x v="4"/>
    <s v="Kinnistute, hoonete ja ruumide majandamiskulud"/>
    <n v="55"/>
    <x v="0"/>
    <x v="0"/>
    <x v="0"/>
    <x v="0"/>
  </r>
  <r>
    <x v="7"/>
    <x v="40"/>
    <x v="40"/>
    <x v="19"/>
    <x v="7"/>
    <s v="Vinni-Pajusti raamatukogu"/>
    <s v="Elekter"/>
    <x v="7"/>
    <m/>
    <x v="4"/>
    <s v="Kinnistute, hoonete ja ruumide majandamiskulud"/>
    <n v="55"/>
    <x v="0"/>
    <x v="0"/>
    <x v="0"/>
    <x v="0"/>
  </r>
  <r>
    <x v="7"/>
    <x v="40"/>
    <x v="40"/>
    <x v="19"/>
    <x v="7"/>
    <s v="Vinni-Pajusti raamatukogu"/>
    <s v="Vesi"/>
    <x v="11"/>
    <m/>
    <x v="4"/>
    <s v="Kinnistute, hoonete ja ruumide majandamiskulud"/>
    <n v="55"/>
    <x v="0"/>
    <x v="0"/>
    <x v="0"/>
    <x v="0"/>
  </r>
  <r>
    <x v="7"/>
    <x v="40"/>
    <x v="40"/>
    <x v="19"/>
    <x v="7"/>
    <s v="Vinni-Pajusti raamatukogu"/>
    <s v="Hooldusvahendid, tualettpaber"/>
    <x v="41"/>
    <m/>
    <x v="4"/>
    <s v="Kinnistute, hoonete ja ruumide majandamiskulud"/>
    <n v="55"/>
    <x v="0"/>
    <x v="0"/>
    <x v="0"/>
    <x v="0"/>
  </r>
  <r>
    <x v="7"/>
    <x v="40"/>
    <x v="40"/>
    <x v="19"/>
    <x v="7"/>
    <s v="Vinni-Pajusti raamatukogu"/>
    <s v="Prügi"/>
    <x v="0"/>
    <s v="200l -rk oma, õues 600l -küla oma, meie eelarves"/>
    <x v="4"/>
    <s v="Kinnistute, hoonete ja ruumide majandamiskulud"/>
    <n v="55"/>
    <x v="0"/>
    <x v="0"/>
    <x v="0"/>
    <x v="0"/>
  </r>
  <r>
    <x v="7"/>
    <x v="40"/>
    <x v="40"/>
    <x v="19"/>
    <x v="7"/>
    <s v="Vinni-Pajusti raamatukogu"/>
    <s v="Vaip"/>
    <x v="0"/>
    <m/>
    <x v="4"/>
    <s v="Kinnistute, hoonete ja ruumide majandamiskulud"/>
    <n v="55"/>
    <x v="0"/>
    <x v="0"/>
    <x v="0"/>
    <x v="0"/>
  </r>
  <r>
    <x v="7"/>
    <x v="40"/>
    <x v="40"/>
    <x v="19"/>
    <x v="7"/>
    <s v="Vinni-Pajusti raamatukogu"/>
    <s v="Paber"/>
    <x v="0"/>
    <m/>
    <x v="0"/>
    <s v="Administreerimiskulud"/>
    <n v="55"/>
    <x v="0"/>
    <x v="0"/>
    <x v="0"/>
    <x v="0"/>
  </r>
  <r>
    <x v="7"/>
    <x v="40"/>
    <x v="40"/>
    <x v="19"/>
    <x v="7"/>
    <s v="Vinni-Pajusti raamatukogu"/>
    <s v="Raamatukile"/>
    <x v="186"/>
    <m/>
    <x v="0"/>
    <s v="Administreerimiskulud"/>
    <n v="55"/>
    <x v="0"/>
    <x v="0"/>
    <x v="0"/>
    <x v="0"/>
  </r>
  <r>
    <x v="7"/>
    <x v="40"/>
    <x v="40"/>
    <x v="19"/>
    <x v="7"/>
    <s v="Vinni-Pajusti raamatukogu"/>
    <s v="Raamatuetiketid"/>
    <x v="11"/>
    <m/>
    <x v="0"/>
    <s v="Administreerimiskulud"/>
    <n v="55"/>
    <x v="0"/>
    <x v="0"/>
    <x v="0"/>
    <x v="0"/>
  </r>
  <r>
    <x v="7"/>
    <x v="40"/>
    <x v="40"/>
    <x v="19"/>
    <x v="7"/>
    <s v="Vinni-Pajusti raamatukogu"/>
    <s v="Perioodika"/>
    <x v="7"/>
    <m/>
    <x v="0"/>
    <s v="Administreerimiskulud"/>
    <n v="55"/>
    <x v="0"/>
    <x v="0"/>
    <x v="0"/>
    <x v="0"/>
  </r>
  <r>
    <x v="7"/>
    <x v="40"/>
    <x v="40"/>
    <x v="19"/>
    <x v="7"/>
    <s v="Vinni-Pajusti raamatukogu"/>
    <s v="Tooner"/>
    <x v="120"/>
    <m/>
    <x v="0"/>
    <s v="Administreerimiskulud"/>
    <n v="55"/>
    <x v="0"/>
    <x v="0"/>
    <x v="0"/>
    <x v="0"/>
  </r>
  <r>
    <x v="7"/>
    <x v="40"/>
    <x v="40"/>
    <x v="19"/>
    <x v="7"/>
    <s v="Vinni-Pajusti raamatukogu"/>
    <s v="Telefon+internet"/>
    <x v="146"/>
    <m/>
    <x v="0"/>
    <s v="Administreerimiskulud"/>
    <n v="55"/>
    <x v="0"/>
    <x v="0"/>
    <x v="0"/>
    <x v="0"/>
  </r>
  <r>
    <x v="7"/>
    <x v="40"/>
    <x v="40"/>
    <x v="19"/>
    <x v="7"/>
    <s v="Vinni-Pajusti raamatukogu"/>
    <s v="Markerid, pastakad, kleepsud, märkmepaber jmt"/>
    <x v="0"/>
    <m/>
    <x v="0"/>
    <s v="Administreerimiskulud"/>
    <n v="55"/>
    <x v="0"/>
    <x v="0"/>
    <x v="0"/>
    <x v="0"/>
  </r>
  <r>
    <x v="7"/>
    <x v="40"/>
    <x v="40"/>
    <x v="19"/>
    <x v="7"/>
    <s v="Vinni-Pajusti raamatukogu"/>
    <s v="Koolituskulud"/>
    <x v="2"/>
    <s v="Muud koolitused (sh Lääne-Virumaa KRK korraldatud)"/>
    <x v="2"/>
    <s v="Koolituskulud"/>
    <n v="55"/>
    <x v="0"/>
    <x v="0"/>
    <x v="0"/>
    <x v="0"/>
  </r>
  <r>
    <x v="7"/>
    <x v="40"/>
    <x v="40"/>
    <x v="19"/>
    <x v="7"/>
    <s v="Vinni-Pajusti raamatukogu"/>
    <s v="Lähetuskulud"/>
    <x v="0"/>
    <s v="Laager Saaremaal; õppereis Soome Oodi raamatukokku"/>
    <x v="2"/>
    <s v="Koolituskulud"/>
    <n v="55"/>
    <x v="0"/>
    <x v="0"/>
    <x v="0"/>
    <x v="0"/>
  </r>
  <r>
    <x v="7"/>
    <x v="40"/>
    <x v="40"/>
    <x v="19"/>
    <x v="7"/>
    <s v="Vinni-Pajusti raamatukogu"/>
    <s v="Tulekahju signalisatsiooni hooldus"/>
    <x v="187"/>
    <m/>
    <x v="4"/>
    <s v="Kinnistute, hoonete ja ruumide majandamiskulud"/>
    <n v="55"/>
    <x v="0"/>
    <x v="0"/>
    <x v="0"/>
    <x v="0"/>
  </r>
  <r>
    <x v="7"/>
    <x v="40"/>
    <x v="40"/>
    <x v="19"/>
    <x v="7"/>
    <s v="Vinni-Pajusti raamatukogu"/>
    <s v="Kindlustus"/>
    <x v="188"/>
    <m/>
    <x v="4"/>
    <s v="Kinnistute, hoonete ja ruumide majandamiskulud"/>
    <n v="55"/>
    <x v="0"/>
    <x v="0"/>
    <x v="0"/>
    <x v="0"/>
  </r>
  <r>
    <x v="7"/>
    <x v="40"/>
    <x v="40"/>
    <x v="19"/>
    <x v="7"/>
    <s v="Vinni-Pajusti raamatukogu"/>
    <s v="Valgustus, lampide vahetus"/>
    <x v="41"/>
    <m/>
    <x v="4"/>
    <s v="Kinnistute, hoonete ja ruumide majandamiskulud"/>
    <n v="55"/>
    <x v="0"/>
    <x v="0"/>
    <x v="0"/>
    <x v="0"/>
  </r>
  <r>
    <x v="7"/>
    <x v="40"/>
    <x v="40"/>
    <x v="19"/>
    <x v="7"/>
    <s v="Vinni-Pajusti raamatukogu"/>
    <s v="Autohüvitis "/>
    <x v="108"/>
    <s v="Kadilas laenutamine iga nädal 1x + linnast raamatute toomine, majandustarvikute toomine"/>
    <x v="3"/>
    <s v="Sõidukite ülalpidamise kulud"/>
    <n v="55"/>
    <x v="0"/>
    <x v="0"/>
    <x v="0"/>
    <x v="0"/>
  </r>
  <r>
    <x v="7"/>
    <x v="40"/>
    <x v="40"/>
    <x v="19"/>
    <x v="7"/>
    <s v="Vinni-Pajusti raamatukogu"/>
    <s v="Töötervishoid"/>
    <x v="41"/>
    <m/>
    <x v="9"/>
    <s v="Meditsiinikulud ja hügieenitarbed"/>
    <n v="55"/>
    <x v="0"/>
    <x v="0"/>
    <x v="0"/>
    <x v="0"/>
  </r>
  <r>
    <x v="7"/>
    <x v="40"/>
    <x v="40"/>
    <x v="19"/>
    <x v="7"/>
    <s v="Vinni-Pajusti raamatukogu"/>
    <s v="Raamatud"/>
    <x v="9"/>
    <m/>
    <x v="10"/>
    <s v="Teavikud ja kunstiesemed"/>
    <n v="55"/>
    <x v="0"/>
    <x v="0"/>
    <x v="0"/>
    <x v="0"/>
  </r>
  <r>
    <x v="7"/>
    <x v="40"/>
    <x v="40"/>
    <x v="19"/>
    <x v="7"/>
    <s v="Vinni-Pajusti raamatukogu"/>
    <s v="Auhinnad raamatutundides, suvises lugemisprogrammis"/>
    <x v="20"/>
    <m/>
    <x v="22"/>
    <s v="Kommunikatsiooni-, kultuuri- ja vaba aja sisustamise kulud"/>
    <n v="55"/>
    <x v="0"/>
    <x v="0"/>
    <x v="0"/>
    <x v="0"/>
  </r>
  <r>
    <x v="7"/>
    <x v="40"/>
    <x v="40"/>
    <x v="19"/>
    <x v="7"/>
    <s v="Vinni-Pajusti raamatukogu"/>
    <s v="Postkast Kadilasse"/>
    <x v="1"/>
    <m/>
    <x v="8"/>
    <s v="Inventari kulud, v.a infotehnoloogia ja kaitseotstarbelised kulud"/>
    <n v="55"/>
    <x v="0"/>
    <x v="0"/>
    <x v="0"/>
    <x v="0"/>
  </r>
  <r>
    <x v="7"/>
    <x v="40"/>
    <x v="40"/>
    <x v="19"/>
    <x v="7"/>
    <s v="Vinni-Pajusti raamatukogu"/>
    <s v="Ettenägematud kulud"/>
    <x v="189"/>
    <m/>
    <x v="1"/>
    <s v="Mitmesugused majanduskulud"/>
    <n v="55"/>
    <x v="0"/>
    <x v="0"/>
    <x v="0"/>
    <x v="0"/>
  </r>
  <r>
    <x v="7"/>
    <x v="40"/>
    <x v="40"/>
    <x v="19"/>
    <x v="7"/>
    <s v="Vinni-Pajusti raamatukogu"/>
    <s v="Tarkvara hooldusleping"/>
    <x v="16"/>
    <s v="Kadila + Vinni, programm Urram"/>
    <x v="5"/>
    <s v="Info- ja kommunikatsioonitehnoliigised kulud"/>
    <n v="55"/>
    <x v="0"/>
    <x v="0"/>
    <x v="0"/>
    <x v="0"/>
  </r>
  <r>
    <x v="7"/>
    <x v="40"/>
    <x v="40"/>
    <x v="19"/>
    <x v="7"/>
    <s v="Vinni-Pajusti raamatukogu"/>
    <s v="Värviprinter"/>
    <x v="2"/>
    <m/>
    <x v="5"/>
    <s v="Info- ja kommunikatsioonitehnoliigised kulud"/>
    <n v="55"/>
    <x v="0"/>
    <x v="0"/>
    <x v="0"/>
    <x v="0"/>
  </r>
  <r>
    <x v="7"/>
    <x v="40"/>
    <x v="40"/>
    <x v="19"/>
    <x v="7"/>
    <s v="Vinni-Pajusti raamatukogu"/>
    <s v="Lisaruumide san.remont vms renoveerimine"/>
    <x v="22"/>
    <s v="Rauno"/>
    <x v="4"/>
    <s v="Kinnistute, hoonete ja ruumide majandamiskulud"/>
    <n v="55"/>
    <x v="0"/>
    <x v="0"/>
    <x v="0"/>
    <x v="0"/>
  </r>
  <r>
    <x v="7"/>
    <x v="40"/>
    <x v="40"/>
    <x v="19"/>
    <x v="7"/>
    <s v="Vinni-Pajusti raamatukogu"/>
    <s v="Tagastuskast raamatukogu välisukse juurde."/>
    <x v="32"/>
    <m/>
    <x v="8"/>
    <s v="Inventari kulud, v.a infotehnoloogia ja kaitseotstarbelised kulud"/>
    <n v="55"/>
    <x v="0"/>
    <x v="0"/>
    <x v="0"/>
    <x v="0"/>
  </r>
  <r>
    <x v="7"/>
    <x v="41"/>
    <x v="41"/>
    <x v="19"/>
    <x v="7"/>
    <s v="Ehitusnõunik"/>
    <s v="Viru-Jaagupi rahvaraamatukogu küttesüsteemi üleviimine pelletküttele"/>
    <x v="190"/>
    <m/>
    <x v="12"/>
    <s v="Rajatiste ja hoonete soetamine ja renoveerimine"/>
    <n v="15"/>
    <x v="3"/>
    <x v="3"/>
    <x v="3"/>
    <x v="2"/>
  </r>
  <r>
    <x v="7"/>
    <x v="41"/>
    <x v="41"/>
    <x v="19"/>
    <x v="7"/>
    <s v="Viru-Jaagupi raamatukogu"/>
    <s v="korrashoiuvahendid(puh.vahendid,prügikotid jne), k.a.muuseumi jaoks"/>
    <x v="191"/>
    <m/>
    <x v="4"/>
    <s v="Kinnistute, hoonete ja ruumide majandamiskulud"/>
    <n v="55"/>
    <x v="0"/>
    <x v="0"/>
    <x v="0"/>
    <x v="0"/>
  </r>
  <r>
    <x v="7"/>
    <x v="41"/>
    <x v="41"/>
    <x v="19"/>
    <x v="7"/>
    <s v="Viru-Jaagupi raamatukogu"/>
    <s v="raamatukogu telefon, ajalehed,ajakirjad, print.tahm(ka kultuuriürituste kuulutused)"/>
    <x v="192"/>
    <m/>
    <x v="0"/>
    <s v="Administreerimiskulud"/>
    <n v="55"/>
    <x v="0"/>
    <x v="0"/>
    <x v="0"/>
    <x v="0"/>
  </r>
  <r>
    <x v="7"/>
    <x v="41"/>
    <x v="41"/>
    <x v="19"/>
    <x v="7"/>
    <s v="Viru-Jaagupi raamatukogu"/>
    <s v="koolitused"/>
    <x v="1"/>
    <m/>
    <x v="2"/>
    <s v="Koolituskulud"/>
    <n v="55"/>
    <x v="0"/>
    <x v="0"/>
    <x v="0"/>
    <x v="0"/>
  </r>
  <r>
    <x v="7"/>
    <x v="41"/>
    <x v="41"/>
    <x v="19"/>
    <x v="7"/>
    <s v="Viru-Jaagupi raamatukogu"/>
    <s v="uued raamatud kogusse"/>
    <x v="7"/>
    <m/>
    <x v="10"/>
    <s v="Teavikud ja kunstiesemed"/>
    <n v="55"/>
    <x v="0"/>
    <x v="0"/>
    <x v="0"/>
    <x v="0"/>
  </r>
  <r>
    <x v="7"/>
    <x v="41"/>
    <x v="41"/>
    <x v="19"/>
    <x v="7"/>
    <s v="Viru-Jaagupi raamatukogu"/>
    <s v="planeeritud kultuuriüritused,mida korraldab. raamatukogu koostöös muuseumiga"/>
    <x v="32"/>
    <m/>
    <x v="22"/>
    <s v="Kommunikatsiooni-, kultuuri- ja vaba aja sisustamise kulud"/>
    <n v="55"/>
    <x v="0"/>
    <x v="0"/>
    <x v="0"/>
    <x v="0"/>
  </r>
  <r>
    <x v="7"/>
    <x v="41"/>
    <x v="41"/>
    <x v="19"/>
    <x v="7"/>
    <s v="Viru-Jaagupi raamatukogu"/>
    <s v="riiulitele teavikute kohasildid"/>
    <x v="0"/>
    <s v="jäi osadele riiulitele 2019 puudu! s.h.lastefondile)"/>
    <x v="0"/>
    <s v="Administreerimiskulud"/>
    <n v="55"/>
    <x v="0"/>
    <x v="0"/>
    <x v="0"/>
    <x v="0"/>
  </r>
  <r>
    <x v="7"/>
    <x v="41"/>
    <x v="41"/>
    <x v="19"/>
    <x v="7"/>
    <s v="Viru-Jaagupi raamatukogu"/>
    <s v="Urrami programmi igakuine hooldustasu 20.-x 12 k"/>
    <x v="72"/>
    <m/>
    <x v="5"/>
    <s v="Info- ja kommunikatsioonitehnoliigised kulud"/>
    <n v="55"/>
    <x v="0"/>
    <x v="0"/>
    <x v="0"/>
    <x v="0"/>
  </r>
  <r>
    <x v="7"/>
    <x v="41"/>
    <x v="41"/>
    <x v="19"/>
    <x v="7"/>
    <s v="Viru-Jaagupi raamatukogu"/>
    <s v="Lugejaarvuti"/>
    <x v="108"/>
    <s v="raamatukogul ei ole ainsana valla raamatukogudest lugeja toimivat lugejaarvutit, ehkki igal aastal on vajadus eelarvesse märgitud lugeja kasutab vajadusel raamatukogutöötaja tööarvutit"/>
    <x v="5"/>
    <s v="Info- ja kommunikatsioonitehnoliigised kulud"/>
    <n v="55"/>
    <x v="0"/>
    <x v="0"/>
    <x v="0"/>
    <x v="0"/>
  </r>
  <r>
    <x v="7"/>
    <x v="42"/>
    <x v="42"/>
    <x v="19"/>
    <x v="7"/>
    <s v="Roela Raamatukogu"/>
    <s v="paber,tahm"/>
    <x v="11"/>
    <m/>
    <x v="0"/>
    <s v="Administreerimiskulud"/>
    <n v="55"/>
    <x v="0"/>
    <x v="0"/>
    <x v="0"/>
    <x v="0"/>
  </r>
  <r>
    <x v="7"/>
    <x v="42"/>
    <x v="42"/>
    <x v="19"/>
    <x v="7"/>
    <s v="Roela Raamatukogu"/>
    <s v="Koolituskulud"/>
    <x v="110"/>
    <m/>
    <x v="2"/>
    <s v="Koolituskulud"/>
    <n v="55"/>
    <x v="0"/>
    <x v="0"/>
    <x v="0"/>
    <x v="0"/>
  </r>
  <r>
    <x v="7"/>
    <x v="42"/>
    <x v="42"/>
    <x v="19"/>
    <x v="7"/>
    <s v="Roela Raamatukogu"/>
    <s v="diivan"/>
    <x v="120"/>
    <s v="täiendav vajadus"/>
    <x v="8"/>
    <s v="Inventari kulud, v.a infotehnoloogia ja kaitseotstarbelised kulud"/>
    <n v="55"/>
    <x v="0"/>
    <x v="0"/>
    <x v="0"/>
    <x v="0"/>
  </r>
  <r>
    <x v="7"/>
    <x v="42"/>
    <x v="42"/>
    <x v="19"/>
    <x v="7"/>
    <s v="Roela Raamatukogu"/>
    <s v="liigieraldajad"/>
    <x v="41"/>
    <s v="täiendav vajadus"/>
    <x v="8"/>
    <s v="Inventari kulud, v.a infotehnoloogia ja kaitseotstarbelised kulud"/>
    <n v="55"/>
    <x v="0"/>
    <x v="0"/>
    <x v="0"/>
    <x v="0"/>
  </r>
  <r>
    <x v="7"/>
    <x v="42"/>
    <x v="42"/>
    <x v="19"/>
    <x v="7"/>
    <s v="Roela Raamatukogu"/>
    <s v="raamatud"/>
    <x v="114"/>
    <m/>
    <x v="10"/>
    <s v="Teavikud ja kunstiesemed"/>
    <n v="55"/>
    <x v="0"/>
    <x v="0"/>
    <x v="0"/>
    <x v="0"/>
  </r>
  <r>
    <x v="7"/>
    <x v="42"/>
    <x v="42"/>
    <x v="19"/>
    <x v="7"/>
    <s v="Roela Raamatukogu"/>
    <s v="perioodika"/>
    <x v="14"/>
    <m/>
    <x v="0"/>
    <s v="Administreerimiskulud"/>
    <n v="55"/>
    <x v="0"/>
    <x v="0"/>
    <x v="0"/>
    <x v="0"/>
  </r>
  <r>
    <x v="7"/>
    <x v="42"/>
    <x v="42"/>
    <x v="19"/>
    <x v="7"/>
    <s v="Roela Raamatukogu"/>
    <s v="Üritused lastele"/>
    <x v="193"/>
    <m/>
    <x v="22"/>
    <s v="Kommunikatsiooni-, kultuuri- ja vaba aja sisustamise kulud"/>
    <n v="55"/>
    <x v="0"/>
    <x v="0"/>
    <x v="0"/>
    <x v="0"/>
  </r>
  <r>
    <x v="7"/>
    <x v="42"/>
    <x v="42"/>
    <x v="19"/>
    <x v="7"/>
    <s v="Roela Raamatukogu"/>
    <s v="üritused täiskasvanutele"/>
    <x v="193"/>
    <m/>
    <x v="22"/>
    <s v="Kommunikatsiooni-, kultuuri- ja vaba aja sisustamise kulud"/>
    <n v="55"/>
    <x v="0"/>
    <x v="0"/>
    <x v="0"/>
    <x v="0"/>
  </r>
  <r>
    <x v="7"/>
    <x v="42"/>
    <x v="42"/>
    <x v="19"/>
    <x v="7"/>
    <s v="Roela Raamatukogu"/>
    <s v="arvutiprogrammide hooldused"/>
    <x v="72"/>
    <m/>
    <x v="5"/>
    <s v="Info- ja kommunikatsioonitehnoliigised kulud"/>
    <n v="55"/>
    <x v="0"/>
    <x v="0"/>
    <x v="0"/>
    <x v="0"/>
  </r>
  <r>
    <x v="7"/>
    <x v="42"/>
    <x v="42"/>
    <x v="19"/>
    <x v="7"/>
    <s v="Roela Raamatukogu"/>
    <s v="printer"/>
    <x v="41"/>
    <s v="täiendav vajadus"/>
    <x v="5"/>
    <s v="Info- ja kommunikatsioonitehnoliigised kulud"/>
    <n v="55"/>
    <x v="0"/>
    <x v="0"/>
    <x v="0"/>
    <x v="0"/>
  </r>
  <r>
    <x v="7"/>
    <x v="42"/>
    <x v="42"/>
    <x v="19"/>
    <x v="7"/>
    <s v="Roela Raamatukogu"/>
    <s v="sanremondi materjalid(pahtel,värv)"/>
    <x v="2"/>
    <m/>
    <x v="4"/>
    <s v="Kinnistute, hoonete ja ruumide majandamiskulud"/>
    <n v="55"/>
    <x v="0"/>
    <x v="0"/>
    <x v="0"/>
    <x v="0"/>
  </r>
  <r>
    <x v="7"/>
    <x v="42"/>
    <x v="42"/>
    <x v="19"/>
    <x v="7"/>
    <s v="Roela Raamatukogu"/>
    <s v="korrashoiuvahendid"/>
    <x v="0"/>
    <s v="wc paber,kätekuivatuspaber"/>
    <x v="4"/>
    <s v="Kinnistute, hoonete ja ruumide majandamiskulud"/>
    <n v="55"/>
    <x v="0"/>
    <x v="0"/>
    <x v="0"/>
    <x v="0"/>
  </r>
  <r>
    <x v="7"/>
    <x v="43"/>
    <x v="43"/>
    <x v="19"/>
    <x v="7"/>
    <s v="Tudu raamatukogu"/>
    <s v="telefon ja internet"/>
    <x v="15"/>
    <s v="tel 3235645 kõned ja kuutasu + interneti kuutasu"/>
    <x v="0"/>
    <s v="Administreerimiskulud"/>
    <n v="55"/>
    <x v="0"/>
    <x v="0"/>
    <x v="0"/>
    <x v="0"/>
  </r>
  <r>
    <x v="7"/>
    <x v="43"/>
    <x v="43"/>
    <x v="19"/>
    <x v="7"/>
    <s v="Tudu raamatukogu"/>
    <s v="perioodika"/>
    <x v="2"/>
    <s v="ajakirjade arv jääb samaks nagu 2019.a."/>
    <x v="0"/>
    <s v="Administreerimiskulud"/>
    <n v="55"/>
    <x v="0"/>
    <x v="0"/>
    <x v="0"/>
    <x v="0"/>
  </r>
  <r>
    <x v="7"/>
    <x v="43"/>
    <x v="43"/>
    <x v="19"/>
    <x v="7"/>
    <s v="Tudu raamatukogu"/>
    <s v="raamatud"/>
    <x v="194"/>
    <m/>
    <x v="10"/>
    <s v="Teavikud ja kunstiesemed"/>
    <n v="55"/>
    <x v="0"/>
    <x v="0"/>
    <x v="0"/>
    <x v="0"/>
  </r>
  <r>
    <x v="7"/>
    <x v="43"/>
    <x v="43"/>
    <x v="19"/>
    <x v="7"/>
    <s v="Tudu raamatukogu"/>
    <s v="koolituste plaan"/>
    <x v="13"/>
    <m/>
    <x v="2"/>
    <s v="Koolituskulud"/>
    <n v="55"/>
    <x v="0"/>
    <x v="0"/>
    <x v="0"/>
    <x v="0"/>
  </r>
  <r>
    <x v="7"/>
    <x v="43"/>
    <x v="43"/>
    <x v="19"/>
    <x v="7"/>
    <s v="Tudu raamatukogu"/>
    <s v="kantseleikaup,paber,tahm"/>
    <x v="13"/>
    <m/>
    <x v="0"/>
    <s v="Administreerimiskulud"/>
    <n v="55"/>
    <x v="0"/>
    <x v="0"/>
    <x v="0"/>
    <x v="0"/>
  </r>
  <r>
    <x v="7"/>
    <x v="43"/>
    <x v="43"/>
    <x v="19"/>
    <x v="7"/>
    <s v="Tudu raamatukogu"/>
    <s v="urrami programmihooldus 20.- x12 kuud"/>
    <x v="72"/>
    <m/>
    <x v="5"/>
    <s v="Info- ja kommunikatsioonitehnoliigised kulud"/>
    <n v="55"/>
    <x v="0"/>
    <x v="0"/>
    <x v="0"/>
    <x v="0"/>
  </r>
  <r>
    <x v="7"/>
    <x v="43"/>
    <x v="43"/>
    <x v="19"/>
    <x v="7"/>
    <s v="Tudu raamatukogu"/>
    <s v="Saku Läte"/>
    <x v="182"/>
    <m/>
    <x v="4"/>
    <s v="Kinnistute, hoonete ja ruumide majandamiskulud"/>
    <n v="55"/>
    <x v="0"/>
    <x v="0"/>
    <x v="0"/>
    <x v="0"/>
  </r>
  <r>
    <x v="7"/>
    <x v="43"/>
    <x v="43"/>
    <x v="19"/>
    <x v="7"/>
    <s v="Tudu raamatukogu"/>
    <s v="Hoone kindlustus"/>
    <x v="120"/>
    <m/>
    <x v="4"/>
    <s v="Kinnistute, hoonete ja ruumide majandamiskulud"/>
    <n v="55"/>
    <x v="0"/>
    <x v="0"/>
    <x v="0"/>
    <x v="0"/>
  </r>
  <r>
    <x v="7"/>
    <x v="43"/>
    <x v="43"/>
    <x v="19"/>
    <x v="7"/>
    <s v="Tudu raamatukogu"/>
    <s v="Pisiremondid jms"/>
    <x v="195"/>
    <m/>
    <x v="4"/>
    <s v="Kinnistute, hoonete ja ruumide majandamiskulud"/>
    <n v="55"/>
    <x v="0"/>
    <x v="0"/>
    <x v="0"/>
    <x v="0"/>
  </r>
  <r>
    <x v="7"/>
    <x v="44"/>
    <x v="44"/>
    <x v="19"/>
    <x v="7"/>
    <s v="Ulvi raamatukogu"/>
    <s v="Ulvi mõisamaja turvafirma lepingutasu, korrastusvahendid, puhastusvahendid, paber"/>
    <x v="108"/>
    <m/>
    <x v="4"/>
    <s v="Kinnistute, hoonete ja ruumide majandamiskulud"/>
    <n v="55"/>
    <x v="0"/>
    <x v="0"/>
    <x v="0"/>
    <x v="0"/>
  </r>
  <r>
    <x v="7"/>
    <x v="44"/>
    <x v="44"/>
    <x v="19"/>
    <x v="7"/>
    <s v="Ulvi raamatukogu"/>
    <s v="Telefon, Internet"/>
    <x v="196"/>
    <s v="Interneti püsiühendus, lauatelefon"/>
    <x v="0"/>
    <s v="Administreerimiskulud"/>
    <n v="55"/>
    <x v="0"/>
    <x v="0"/>
    <x v="0"/>
    <x v="0"/>
  </r>
  <r>
    <x v="7"/>
    <x v="44"/>
    <x v="44"/>
    <x v="19"/>
    <x v="7"/>
    <s v="Ulvi raamatukogu"/>
    <s v="kantseleikaup"/>
    <x v="2"/>
    <s v="paber, tahm, raamatukiled, vöötkoodid"/>
    <x v="0"/>
    <s v="Administreerimiskulud"/>
    <n v="55"/>
    <x v="0"/>
    <x v="0"/>
    <x v="0"/>
    <x v="0"/>
  </r>
  <r>
    <x v="7"/>
    <x v="44"/>
    <x v="44"/>
    <x v="19"/>
    <x v="7"/>
    <s v="Ulvi raamatukogu"/>
    <s v="perioodika"/>
    <x v="132"/>
    <s v="ajalehed,ajakirjad-tellimine 1 kord aastas- novembris"/>
    <x v="0"/>
    <s v="Administreerimiskulud"/>
    <n v="55"/>
    <x v="0"/>
    <x v="0"/>
    <x v="0"/>
    <x v="0"/>
  </r>
  <r>
    <x v="7"/>
    <x v="44"/>
    <x v="44"/>
    <x v="19"/>
    <x v="7"/>
    <s v="Ulvi raamatukogu"/>
    <s v="Koolitused"/>
    <x v="110"/>
    <s v="Erinevad koolitused,seminarid sh maakonna keskraamatukogu korraldatud; Maaraamatukogude suveseminar Saaremaal; Õppereis Soome"/>
    <x v="2"/>
    <s v="Koolituskulud"/>
    <n v="55"/>
    <x v="0"/>
    <x v="0"/>
    <x v="0"/>
    <x v="0"/>
  </r>
  <r>
    <x v="7"/>
    <x v="44"/>
    <x v="44"/>
    <x v="19"/>
    <x v="7"/>
    <s v="Ulvi raamatukogu"/>
    <s v="Isikliku sõiduauto komp."/>
    <x v="197"/>
    <s v="teavikute transport Rakverest, kojuteenindus, tööga seotud koosolekutest, koolitustest osavõtt"/>
    <x v="3"/>
    <s v="Sõidukite ülalpidamise kulud"/>
    <n v="55"/>
    <x v="0"/>
    <x v="0"/>
    <x v="0"/>
    <x v="0"/>
  </r>
  <r>
    <x v="7"/>
    <x v="44"/>
    <x v="44"/>
    <x v="19"/>
    <x v="7"/>
    <s v="Ulvi raamatukogu"/>
    <s v="prillid"/>
    <x v="0"/>
    <m/>
    <x v="9"/>
    <s v="Meditsiinikulud ja hügieenitarbed"/>
    <n v="55"/>
    <x v="0"/>
    <x v="0"/>
    <x v="0"/>
    <x v="0"/>
  </r>
  <r>
    <x v="7"/>
    <x v="44"/>
    <x v="44"/>
    <x v="19"/>
    <x v="7"/>
    <s v="Ulvi raamatukogu"/>
    <s v="Teavikud"/>
    <x v="144"/>
    <m/>
    <x v="10"/>
    <s v="Teavikud ja kunstiesemed"/>
    <n v="55"/>
    <x v="0"/>
    <x v="0"/>
    <x v="0"/>
    <x v="0"/>
  </r>
  <r>
    <x v="7"/>
    <x v="44"/>
    <x v="44"/>
    <x v="19"/>
    <x v="7"/>
    <s v="Ulvi raamatukogu"/>
    <s v="teemaõhtud/hommikud, laste lugemistunnid/raamatukogutunnid; 2 korda aastas suurürutus-märts-emakeelepäev, okt-raamatukogunädal"/>
    <x v="2"/>
    <m/>
    <x v="22"/>
    <s v="Kommunikatsiooni-, kultuuri- ja vaba aja sisustamise kulud"/>
    <n v="55"/>
    <x v="0"/>
    <x v="0"/>
    <x v="0"/>
    <x v="0"/>
  </r>
  <r>
    <x v="7"/>
    <x v="44"/>
    <x v="44"/>
    <x v="19"/>
    <x v="7"/>
    <s v="Ulvi raamatukogu"/>
    <s v="raamatukogu tööprogramm"/>
    <x v="72"/>
    <s v="Urram"/>
    <x v="5"/>
    <s v="Info- ja kommunikatsioonitehnoliigised kulud"/>
    <n v="55"/>
    <x v="0"/>
    <x v="0"/>
    <x v="0"/>
    <x v="0"/>
  </r>
  <r>
    <x v="7"/>
    <x v="44"/>
    <x v="44"/>
    <x v="19"/>
    <x v="7"/>
    <s v="Ulvi raamatukogu"/>
    <s v="uus tööarvuti"/>
    <x v="195"/>
    <s v="arvuti vajab väljavahetamist"/>
    <x v="5"/>
    <s v="Info- ja kommunikatsioonitehnoliigised kulud"/>
    <n v="55"/>
    <x v="0"/>
    <x v="0"/>
    <x v="0"/>
    <x v="0"/>
  </r>
  <r>
    <x v="7"/>
    <x v="45"/>
    <x v="45"/>
    <x v="19"/>
    <x v="7"/>
    <s v="Laekvere raamatukogu"/>
    <s v="bürootarbed, auhinnad-kingitused, telefon jne"/>
    <x v="2"/>
    <m/>
    <x v="0"/>
    <s v="Administreerimiskulud"/>
    <n v="55"/>
    <x v="0"/>
    <x v="0"/>
    <x v="0"/>
    <x v="0"/>
  </r>
  <r>
    <x v="7"/>
    <x v="45"/>
    <x v="45"/>
    <x v="19"/>
    <x v="7"/>
    <s v="Laekvere raamatukogu"/>
    <s v="perioodika "/>
    <x v="7"/>
    <m/>
    <x v="0"/>
    <s v="Administreerimiskulud"/>
    <n v="55"/>
    <x v="0"/>
    <x v="0"/>
    <x v="0"/>
    <x v="0"/>
  </r>
  <r>
    <x v="7"/>
    <x v="45"/>
    <x v="45"/>
    <x v="19"/>
    <x v="7"/>
    <s v="Laekvere raamatukogu"/>
    <s v="Koolitused"/>
    <x v="14"/>
    <m/>
    <x v="2"/>
    <s v="Koolituskulud"/>
    <n v="55"/>
    <x v="0"/>
    <x v="0"/>
    <x v="0"/>
    <x v="0"/>
  </r>
  <r>
    <x v="7"/>
    <x v="45"/>
    <x v="45"/>
    <x v="19"/>
    <x v="7"/>
    <s v="Laekvere raamatukogu"/>
    <s v="Isiklikus sõiduauto komp."/>
    <x v="14"/>
    <m/>
    <x v="3"/>
    <s v="Sõidukite ülalpidamise kulud"/>
    <n v="55"/>
    <x v="0"/>
    <x v="0"/>
    <x v="0"/>
    <x v="0"/>
  </r>
  <r>
    <x v="7"/>
    <x v="45"/>
    <x v="45"/>
    <x v="19"/>
    <x v="7"/>
    <s v="Laekvere raamatukogu"/>
    <s v="Inventar"/>
    <x v="198"/>
    <s v="Konkreetselt planeerimata, võib tekkida vajadus riiulitele. Muugas võiks remontida olemasoleva nurgadiivani ( riidevahetus)"/>
    <x v="8"/>
    <s v="Inventari kulud, v.a infotehnoloogia ja kaitseotstarbelised kulud"/>
    <n v="55"/>
    <x v="0"/>
    <x v="0"/>
    <x v="0"/>
    <x v="0"/>
  </r>
  <r>
    <x v="7"/>
    <x v="45"/>
    <x v="45"/>
    <x v="19"/>
    <x v="7"/>
    <s v="Laekvere raamatukogu"/>
    <s v="esmaabivahendid, prillihüvitis, gripivaktsiin, tervisekontroll"/>
    <x v="2"/>
    <m/>
    <x v="9"/>
    <s v="Meditsiinikulud ja hügieenitarbed"/>
    <n v="55"/>
    <x v="0"/>
    <x v="0"/>
    <x v="0"/>
    <x v="0"/>
  </r>
  <r>
    <x v="7"/>
    <x v="45"/>
    <x v="45"/>
    <x v="19"/>
    <x v="7"/>
    <s v="Laekvere raamatukogu"/>
    <s v="Teavikud"/>
    <x v="134"/>
    <m/>
    <x v="10"/>
    <s v="Teavikud ja kunstiesemed"/>
    <n v="55"/>
    <x v="0"/>
    <x v="0"/>
    <x v="0"/>
    <x v="0"/>
  </r>
  <r>
    <x v="7"/>
    <x v="45"/>
    <x v="45"/>
    <x v="19"/>
    <x v="7"/>
    <s v="Laekvere raamatukogu"/>
    <s v="Kohtumised kirjanikuga rahvusvahelise lasteraamatupäeva tähistamiseks aprillis nii Muugas kui Laekveres"/>
    <x v="89"/>
    <m/>
    <x v="22"/>
    <s v="Kommunikatsiooni-, kultuuri- ja vaba aja sisustamise kulud"/>
    <n v="55"/>
    <x v="0"/>
    <x v="0"/>
    <x v="0"/>
    <x v="0"/>
  </r>
  <r>
    <x v="7"/>
    <x v="45"/>
    <x v="45"/>
    <x v="19"/>
    <x v="7"/>
    <s v="Laekvere raamatukogu"/>
    <s v="Eduard Vilde 155. sünniaastapäeva tähistamine- Simuna kihelkonnakoolide ja Vinni valla õpilaste reisijuttude kirjutamise konkurss, konkursi lõpuüritus"/>
    <x v="108"/>
    <m/>
    <x v="22"/>
    <s v="Kommunikatsiooni-, kultuuri- ja vaba aja sisustamise kulud"/>
    <n v="55"/>
    <x v="0"/>
    <x v="0"/>
    <x v="0"/>
    <x v="0"/>
  </r>
  <r>
    <x v="7"/>
    <x v="45"/>
    <x v="45"/>
    <x v="19"/>
    <x v="7"/>
    <s v="Laekvere raamatukogu"/>
    <s v="Raamatukogupäevade üritused, TÕN üritused "/>
    <x v="120"/>
    <m/>
    <x v="22"/>
    <s v="Kommunikatsiooni-, kultuuri- ja vaba aja sisustamise kulud"/>
    <n v="55"/>
    <x v="0"/>
    <x v="0"/>
    <x v="0"/>
    <x v="0"/>
  </r>
  <r>
    <x v="7"/>
    <x v="45"/>
    <x v="45"/>
    <x v="19"/>
    <x v="7"/>
    <s v="Laekvere raamatukogu"/>
    <s v="Karneval Muuga mõisas novembris Muuga- Laekvere Kooli algklasside lastele "/>
    <x v="120"/>
    <m/>
    <x v="22"/>
    <s v="Kommunikatsiooni-, kultuuri- ja vaba aja sisustamise kulud"/>
    <n v="55"/>
    <x v="0"/>
    <x v="0"/>
    <x v="0"/>
    <x v="0"/>
  </r>
  <r>
    <x v="7"/>
    <x v="45"/>
    <x v="45"/>
    <x v="19"/>
    <x v="7"/>
    <s v="Laekvere raamatukogu"/>
    <s v="muud planeerimata üritused"/>
    <x v="41"/>
    <m/>
    <x v="22"/>
    <s v="Kommunikatsiooni-, kultuuri- ja vaba aja sisustamise kulud"/>
    <n v="55"/>
    <x v="0"/>
    <x v="0"/>
    <x v="0"/>
    <x v="0"/>
  </r>
  <r>
    <x v="7"/>
    <x v="45"/>
    <x v="45"/>
    <x v="19"/>
    <x v="7"/>
    <s v="Laekvere raamatukogu"/>
    <s v="puhastus- ja korrashoiuvahendid"/>
    <x v="89"/>
    <m/>
    <x v="4"/>
    <s v="Kinnistute, hoonete ja ruumide majandamiskulud"/>
    <n v="55"/>
    <x v="0"/>
    <x v="0"/>
    <x v="0"/>
    <x v="0"/>
  </r>
  <r>
    <x v="7"/>
    <x v="45"/>
    <x v="45"/>
    <x v="19"/>
    <x v="7"/>
    <s v="Laekvere raamatukogu"/>
    <s v="Urrami hooldus ja arendus"/>
    <x v="89"/>
    <m/>
    <x v="5"/>
    <s v="Info- ja kommunikatsioonitehnoliigised kulud"/>
    <n v="55"/>
    <x v="0"/>
    <x v="0"/>
    <x v="0"/>
    <x v="0"/>
  </r>
  <r>
    <x v="7"/>
    <x v="45"/>
    <x v="45"/>
    <x v="19"/>
    <x v="7"/>
    <s v="Laekvere raamatukogu"/>
    <s v="remondi- ja hooldusteenused"/>
    <x v="199"/>
    <m/>
    <x v="5"/>
    <s v="Info- ja kommunikatsioonitehnoliigised kulud"/>
    <n v="55"/>
    <x v="0"/>
    <x v="0"/>
    <x v="0"/>
    <x v="0"/>
  </r>
  <r>
    <x v="7"/>
    <x v="46"/>
    <x v="46"/>
    <x v="19"/>
    <x v="7"/>
    <s v="Laekvere raamatukogu"/>
    <s v="perioodika "/>
    <x v="99"/>
    <m/>
    <x v="0"/>
    <s v="Administreerimiskulud"/>
    <n v="55"/>
    <x v="0"/>
    <x v="0"/>
    <x v="0"/>
    <x v="0"/>
  </r>
  <r>
    <x v="7"/>
    <x v="46"/>
    <x v="46"/>
    <x v="19"/>
    <x v="7"/>
    <s v="Laekvere raamatukogu"/>
    <s v="Teavikud"/>
    <x v="98"/>
    <m/>
    <x v="10"/>
    <s v="Teavikud ja kunstiesemed"/>
    <n v="55"/>
    <x v="0"/>
    <x v="0"/>
    <x v="0"/>
    <x v="0"/>
  </r>
  <r>
    <x v="7"/>
    <x v="46"/>
    <x v="46"/>
    <x v="19"/>
    <x v="7"/>
    <s v="Laekvere raamatukogu"/>
    <s v="Kohtumised kirjanikuga rahvusvahelise lasteraamatupäeva tähistamiseks aprillis nii Muugas kui Laekveres"/>
    <x v="89"/>
    <m/>
    <x v="22"/>
    <s v="Kommunikatsiooni-, kultuuri- ja vaba aja sisustamise kulud"/>
    <n v="55"/>
    <x v="0"/>
    <x v="0"/>
    <x v="0"/>
    <x v="0"/>
  </r>
  <r>
    <x v="7"/>
    <x v="46"/>
    <x v="46"/>
    <x v="19"/>
    <x v="7"/>
    <s v="Laekvere raamatukogu"/>
    <s v="Raamatukoguöö märts-aprill Muugas "/>
    <x v="89"/>
    <m/>
    <x v="22"/>
    <s v="Kommunikatsiooni-, kultuuri- ja vaba aja sisustamise kulud"/>
    <n v="55"/>
    <x v="0"/>
    <x v="0"/>
    <x v="0"/>
    <x v="0"/>
  </r>
  <r>
    <x v="7"/>
    <x v="46"/>
    <x v="46"/>
    <x v="19"/>
    <x v="7"/>
    <s v="Laekvere raamatukogu"/>
    <s v="Raamatukogupäevade üritused, TÕN üritused "/>
    <x v="120"/>
    <m/>
    <x v="22"/>
    <s v="Kommunikatsiooni-, kultuuri- ja vaba aja sisustamise kulud"/>
    <n v="55"/>
    <x v="0"/>
    <x v="0"/>
    <x v="0"/>
    <x v="0"/>
  </r>
  <r>
    <x v="7"/>
    <x v="46"/>
    <x v="46"/>
    <x v="19"/>
    <x v="7"/>
    <s v="Laekvere raamatukogu"/>
    <s v="puhastus- ja korrashoiuvahendid"/>
    <x v="89"/>
    <m/>
    <x v="4"/>
    <s v="Kinnistute, hoonete ja ruumide majandamiskulud"/>
    <n v="55"/>
    <x v="0"/>
    <x v="0"/>
    <x v="0"/>
    <x v="0"/>
  </r>
  <r>
    <x v="7"/>
    <x v="46"/>
    <x v="46"/>
    <x v="19"/>
    <x v="7"/>
    <s v="Laekvere raamatukogu"/>
    <s v="korstnapühkimisteenus"/>
    <x v="41"/>
    <m/>
    <x v="4"/>
    <s v="Kinnistute, hoonete ja ruumide majandamiskulud"/>
    <n v="55"/>
    <x v="0"/>
    <x v="0"/>
    <x v="0"/>
    <x v="0"/>
  </r>
  <r>
    <x v="7"/>
    <x v="46"/>
    <x v="46"/>
    <x v="19"/>
    <x v="7"/>
    <s v="Laekvere raamatukogu"/>
    <s v="Urrami hooldus ja arendus"/>
    <x v="89"/>
    <m/>
    <x v="5"/>
    <s v="Info- ja kommunikatsioonitehnoliigised kulud"/>
    <n v="55"/>
    <x v="0"/>
    <x v="0"/>
    <x v="0"/>
    <x v="0"/>
  </r>
  <r>
    <x v="7"/>
    <x v="46"/>
    <x v="46"/>
    <x v="19"/>
    <x v="7"/>
    <s v="Laekvere raamatukogu"/>
    <s v="Luminor liising Muuga 2 arvutit "/>
    <x v="132"/>
    <m/>
    <x v="5"/>
    <s v="Info- ja kommunikatsioonitehnoliigised kulud"/>
    <n v="55"/>
    <x v="0"/>
    <x v="0"/>
    <x v="0"/>
    <x v="0"/>
  </r>
  <r>
    <x v="7"/>
    <x v="46"/>
    <x v="46"/>
    <x v="19"/>
    <x v="7"/>
    <s v="Laekvere raamatukogu"/>
    <s v="bürootarbed, auhinnad-kingitused, telefon jne"/>
    <x v="2"/>
    <m/>
    <x v="0"/>
    <s v="Administreerimiskulud"/>
    <n v="55"/>
    <x v="0"/>
    <x v="0"/>
    <x v="0"/>
    <x v="0"/>
  </r>
  <r>
    <x v="7"/>
    <x v="47"/>
    <x v="47"/>
    <x v="19"/>
    <x v="7"/>
    <s v="Laekvere raamatukogu"/>
    <s v="perioodika "/>
    <x v="106"/>
    <m/>
    <x v="0"/>
    <s v="Administreerimiskulud"/>
    <n v="55"/>
    <x v="0"/>
    <x v="0"/>
    <x v="0"/>
    <x v="0"/>
  </r>
  <r>
    <x v="7"/>
    <x v="47"/>
    <x v="47"/>
    <x v="19"/>
    <x v="7"/>
    <s v="Laekvere raamatukogu"/>
    <s v="Teavikud"/>
    <x v="28"/>
    <m/>
    <x v="10"/>
    <s v="Teavikud ja kunstiesemed"/>
    <n v="55"/>
    <x v="0"/>
    <x v="0"/>
    <x v="0"/>
    <x v="0"/>
  </r>
  <r>
    <x v="7"/>
    <x v="47"/>
    <x v="47"/>
    <x v="19"/>
    <x v="7"/>
    <s v="Laekvere raamatukogu"/>
    <s v="Raamatukogupäevade üritused, TÕN üritused "/>
    <x v="41"/>
    <m/>
    <x v="22"/>
    <s v="Kommunikatsiooni-, kultuuri- ja vaba aja sisustamise kulud"/>
    <n v="55"/>
    <x v="0"/>
    <x v="0"/>
    <x v="0"/>
    <x v="0"/>
  </r>
  <r>
    <x v="7"/>
    <x v="47"/>
    <x v="47"/>
    <x v="19"/>
    <x v="7"/>
    <s v="Laekvere raamatukogu"/>
    <s v="puhastus- ja korrashoiuvahendid"/>
    <x v="0"/>
    <m/>
    <x v="4"/>
    <s v="Kinnistute, hoonete ja ruumide majandamiskulud"/>
    <n v="55"/>
    <x v="0"/>
    <x v="0"/>
    <x v="0"/>
    <x v="0"/>
  </r>
  <r>
    <x v="7"/>
    <x v="47"/>
    <x v="47"/>
    <x v="19"/>
    <x v="7"/>
    <s v="Laekvere raamatukogu"/>
    <s v="korstnapühkimisteenus"/>
    <x v="41"/>
    <m/>
    <x v="4"/>
    <s v="Kinnistute, hoonete ja ruumide majandamiskulud"/>
    <n v="55"/>
    <x v="0"/>
    <x v="0"/>
    <x v="0"/>
    <x v="0"/>
  </r>
  <r>
    <x v="7"/>
    <x v="47"/>
    <x v="47"/>
    <x v="19"/>
    <x v="7"/>
    <s v="Laekvere raamatukogu"/>
    <s v="Urrami hooldus ja arendus"/>
    <x v="89"/>
    <m/>
    <x v="5"/>
    <s v="Info- ja kommunikatsioonitehnoliigised kulud"/>
    <n v="55"/>
    <x v="0"/>
    <x v="0"/>
    <x v="0"/>
    <x v="0"/>
  </r>
  <r>
    <x v="7"/>
    <x v="47"/>
    <x v="47"/>
    <x v="19"/>
    <x v="7"/>
    <s v="Laekvere raamatukogu"/>
    <s v="bürootarbed, auhinnad-kingitused, telefon jne"/>
    <x v="32"/>
    <m/>
    <x v="0"/>
    <s v="Administreerimiskulud"/>
    <n v="55"/>
    <x v="0"/>
    <x v="0"/>
    <x v="0"/>
    <x v="0"/>
  </r>
  <r>
    <x v="7"/>
    <x v="48"/>
    <x v="48"/>
    <x v="20"/>
    <x v="7"/>
    <s v="Kadila Seltsimaja"/>
    <s v="Elekter"/>
    <x v="10"/>
    <m/>
    <x v="4"/>
    <s v="Kinnistute, hoonete ja ruumide majandamiskulud"/>
    <n v="55"/>
    <x v="0"/>
    <x v="0"/>
    <x v="0"/>
    <x v="0"/>
  </r>
  <r>
    <x v="7"/>
    <x v="48"/>
    <x v="48"/>
    <x v="20"/>
    <x v="7"/>
    <s v="Kadila Seltsimaja"/>
    <s v="Vesi ja kanalisatsioon"/>
    <x v="193"/>
    <m/>
    <x v="4"/>
    <s v="Kinnistute, hoonete ja ruumide majandamiskulud"/>
    <n v="55"/>
    <x v="0"/>
    <x v="0"/>
    <x v="0"/>
    <x v="0"/>
  </r>
  <r>
    <x v="7"/>
    <x v="48"/>
    <x v="48"/>
    <x v="20"/>
    <x v="7"/>
    <s v="Kadila Seltsimaja"/>
    <s v="Prügivedu"/>
    <x v="200"/>
    <m/>
    <x v="4"/>
    <s v="Kinnistute, hoonete ja ruumide majandamiskulud"/>
    <n v="55"/>
    <x v="0"/>
    <x v="0"/>
    <x v="0"/>
    <x v="0"/>
  </r>
  <r>
    <x v="7"/>
    <x v="48"/>
    <x v="48"/>
    <x v="20"/>
    <x v="7"/>
    <s v="Kadila Seltsimaja"/>
    <s v="Prügikonteineri rent"/>
    <x v="137"/>
    <m/>
    <x v="4"/>
    <s v="Kinnistute, hoonete ja ruumide majandamiskulud"/>
    <n v="55"/>
    <x v="0"/>
    <x v="0"/>
    <x v="0"/>
    <x v="0"/>
  </r>
  <r>
    <x v="7"/>
    <x v="48"/>
    <x v="48"/>
    <x v="20"/>
    <x v="7"/>
    <s v="Kadila Seltsimaja"/>
    <s v="Küttepuud"/>
    <x v="5"/>
    <m/>
    <x v="4"/>
    <s v="Kinnistute, hoonete ja ruumide majandamiskulud"/>
    <n v="55"/>
    <x v="0"/>
    <x v="0"/>
    <x v="0"/>
    <x v="0"/>
  </r>
  <r>
    <x v="7"/>
    <x v="48"/>
    <x v="48"/>
    <x v="20"/>
    <x v="7"/>
    <s v="Kadila Seltsimaja"/>
    <s v="hoone kindlustus "/>
    <x v="41"/>
    <m/>
    <x v="4"/>
    <s v="Kinnistute, hoonete ja ruumide majandamiskulud"/>
    <n v="55"/>
    <x v="0"/>
    <x v="0"/>
    <x v="0"/>
    <x v="0"/>
  </r>
  <r>
    <x v="7"/>
    <x v="48"/>
    <x v="48"/>
    <x v="20"/>
    <x v="7"/>
    <s v="Kadila Seltsimaja"/>
    <s v="Sideteenused"/>
    <x v="20"/>
    <m/>
    <x v="0"/>
    <s v="Administreerimiskulud"/>
    <n v="55"/>
    <x v="0"/>
    <x v="0"/>
    <x v="0"/>
    <x v="0"/>
  </r>
  <r>
    <x v="7"/>
    <x v="48"/>
    <x v="48"/>
    <x v="20"/>
    <x v="7"/>
    <s v="Kadila Seltsimaja"/>
    <s v="Üritused"/>
    <x v="89"/>
    <m/>
    <x v="22"/>
    <s v="Kommunikatsiooni-, kultuuri- ja vaba aja sisustamise kulud"/>
    <n v="55"/>
    <x v="0"/>
    <x v="0"/>
    <x v="0"/>
    <x v="0"/>
  </r>
  <r>
    <x v="7"/>
    <x v="48"/>
    <x v="48"/>
    <x v="20"/>
    <x v="7"/>
    <s v="Kadila Seltsimaja"/>
    <s v="Korstnapühkija"/>
    <x v="129"/>
    <m/>
    <x v="4"/>
    <s v="Kinnistute, hoonete ja ruumide majandamiskulud"/>
    <n v="55"/>
    <x v="0"/>
    <x v="0"/>
    <x v="0"/>
    <x v="0"/>
  </r>
  <r>
    <x v="7"/>
    <x v="48"/>
    <x v="48"/>
    <x v="20"/>
    <x v="7"/>
    <s v="Kadila Seltsimaja"/>
    <s v="Muud kinnistukulud"/>
    <x v="2"/>
    <m/>
    <x v="4"/>
    <s v="Kinnistute, hoonete ja ruumide majandamiskulud"/>
    <n v="55"/>
    <x v="0"/>
    <x v="0"/>
    <x v="0"/>
    <x v="0"/>
  </r>
  <r>
    <x v="7"/>
    <x v="49"/>
    <x v="49"/>
    <x v="20"/>
    <x v="7"/>
    <s v="Pajusti klubi"/>
    <s v="Kulud, elektrile, küttele, prügi , vee eest, _x000a_kanalistasioon, korrashoiuvahendid, tuletõrje _x000a_ja signalisatsiooni hooldus, jäätmete vedamine, _x000a_pisiremont"/>
    <x v="35"/>
    <m/>
    <x v="4"/>
    <s v="Kinnistute, hoonete ja ruumide majandamiskulud"/>
    <n v="55"/>
    <x v="0"/>
    <x v="0"/>
    <x v="0"/>
    <x v="0"/>
  </r>
  <r>
    <x v="7"/>
    <x v="49"/>
    <x v="49"/>
    <x v="20"/>
    <x v="7"/>
    <s v="Pajusti klubi"/>
    <s v="Koolitused"/>
    <x v="146"/>
    <s v="Klubi juhataja, ringide juhendajad"/>
    <x v="2"/>
    <s v="Koolituskulud"/>
    <n v="55"/>
    <x v="0"/>
    <x v="0"/>
    <x v="0"/>
    <x v="0"/>
  </r>
  <r>
    <x v="7"/>
    <x v="49"/>
    <x v="49"/>
    <x v="20"/>
    <x v="7"/>
    <s v="Pajusti klubi"/>
    <s v="isikliku sõiduauto komp."/>
    <x v="19"/>
    <s v="12 kuud"/>
    <x v="3"/>
    <s v="Sõidukite ülalpidamise kulud"/>
    <n v="55"/>
    <x v="0"/>
    <x v="0"/>
    <x v="0"/>
    <x v="0"/>
  </r>
  <r>
    <x v="7"/>
    <x v="49"/>
    <x v="49"/>
    <x v="20"/>
    <x v="7"/>
    <s v="Pajusti klubi"/>
    <s v="arvutiprogrammid, hoolduse, tooner"/>
    <x v="14"/>
    <m/>
    <x v="5"/>
    <s v="Info- ja kommunikatsioonitehnoliigised kulud"/>
    <n v="55"/>
    <x v="0"/>
    <x v="0"/>
    <x v="0"/>
    <x v="0"/>
  </r>
  <r>
    <x v="7"/>
    <x v="49"/>
    <x v="49"/>
    <x v="20"/>
    <x v="7"/>
    <s v="Ehitusnõunik"/>
    <s v="Pajusti klubi katus"/>
    <x v="201"/>
    <m/>
    <x v="12"/>
    <s v="Rajatiste ja hoonete soetamine ja renoveerimine"/>
    <n v="15"/>
    <x v="3"/>
    <x v="3"/>
    <x v="3"/>
    <x v="2"/>
  </r>
  <r>
    <x v="7"/>
    <x v="49"/>
    <x v="49"/>
    <x v="20"/>
    <x v="7"/>
    <s v="Pajusti klubi"/>
    <s v="Ürituste plaan 2020"/>
    <x v="9"/>
    <s v="Filharmoonikud ja advendikingitus Valla ürituste eelarvesse"/>
    <x v="22"/>
    <s v="Kommunikatsiooni-, kultuuri- ja vaba aja sisustamise kulud"/>
    <n v="55"/>
    <x v="0"/>
    <x v="0"/>
    <x v="0"/>
    <x v="0"/>
  </r>
  <r>
    <x v="7"/>
    <x v="49"/>
    <x v="49"/>
    <x v="20"/>
    <x v="7"/>
    <s v="Pajusti klubi"/>
    <s v="Sideteenused"/>
    <x v="202"/>
    <m/>
    <x v="0"/>
    <s v="Administreerimiskulud"/>
    <n v="55"/>
    <x v="0"/>
    <x v="0"/>
    <x v="0"/>
    <x v="0"/>
  </r>
  <r>
    <x v="7"/>
    <x v="49"/>
    <x v="49"/>
    <x v="20"/>
    <x v="7"/>
    <s v="Pajusti klubi"/>
    <s v="kontoritarbed"/>
    <x v="32"/>
    <m/>
    <x v="0"/>
    <s v="Administreerimiskulud"/>
    <n v="55"/>
    <x v="0"/>
    <x v="0"/>
    <x v="0"/>
    <x v="0"/>
  </r>
  <r>
    <x v="7"/>
    <x v="49"/>
    <x v="49"/>
    <x v="20"/>
    <x v="7"/>
    <s v="Pajusti klubi"/>
    <s v="Lilled Mõttelõng"/>
    <x v="203"/>
    <m/>
    <x v="22"/>
    <s v="Kommunikatsiooni-, kultuuri- ja vaba aja sisustamise kulud"/>
    <n v="55"/>
    <x v="0"/>
    <x v="0"/>
    <x v="0"/>
    <x v="0"/>
  </r>
  <r>
    <x v="7"/>
    <x v="49"/>
    <x v="49"/>
    <x v="20"/>
    <x v="7"/>
    <s v="Pajusti klubi"/>
    <s v="Lilled Elutark"/>
    <x v="203"/>
    <m/>
    <x v="22"/>
    <s v="Kommunikatsiooni-, kultuuri- ja vaba aja sisustamise kulud"/>
    <n v="55"/>
    <x v="0"/>
    <x v="0"/>
    <x v="0"/>
    <x v="0"/>
  </r>
  <r>
    <x v="7"/>
    <x v="50"/>
    <x v="50"/>
    <x v="20"/>
    <x v="7"/>
    <s v="Roela Rahvamaja"/>
    <s v="küte"/>
    <x v="204"/>
    <s v="õliküte 21000 l. aastas"/>
    <x v="4"/>
    <s v="Kinnistute, hoonete ja ruumide majandamiskulud"/>
    <n v="55"/>
    <x v="0"/>
    <x v="0"/>
    <x v="0"/>
    <x v="0"/>
  </r>
  <r>
    <x v="7"/>
    <x v="50"/>
    <x v="50"/>
    <x v="20"/>
    <x v="7"/>
    <s v="Roela Rahvamaja"/>
    <s v="elekter"/>
    <x v="30"/>
    <s v="28455 mhv rahvamaja, arvestuses ka Sinilille tn. valgustus"/>
    <x v="4"/>
    <s v="Kinnistute, hoonete ja ruumide majandamiskulud"/>
    <n v="55"/>
    <x v="0"/>
    <x v="0"/>
    <x v="0"/>
    <x v="0"/>
  </r>
  <r>
    <x v="7"/>
    <x v="50"/>
    <x v="50"/>
    <x v="20"/>
    <x v="7"/>
    <s v="Roela Rahvamaja"/>
    <s v="vesi ja kanalisatsioon"/>
    <x v="205"/>
    <s v="Virumaa Veepumbakeskus, Fixum"/>
    <x v="4"/>
    <s v="Kinnistute, hoonete ja ruumide majandamiskulud"/>
    <n v="55"/>
    <x v="0"/>
    <x v="0"/>
    <x v="0"/>
    <x v="0"/>
  </r>
  <r>
    <x v="7"/>
    <x v="50"/>
    <x v="50"/>
    <x v="20"/>
    <x v="7"/>
    <s v="Roela Rahvamaja"/>
    <s v="ATS hooldus"/>
    <x v="174"/>
    <s v="U.K.V. Grupp"/>
    <x v="4"/>
    <s v="Kinnistute, hoonete ja ruumide majandamiskulud"/>
    <n v="55"/>
    <x v="0"/>
    <x v="0"/>
    <x v="0"/>
    <x v="0"/>
  </r>
  <r>
    <x v="7"/>
    <x v="50"/>
    <x v="50"/>
    <x v="20"/>
    <x v="7"/>
    <s v="Roela Rahvamaja"/>
    <s v="korrashoiuvahendid"/>
    <x v="107"/>
    <s v="wc paber, harjad, lapid, kodukeemia"/>
    <x v="4"/>
    <s v="Kinnistute, hoonete ja ruumide majandamiskulud"/>
    <n v="55"/>
    <x v="0"/>
    <x v="0"/>
    <x v="0"/>
    <x v="0"/>
  </r>
  <r>
    <x v="7"/>
    <x v="50"/>
    <x v="50"/>
    <x v="20"/>
    <x v="7"/>
    <s v="Roela Rahvamaja"/>
    <s v="valgustid"/>
    <x v="108"/>
    <s v="pirnid, prožektorid"/>
    <x v="4"/>
    <s v="Kinnistute, hoonete ja ruumide majandamiskulud"/>
    <n v="55"/>
    <x v="0"/>
    <x v="0"/>
    <x v="0"/>
    <x v="0"/>
  </r>
  <r>
    <x v="7"/>
    <x v="50"/>
    <x v="50"/>
    <x v="20"/>
    <x v="7"/>
    <s v="Roela Rahvamaja"/>
    <s v="pesu pesemine"/>
    <x v="0"/>
    <s v="teenus"/>
    <x v="4"/>
    <s v="Kinnistute, hoonete ja ruumide majandamiskulud"/>
    <n v="55"/>
    <x v="0"/>
    <x v="0"/>
    <x v="0"/>
    <x v="0"/>
  </r>
  <r>
    <x v="7"/>
    <x v="50"/>
    <x v="50"/>
    <x v="20"/>
    <x v="7"/>
    <s v="Roela Rahvamaja"/>
    <s v="remont"/>
    <x v="197"/>
    <s v="pisiremont"/>
    <x v="4"/>
    <s v="Kinnistute, hoonete ja ruumide majandamiskulud"/>
    <n v="55"/>
    <x v="0"/>
    <x v="0"/>
    <x v="0"/>
    <x v="0"/>
  </r>
  <r>
    <x v="7"/>
    <x v="50"/>
    <x v="50"/>
    <x v="20"/>
    <x v="7"/>
    <s v="Roela Rahvamaja"/>
    <s v="telefon, internet"/>
    <x v="206"/>
    <s v="3297299,internet digi tv"/>
    <x v="0"/>
    <s v="Administreerimiskulud"/>
    <n v="55"/>
    <x v="0"/>
    <x v="0"/>
    <x v="0"/>
    <x v="0"/>
  </r>
  <r>
    <x v="7"/>
    <x v="50"/>
    <x v="50"/>
    <x v="20"/>
    <x v="7"/>
    <s v="Roela Rahvamaja"/>
    <s v="mobiiltelefon"/>
    <x v="11"/>
    <n v="5273878"/>
    <x v="0"/>
    <s v="Administreerimiskulud"/>
    <n v="55"/>
    <x v="0"/>
    <x v="0"/>
    <x v="0"/>
    <x v="0"/>
  </r>
  <r>
    <x v="7"/>
    <x v="50"/>
    <x v="50"/>
    <x v="20"/>
    <x v="7"/>
    <s v="Roela Rahvamaja"/>
    <s v="postikulu, kuulutused"/>
    <x v="119"/>
    <s v="üritused,ümbrikud, plakatid"/>
    <x v="0"/>
    <s v="Administreerimiskulud"/>
    <n v="55"/>
    <x v="0"/>
    <x v="0"/>
    <x v="0"/>
    <x v="0"/>
  </r>
  <r>
    <x v="7"/>
    <x v="50"/>
    <x v="50"/>
    <x v="20"/>
    <x v="7"/>
    <s v="Roela Rahvamaja"/>
    <s v="tahma- ja tindikassetid"/>
    <x v="186"/>
    <s v="printerid"/>
    <x v="0"/>
    <s v="Administreerimiskulud"/>
    <n v="55"/>
    <x v="0"/>
    <x v="0"/>
    <x v="0"/>
    <x v="0"/>
  </r>
  <r>
    <x v="7"/>
    <x v="50"/>
    <x v="50"/>
    <x v="20"/>
    <x v="7"/>
    <s v="Roela Rahvamaja"/>
    <s v="koolitused"/>
    <x v="207"/>
    <s v="juhataja,ringijuhid"/>
    <x v="2"/>
    <s v="Koolituskulud"/>
    <n v="55"/>
    <x v="0"/>
    <x v="0"/>
    <x v="0"/>
    <x v="0"/>
  </r>
  <r>
    <x v="7"/>
    <x v="50"/>
    <x v="50"/>
    <x v="20"/>
    <x v="7"/>
    <s v="Roela Rahvamaja"/>
    <s v="isikliku sõiduauto komp."/>
    <x v="208"/>
    <s v="12 kuud"/>
    <x v="3"/>
    <s v="Sõidukite ülalpidamise kulud"/>
    <n v="55"/>
    <x v="0"/>
    <x v="0"/>
    <x v="0"/>
    <x v="0"/>
  </r>
  <r>
    <x v="7"/>
    <x v="50"/>
    <x v="50"/>
    <x v="20"/>
    <x v="7"/>
    <s v="Roela Rahvamaja"/>
    <s v="näituste korraldamise kulud"/>
    <x v="108"/>
    <s v="ülesseadmine,transport"/>
    <x v="22"/>
    <s v="Kommunikatsiooni-, kultuuri- ja vaba aja sisustamise kulud"/>
    <n v="55"/>
    <x v="0"/>
    <x v="0"/>
    <x v="0"/>
    <x v="0"/>
  </r>
  <r>
    <x v="7"/>
    <x v="50"/>
    <x v="50"/>
    <x v="20"/>
    <x v="7"/>
    <s v="Roela Rahvamaja"/>
    <s v="valgustid (prožektorid),helitehnika (kõlarid,juhtmed)"/>
    <x v="144"/>
    <m/>
    <x v="8"/>
    <s v="Inventari kulud, v.a infotehnoloogia ja kaitseotstarbelised kulud"/>
    <n v="55"/>
    <x v="0"/>
    <x v="0"/>
    <x v="0"/>
    <x v="0"/>
  </r>
  <r>
    <x v="7"/>
    <x v="50"/>
    <x v="50"/>
    <x v="20"/>
    <x v="7"/>
    <s v="Roela Rahvamaja"/>
    <s v="esmaabivahendid,prillid"/>
    <x v="108"/>
    <m/>
    <x v="9"/>
    <s v="Meditsiinikulud ja hügieenitarbed"/>
    <n v="55"/>
    <x v="0"/>
    <x v="0"/>
    <x v="0"/>
    <x v="0"/>
  </r>
  <r>
    <x v="7"/>
    <x v="50"/>
    <x v="50"/>
    <x v="20"/>
    <x v="7"/>
    <s v="Roela Rahvamaja"/>
    <s v="käelise tegevuse asjad,markerid,paberid,liim,värvid,rekvisiit,lilled"/>
    <x v="209"/>
    <m/>
    <x v="31"/>
    <s v="Õppevahendid"/>
    <n v="55"/>
    <x v="0"/>
    <x v="0"/>
    <x v="0"/>
    <x v="0"/>
  </r>
  <r>
    <x v="7"/>
    <x v="50"/>
    <x v="50"/>
    <x v="20"/>
    <x v="7"/>
    <s v="Roela Rahvamaja"/>
    <s v="arvutiprogrammid, hooldused"/>
    <x v="0"/>
    <m/>
    <x v="5"/>
    <s v="Info- ja kommunikatsioonitehnoliigised kulud"/>
    <n v="55"/>
    <x v="0"/>
    <x v="0"/>
    <x v="0"/>
    <x v="0"/>
  </r>
  <r>
    <x v="7"/>
    <x v="50"/>
    <x v="50"/>
    <x v="20"/>
    <x v="7"/>
    <s v="Roela Rahvamaja"/>
    <s v="RAM-i kontsert (RAM 75-EV 102)"/>
    <x v="132"/>
    <s v="kontserdi maksumus"/>
    <x v="22"/>
    <s v="Kommunikatsiooni-, kultuuri- ja vaba aja sisustamise kulud"/>
    <n v="55"/>
    <x v="0"/>
    <x v="0"/>
    <x v="0"/>
    <x v="0"/>
  </r>
  <r>
    <x v="7"/>
    <x v="50"/>
    <x v="50"/>
    <x v="20"/>
    <x v="7"/>
    <s v="Roela Rahvamaja"/>
    <s v="Salongiõhtu Meenutame jaak Joalat ja Georg Otsa"/>
    <x v="10"/>
    <s v="külalisesinejad"/>
    <x v="22"/>
    <s v="Kommunikatsiooni-, kultuuri- ja vaba aja sisustamise kulud"/>
    <n v="55"/>
    <x v="0"/>
    <x v="0"/>
    <x v="0"/>
    <x v="0"/>
  </r>
  <r>
    <x v="7"/>
    <x v="50"/>
    <x v="50"/>
    <x v="20"/>
    <x v="7"/>
    <s v="Roela Rahvamaja"/>
    <s v="Jaaniõhtu"/>
    <x v="14"/>
    <s v="auhinnad,tantsumuusika"/>
    <x v="22"/>
    <s v="Kommunikatsiooni-, kultuuri- ja vaba aja sisustamise kulud"/>
    <n v="55"/>
    <x v="0"/>
    <x v="0"/>
    <x v="0"/>
    <x v="0"/>
  </r>
  <r>
    <x v="7"/>
    <x v="50"/>
    <x v="50"/>
    <x v="20"/>
    <x v="7"/>
    <s v="Roela Rahvamaja"/>
    <s v="advendi ja jõuluüritused. Aastalõpupidu"/>
    <x v="28"/>
    <s v="esinejad, meened"/>
    <x v="22"/>
    <s v="Kommunikatsiooni-, kultuuri- ja vaba aja sisustamise kulud"/>
    <n v="55"/>
    <x v="0"/>
    <x v="0"/>
    <x v="0"/>
    <x v="0"/>
  </r>
  <r>
    <x v="7"/>
    <x v="50"/>
    <x v="50"/>
    <x v="20"/>
    <x v="7"/>
    <s v="Roela Rahvamaja"/>
    <s v="naistepäevapidu"/>
    <x v="1"/>
    <s v="lilled"/>
    <x v="22"/>
    <s v="Kommunikatsiooni-, kultuuri- ja vaba aja sisustamise kulud"/>
    <n v="55"/>
    <x v="0"/>
    <x v="0"/>
    <x v="0"/>
    <x v="0"/>
  </r>
  <r>
    <x v="7"/>
    <x v="50"/>
    <x v="50"/>
    <x v="20"/>
    <x v="7"/>
    <s v="Roela Rahvamaja"/>
    <s v="esinemised"/>
    <x v="108"/>
    <s v="väljasõidud"/>
    <x v="1"/>
    <s v="Mitmesugused majanduskulud"/>
    <n v="55"/>
    <x v="0"/>
    <x v="0"/>
    <x v="0"/>
    <x v="0"/>
  </r>
  <r>
    <x v="7"/>
    <x v="51"/>
    <x v="51"/>
    <x v="20"/>
    <x v="7"/>
    <s v="Laekvere Rahva Maja"/>
    <s v="Bürootarbed"/>
    <x v="32"/>
    <m/>
    <x v="0"/>
    <s v="Administreerimiskulud"/>
    <n v="55"/>
    <x v="0"/>
    <x v="0"/>
    <x v="0"/>
    <x v="0"/>
  </r>
  <r>
    <x v="7"/>
    <x v="51"/>
    <x v="51"/>
    <x v="20"/>
    <x v="7"/>
    <s v="Laekvere Rahva Maja"/>
    <s v="Lauatelefon, internet"/>
    <x v="2"/>
    <m/>
    <x v="0"/>
    <s v="Administreerimiskulud"/>
    <n v="55"/>
    <x v="0"/>
    <x v="0"/>
    <x v="0"/>
    <x v="0"/>
  </r>
  <r>
    <x v="7"/>
    <x v="51"/>
    <x v="51"/>
    <x v="20"/>
    <x v="7"/>
    <s v="Laekvere Rahva Maja"/>
    <s v="Trükised, ajalehed, ajakirjad"/>
    <x v="32"/>
    <s v="Virumaa teataja,Eesti Ekspress,  Maakodu"/>
    <x v="0"/>
    <s v="Administreerimiskulud"/>
    <n v="55"/>
    <x v="0"/>
    <x v="0"/>
    <x v="0"/>
    <x v="0"/>
  </r>
  <r>
    <x v="7"/>
    <x v="51"/>
    <x v="51"/>
    <x v="20"/>
    <x v="7"/>
    <s v="Laekvere Rahva Maja"/>
    <s v="Kuulutused, reklaam"/>
    <x v="0"/>
    <m/>
    <x v="0"/>
    <s v="Administreerimiskulud"/>
    <n v="55"/>
    <x v="0"/>
    <x v="0"/>
    <x v="0"/>
    <x v="0"/>
  </r>
  <r>
    <x v="7"/>
    <x v="51"/>
    <x v="51"/>
    <x v="20"/>
    <x v="7"/>
    <s v="Laekvere Rahva Maja"/>
    <s v="Kingitused, auhinnad"/>
    <x v="108"/>
    <m/>
    <x v="0"/>
    <s v="Administreerimiskulud"/>
    <n v="55"/>
    <x v="0"/>
    <x v="0"/>
    <x v="0"/>
    <x v="0"/>
  </r>
  <r>
    <x v="7"/>
    <x v="51"/>
    <x v="51"/>
    <x v="20"/>
    <x v="7"/>
    <s v="Laekvere Rahva Maja"/>
    <s v="Koolitused"/>
    <x v="41"/>
    <m/>
    <x v="2"/>
    <s v="Koolituskulud"/>
    <n v="55"/>
    <x v="0"/>
    <x v="0"/>
    <x v="0"/>
    <x v="0"/>
  </r>
  <r>
    <x v="7"/>
    <x v="51"/>
    <x v="51"/>
    <x v="20"/>
    <x v="7"/>
    <s v="Laekvere Rahva Maja"/>
    <s v="Isikliku sõiduauto komp."/>
    <x v="65"/>
    <m/>
    <x v="3"/>
    <s v="Sõidukite ülalpidamise kulud"/>
    <n v="55"/>
    <x v="0"/>
    <x v="0"/>
    <x v="0"/>
    <x v="0"/>
  </r>
  <r>
    <x v="7"/>
    <x v="51"/>
    <x v="51"/>
    <x v="20"/>
    <x v="7"/>
    <s v="Laekvere Rahva Maja"/>
    <s v="Töötajate tervisetõendid"/>
    <x v="108"/>
    <m/>
    <x v="9"/>
    <s v="Meditsiinikulud ja hügieenitarbed"/>
    <n v="55"/>
    <x v="0"/>
    <x v="0"/>
    <x v="0"/>
    <x v="0"/>
  </r>
  <r>
    <x v="7"/>
    <x v="51"/>
    <x v="51"/>
    <x v="20"/>
    <x v="7"/>
    <s v="Laekvere Rahva Maja"/>
    <s v="Üritused"/>
    <x v="210"/>
    <s v="(jõulupidu Muuga mõisas 600eur, kokkusaamised, väljasõidud sünnipäevade tähistamine), muud ettenägematud kulud."/>
    <x v="22"/>
    <s v="Kommunikatsiooni-, kultuuri- ja vaba aja sisustamise kulud"/>
    <n v="55"/>
    <x v="0"/>
    <x v="0"/>
    <x v="0"/>
    <x v="0"/>
  </r>
  <r>
    <x v="7"/>
    <x v="51"/>
    <x v="51"/>
    <x v="20"/>
    <x v="7"/>
    <s v="Laekvere Rahva Maja"/>
    <s v="Toiduained"/>
    <x v="14"/>
    <m/>
    <x v="22"/>
    <s v="Kommunikatsiooni-, kultuuri- ja vaba aja sisustamise kulud"/>
    <n v="55"/>
    <x v="0"/>
    <x v="0"/>
    <x v="0"/>
    <x v="0"/>
  </r>
  <r>
    <x v="7"/>
    <x v="51"/>
    <x v="51"/>
    <x v="20"/>
    <x v="7"/>
    <s v="Laekvere Rahva Maja"/>
    <s v="Küte"/>
    <x v="152"/>
    <m/>
    <x v="4"/>
    <s v="Kinnistute, hoonete ja ruumide majandamiskulud"/>
    <n v="55"/>
    <x v="0"/>
    <x v="0"/>
    <x v="0"/>
    <x v="0"/>
  </r>
  <r>
    <x v="7"/>
    <x v="51"/>
    <x v="51"/>
    <x v="20"/>
    <x v="7"/>
    <s v="Laekvere Rahva Maja"/>
    <s v="Elekter"/>
    <x v="123"/>
    <m/>
    <x v="4"/>
    <s v="Kinnistute, hoonete ja ruumide majandamiskulud"/>
    <n v="55"/>
    <x v="0"/>
    <x v="0"/>
    <x v="0"/>
    <x v="0"/>
  </r>
  <r>
    <x v="7"/>
    <x v="51"/>
    <x v="51"/>
    <x v="20"/>
    <x v="7"/>
    <s v="Laekvere Rahva Maja"/>
    <s v="Elektrikäitlemiskulu"/>
    <x v="108"/>
    <m/>
    <x v="4"/>
    <s v="Kinnistute, hoonete ja ruumide majandamiskulud"/>
    <n v="55"/>
    <x v="0"/>
    <x v="0"/>
    <x v="0"/>
    <x v="0"/>
  </r>
  <r>
    <x v="7"/>
    <x v="51"/>
    <x v="51"/>
    <x v="20"/>
    <x v="7"/>
    <s v="Laekvere Rahva Maja"/>
    <s v="Korrashoid, remont"/>
    <x v="7"/>
    <s v="Remonttööd siseruumides"/>
    <x v="4"/>
    <s v="Kinnistute, hoonete ja ruumide majandamiskulud"/>
    <n v="55"/>
    <x v="0"/>
    <x v="0"/>
    <x v="0"/>
    <x v="0"/>
  </r>
  <r>
    <x v="7"/>
    <x v="51"/>
    <x v="51"/>
    <x v="20"/>
    <x v="7"/>
    <s v="Laekvere Rahva Maja"/>
    <s v="Prügivedu"/>
    <x v="0"/>
    <m/>
    <x v="4"/>
    <s v="Kinnistute, hoonete ja ruumide majandamiskulud"/>
    <n v="55"/>
    <x v="0"/>
    <x v="0"/>
    <x v="0"/>
    <x v="0"/>
  </r>
  <r>
    <x v="7"/>
    <x v="51"/>
    <x v="51"/>
    <x v="20"/>
    <x v="7"/>
    <s v="Laekvere Rahva Maja"/>
    <s v="Vesi, kanalisatsioon"/>
    <x v="2"/>
    <m/>
    <x v="4"/>
    <s v="Kinnistute, hoonete ja ruumide majandamiskulud"/>
    <n v="55"/>
    <x v="0"/>
    <x v="0"/>
    <x v="0"/>
    <x v="0"/>
  </r>
  <r>
    <x v="7"/>
    <x v="51"/>
    <x v="51"/>
    <x v="20"/>
    <x v="7"/>
    <s v="Laekvere Rahva Maja"/>
    <s v="Kindlustusmaksed"/>
    <x v="0"/>
    <m/>
    <x v="4"/>
    <s v="Kinnistute, hoonete ja ruumide majandamiskulud"/>
    <n v="55"/>
    <x v="0"/>
    <x v="0"/>
    <x v="0"/>
    <x v="0"/>
  </r>
  <r>
    <x v="7"/>
    <x v="51"/>
    <x v="51"/>
    <x v="20"/>
    <x v="7"/>
    <s v="Laekvere Rahva Maja"/>
    <s v="Elektritarvikud"/>
    <x v="2"/>
    <s v=" valgustus, pirnid, patareid"/>
    <x v="4"/>
    <s v="Kinnistute, hoonete ja ruumide majandamiskulud"/>
    <n v="55"/>
    <x v="0"/>
    <x v="0"/>
    <x v="0"/>
    <x v="0"/>
  </r>
  <r>
    <x v="7"/>
    <x v="51"/>
    <x v="51"/>
    <x v="20"/>
    <x v="7"/>
    <s v="Ehitusnõunik"/>
    <s v="Laekvere Rahvamaja keldrisse lasketiiru rajamine"/>
    <x v="211"/>
    <m/>
    <x v="12"/>
    <s v="Rajatiste ja hoonete soetamine ja renoveerimine"/>
    <n v="15"/>
    <x v="3"/>
    <x v="3"/>
    <x v="3"/>
    <x v="2"/>
  </r>
  <r>
    <x v="7"/>
    <x v="51"/>
    <x v="51"/>
    <x v="20"/>
    <x v="7"/>
    <s v="Ehitusnõunik"/>
    <s v="Laekvere Rahvamaja, soojustuse projekteerimine ja noortetoa ventilatsioon"/>
    <x v="212"/>
    <m/>
    <x v="12"/>
    <s v="Rajatiste ja hoonete soetamine ja renoveerimine"/>
    <n v="15"/>
    <x v="3"/>
    <x v="3"/>
    <x v="3"/>
    <x v="2"/>
  </r>
  <r>
    <x v="7"/>
    <x v="51"/>
    <x v="51"/>
    <x v="20"/>
    <x v="7"/>
    <s v="Laekvere Rahva Maja"/>
    <s v="MTÜ Eha kapellijuhendaja sõidukulud"/>
    <x v="213"/>
    <m/>
    <x v="3"/>
    <s v="Sõidukite ülalpidamise kulud"/>
    <n v="55"/>
    <x v="0"/>
    <x v="0"/>
    <x v="0"/>
    <x v="0"/>
  </r>
  <r>
    <x v="7"/>
    <x v="51"/>
    <x v="51"/>
    <x v="20"/>
    <x v="7"/>
    <s v="Ehitusnõunik"/>
    <s v="Laekvere Rahvamaja keldrisse lasketiiru rajamine"/>
    <x v="152"/>
    <s v="PRIA toetus"/>
    <x v="12"/>
    <s v="Rajatiste ja hoonete soetamine ja renoveerimine"/>
    <n v="15"/>
    <x v="3"/>
    <x v="3"/>
    <x v="3"/>
    <x v="2"/>
  </r>
  <r>
    <x v="7"/>
    <x v="51"/>
    <x v="51"/>
    <x v="20"/>
    <x v="7"/>
    <s v="Ehitusnõunik"/>
    <s v="Laekvere Rahvamaja keldrisse lasketiiru rajamine"/>
    <x v="214"/>
    <s v="PRIA toetus"/>
    <x v="26"/>
    <s v="Põhivara soetuseks saadav sihtfinantseerimine"/>
    <n v="3502"/>
    <x v="6"/>
    <x v="10"/>
    <x v="13"/>
    <x v="2"/>
  </r>
  <r>
    <x v="7"/>
    <x v="52"/>
    <x v="52"/>
    <x v="20"/>
    <x v="7"/>
    <s v="Venevere seltsimaja"/>
    <s v="kinnistukulud"/>
    <x v="125"/>
    <m/>
    <x v="4"/>
    <s v="Kinnistute, hoonete ja ruumide majandamiskulud"/>
    <n v="55"/>
    <x v="0"/>
    <x v="0"/>
    <x v="0"/>
    <x v="0"/>
  </r>
  <r>
    <x v="7"/>
    <x v="52"/>
    <x v="52"/>
    <x v="20"/>
    <x v="7"/>
    <s v="Venevere seltsimaja"/>
    <s v="Bürootarbed"/>
    <x v="11"/>
    <m/>
    <x v="0"/>
    <s v="Administreerimiskulud"/>
    <n v="55"/>
    <x v="0"/>
    <x v="0"/>
    <x v="0"/>
    <x v="0"/>
  </r>
  <r>
    <x v="7"/>
    <x v="52"/>
    <x v="52"/>
    <x v="20"/>
    <x v="7"/>
    <s v="Venevere seltsimaja"/>
    <s v="koolitused"/>
    <x v="0"/>
    <m/>
    <x v="2"/>
    <s v="Koolituskulud"/>
    <n v="55"/>
    <x v="0"/>
    <x v="0"/>
    <x v="0"/>
    <x v="0"/>
  </r>
  <r>
    <x v="7"/>
    <x v="52"/>
    <x v="52"/>
    <x v="20"/>
    <x v="7"/>
    <s v="Venevere seltsimaja"/>
    <s v="Sõidukite majandamiskulud"/>
    <x v="108"/>
    <m/>
    <x v="3"/>
    <s v="Sõidukite ülalpidamise kulud"/>
    <n v="55"/>
    <x v="0"/>
    <x v="0"/>
    <x v="0"/>
    <x v="0"/>
  </r>
  <r>
    <x v="7"/>
    <x v="52"/>
    <x v="52"/>
    <x v="20"/>
    <x v="7"/>
    <s v="Venevere seltsimaja"/>
    <s v="Pokaalid 50tk 90.00, muu inventar vastavalt vajadusele"/>
    <x v="2"/>
    <m/>
    <x v="8"/>
    <s v="Inventari kulud, v.a infotehnoloogia ja kaitseotstarbelised kulud"/>
    <n v="55"/>
    <x v="0"/>
    <x v="0"/>
    <x v="0"/>
    <x v="0"/>
  </r>
  <r>
    <x v="7"/>
    <x v="52"/>
    <x v="52"/>
    <x v="20"/>
    <x v="7"/>
    <s v="Venevere seltsimaja"/>
    <s v="Üritused"/>
    <x v="215"/>
    <m/>
    <x v="22"/>
    <s v="Kommunikatsiooni-, kultuuri- ja vaba aja sisustamise kulud"/>
    <n v="55"/>
    <x v="0"/>
    <x v="0"/>
    <x v="0"/>
    <x v="0"/>
  </r>
  <r>
    <x v="7"/>
    <x v="52"/>
    <x v="52"/>
    <x v="20"/>
    <x v="7"/>
    <s v="Venevere seltsimaja"/>
    <s v="IT kulud"/>
    <x v="20"/>
    <m/>
    <x v="5"/>
    <s v="Info- ja kommunikatsioonitehnoliigised kulud"/>
    <n v="55"/>
    <x v="0"/>
    <x v="0"/>
    <x v="0"/>
    <x v="0"/>
  </r>
  <r>
    <x v="7"/>
    <x v="53"/>
    <x v="53"/>
    <x v="20"/>
    <x v="7"/>
    <s v="Ulvi klubi"/>
    <s v="telefon ja internet"/>
    <x v="110"/>
    <s v="telefon 3295418, internet Andigo OÜ 25.90 x 12 "/>
    <x v="0"/>
    <s v="Administreerimiskulud"/>
    <n v="55"/>
    <x v="0"/>
    <x v="0"/>
    <x v="0"/>
    <x v="0"/>
  </r>
  <r>
    <x v="7"/>
    <x v="53"/>
    <x v="53"/>
    <x v="20"/>
    <x v="7"/>
    <s v="Ulvi klubi"/>
    <s v="printeri tahm "/>
    <x v="0"/>
    <s v="värviprinteri tahm "/>
    <x v="0"/>
    <s v="Administreerimiskulud"/>
    <n v="55"/>
    <x v="0"/>
    <x v="0"/>
    <x v="0"/>
    <x v="0"/>
  </r>
  <r>
    <x v="7"/>
    <x v="53"/>
    <x v="53"/>
    <x v="20"/>
    <x v="7"/>
    <s v="Ulvi klubi"/>
    <s v="paber, pliiats, markerid"/>
    <x v="1"/>
    <m/>
    <x v="0"/>
    <s v="Administreerimiskulud"/>
    <n v="55"/>
    <x v="0"/>
    <x v="0"/>
    <x v="0"/>
    <x v="0"/>
  </r>
  <r>
    <x v="7"/>
    <x v="53"/>
    <x v="53"/>
    <x v="20"/>
    <x v="7"/>
    <s v="Ulvi klubi"/>
    <s v="klubi juhataja koolitused"/>
    <x v="187"/>
    <s v="juhataja koolitused/täiendkursused/suvekool"/>
    <x v="2"/>
    <s v="Koolituskulud"/>
    <n v="55"/>
    <x v="0"/>
    <x v="0"/>
    <x v="0"/>
    <x v="0"/>
  </r>
  <r>
    <x v="7"/>
    <x v="53"/>
    <x v="53"/>
    <x v="20"/>
    <x v="7"/>
    <s v="Ulvi klubi"/>
    <s v="isikliku sõiduauto kasutamine juhatajal"/>
    <x v="172"/>
    <s v="12 x 60.- "/>
    <x v="3"/>
    <s v="Sõidukite ülalpidamise kulud"/>
    <n v="55"/>
    <x v="0"/>
    <x v="0"/>
    <x v="0"/>
    <x v="0"/>
  </r>
  <r>
    <x v="7"/>
    <x v="53"/>
    <x v="53"/>
    <x v="20"/>
    <x v="7"/>
    <s v="Ulvi klubi"/>
    <s v="klubi ringide esinemisväljasõidud"/>
    <x v="10"/>
    <s v="bussi tellimine"/>
    <x v="22"/>
    <s v="Kommunikatsiooni-, kultuuri- ja vaba aja sisustamise kulud"/>
    <n v="55"/>
    <x v="0"/>
    <x v="0"/>
    <x v="0"/>
    <x v="0"/>
  </r>
  <r>
    <x v="7"/>
    <x v="53"/>
    <x v="53"/>
    <x v="20"/>
    <x v="7"/>
    <s v="Ulvi klubi"/>
    <s v="lilleteenus"/>
    <x v="120"/>
    <s v="ringijuhtide õnnitlemine, teiste asutuste õnnitlemine"/>
    <x v="22"/>
    <s v="Kommunikatsiooni-, kultuuri- ja vaba aja sisustamise kulud"/>
    <n v="55"/>
    <x v="0"/>
    <x v="0"/>
    <x v="0"/>
    <x v="0"/>
  </r>
  <r>
    <x v="7"/>
    <x v="53"/>
    <x v="53"/>
    <x v="20"/>
    <x v="7"/>
    <s v="Ulvi klubi"/>
    <s v="Vabariigi aastapäeva lipuheiskamine"/>
    <x v="41"/>
    <s v="esineja tellimine,vastuvõtulaud"/>
    <x v="22"/>
    <s v="Kommunikatsiooni-, kultuuri- ja vaba aja sisustamise kulud"/>
    <n v="55"/>
    <x v="0"/>
    <x v="0"/>
    <x v="0"/>
    <x v="0"/>
  </r>
  <r>
    <x v="7"/>
    <x v="53"/>
    <x v="53"/>
    <x v="20"/>
    <x v="7"/>
    <s v="Ulvi klubi"/>
    <s v="väiksemad üritused/koosviibimised"/>
    <x v="14"/>
    <s v="aasta jooksul lisanduvad mitte pikalt ette planeeritud üritused"/>
    <x v="22"/>
    <s v="Kommunikatsiooni-, kultuuri- ja vaba aja sisustamise kulud"/>
    <n v="55"/>
    <x v="0"/>
    <x v="0"/>
    <x v="0"/>
    <x v="0"/>
  </r>
  <r>
    <x v="7"/>
    <x v="53"/>
    <x v="53"/>
    <x v="20"/>
    <x v="7"/>
    <s v="Ulvi klubi"/>
    <s v="emadepäeva kontsert "/>
    <x v="0"/>
    <s v="tort/lilled/esineja"/>
    <x v="22"/>
    <s v="Kommunikatsiooni-, kultuuri- ja vaba aja sisustamise kulud"/>
    <n v="55"/>
    <x v="0"/>
    <x v="0"/>
    <x v="0"/>
    <x v="0"/>
  </r>
  <r>
    <x v="7"/>
    <x v="53"/>
    <x v="53"/>
    <x v="20"/>
    <x v="7"/>
    <s v="Ulvi klubi"/>
    <s v="Rägavere piirkonna jaanituli"/>
    <x v="10"/>
    <s v="ansambel/õhtujuht/auhinnad/lõke/lasteala"/>
    <x v="22"/>
    <s v="Kommunikatsiooni-, kultuuri- ja vaba aja sisustamise kulud"/>
    <n v="55"/>
    <x v="0"/>
    <x v="0"/>
    <x v="0"/>
    <x v="0"/>
  </r>
  <r>
    <x v="7"/>
    <x v="53"/>
    <x v="53"/>
    <x v="20"/>
    <x v="7"/>
    <s v="Ulvi klubi"/>
    <s v="koduste laste jõulupidu "/>
    <x v="0"/>
    <s v="jõuluvana tellimine"/>
    <x v="22"/>
    <s v="Kommunikatsiooni-, kultuuri- ja vaba aja sisustamise kulud"/>
    <n v="55"/>
    <x v="0"/>
    <x v="0"/>
    <x v="0"/>
    <x v="0"/>
  </r>
  <r>
    <x v="7"/>
    <x v="53"/>
    <x v="53"/>
    <x v="20"/>
    <x v="7"/>
    <s v="Ulvi klubi"/>
    <s v="taidlejate/piirkonna jõulupidu"/>
    <x v="41"/>
    <s v="esinejate tellimine/ ringijuhtide jõulupakid"/>
    <x v="22"/>
    <s v="Kommunikatsiooni-, kultuuri- ja vaba aja sisustamise kulud"/>
    <n v="55"/>
    <x v="0"/>
    <x v="0"/>
    <x v="0"/>
    <x v="0"/>
  </r>
  <r>
    <x v="7"/>
    <x v="53"/>
    <x v="53"/>
    <x v="20"/>
    <x v="7"/>
    <s v="Ulvi klubi"/>
    <s v="kevadine hooaja lõpetamine "/>
    <x v="32"/>
    <s v="esineja/tänukirjad/kringel/kohv"/>
    <x v="22"/>
    <s v="Kommunikatsiooni-, kultuuri- ja vaba aja sisustamise kulud"/>
    <n v="55"/>
    <x v="0"/>
    <x v="0"/>
    <x v="0"/>
    <x v="0"/>
  </r>
  <r>
    <x v="7"/>
    <x v="53"/>
    <x v="53"/>
    <x v="20"/>
    <x v="7"/>
    <s v="Ulvi klubi"/>
    <s v="Rägavere piirkonna vastalpäev"/>
    <x v="120"/>
    <s v="supp/kukklid/auhinnad"/>
    <x v="22"/>
    <s v="Kommunikatsiooni-, kultuuri- ja vaba aja sisustamise kulud"/>
    <n v="55"/>
    <x v="0"/>
    <x v="0"/>
    <x v="0"/>
    <x v="0"/>
  </r>
  <r>
    <x v="7"/>
    <x v="53"/>
    <x v="53"/>
    <x v="20"/>
    <x v="7"/>
    <s v="Ulvi klubi"/>
    <s v="dekoratsioonid üritustele"/>
    <x v="120"/>
    <m/>
    <x v="22"/>
    <s v="Kommunikatsiooni-, kultuuri- ja vaba aja sisustamise kulud"/>
    <n v="55"/>
    <x v="0"/>
    <x v="0"/>
    <x v="0"/>
    <x v="0"/>
  </r>
  <r>
    <x v="7"/>
    <x v="53"/>
    <x v="53"/>
    <x v="20"/>
    <x v="7"/>
    <s v="Ulvi klubi"/>
    <s v="eakate päeva tähistamine "/>
    <x v="0"/>
    <m/>
    <x v="22"/>
    <s v="Kommunikatsiooni-, kultuuri- ja vaba aja sisustamise kulud"/>
    <n v="55"/>
    <x v="0"/>
    <x v="0"/>
    <x v="0"/>
    <x v="0"/>
  </r>
  <r>
    <x v="7"/>
    <x v="53"/>
    <x v="53"/>
    <x v="20"/>
    <x v="7"/>
    <s v="Ulvi klubi"/>
    <s v="pesutöötlus"/>
    <x v="0"/>
    <s v="Virumaa Puhastus OÜ "/>
    <x v="4"/>
    <s v="Kinnistute, hoonete ja ruumide majandamiskulud"/>
    <n v="55"/>
    <x v="0"/>
    <x v="0"/>
    <x v="0"/>
    <x v="0"/>
  </r>
  <r>
    <x v="7"/>
    <x v="53"/>
    <x v="53"/>
    <x v="20"/>
    <x v="7"/>
    <s v="Ulvi klubi"/>
    <s v="vesi ja kanalisatsioon "/>
    <x v="108"/>
    <s v="Kunda Vesi OÜ"/>
    <x v="4"/>
    <s v="Kinnistute, hoonete ja ruumide majandamiskulud"/>
    <n v="55"/>
    <x v="0"/>
    <x v="0"/>
    <x v="0"/>
    <x v="0"/>
  </r>
  <r>
    <x v="7"/>
    <x v="53"/>
    <x v="53"/>
    <x v="20"/>
    <x v="7"/>
    <s v="Ulvi klubi"/>
    <s v="veeautomaadi rent/vesi"/>
    <x v="0"/>
    <s v="6.- x 12 "/>
    <x v="4"/>
    <s v="Kinnistute, hoonete ja ruumide majandamiskulud"/>
    <n v="55"/>
    <x v="0"/>
    <x v="0"/>
    <x v="0"/>
    <x v="0"/>
  </r>
  <r>
    <x v="7"/>
    <x v="53"/>
    <x v="53"/>
    <x v="20"/>
    <x v="7"/>
    <s v="Ulvi klubi"/>
    <s v="elekter"/>
    <x v="44"/>
    <s v="Eesti Energia AS"/>
    <x v="4"/>
    <s v="Kinnistute, hoonete ja ruumide majandamiskulud"/>
    <n v="55"/>
    <x v="0"/>
    <x v="0"/>
    <x v="0"/>
    <x v="0"/>
  </r>
  <r>
    <x v="7"/>
    <x v="53"/>
    <x v="53"/>
    <x v="20"/>
    <x v="7"/>
    <s v="Ulvi klubi"/>
    <s v="maaküte"/>
    <x v="14"/>
    <s v="Viru Maaküte OÜ "/>
    <x v="4"/>
    <s v="Kinnistute, hoonete ja ruumide majandamiskulud"/>
    <n v="55"/>
    <x v="0"/>
    <x v="0"/>
    <x v="0"/>
    <x v="0"/>
  </r>
  <r>
    <x v="7"/>
    <x v="53"/>
    <x v="53"/>
    <x v="20"/>
    <x v="7"/>
    <s v="Ulvi klubi"/>
    <s v="tulekustutite kontroll/hooldusteenus"/>
    <x v="41"/>
    <s v="Tamrex Ohutuse OÜ"/>
    <x v="4"/>
    <s v="Kinnistute, hoonete ja ruumide majandamiskulud"/>
    <n v="55"/>
    <x v="0"/>
    <x v="0"/>
    <x v="0"/>
    <x v="0"/>
  </r>
  <r>
    <x v="7"/>
    <x v="53"/>
    <x v="53"/>
    <x v="20"/>
    <x v="7"/>
    <s v="Ulvi klubi"/>
    <s v="valvesüsteemi hooldusteenua"/>
    <x v="11"/>
    <s v="KMPH Grupp OÜ"/>
    <x v="4"/>
    <s v="Kinnistute, hoonete ja ruumide majandamiskulud"/>
    <n v="55"/>
    <x v="0"/>
    <x v="0"/>
    <x v="0"/>
    <x v="0"/>
  </r>
  <r>
    <x v="7"/>
    <x v="53"/>
    <x v="53"/>
    <x v="20"/>
    <x v="7"/>
    <s v="Ulvi klubi"/>
    <s v="maja korrashoiuvahendid"/>
    <x v="14"/>
    <s v="puh.vahendid, lapid, mopid, harjad, WC- ja kätebaperid, seebi jne."/>
    <x v="4"/>
    <s v="Kinnistute, hoonete ja ruumide majandamiskulud"/>
    <n v="55"/>
    <x v="0"/>
    <x v="0"/>
    <x v="0"/>
    <x v="0"/>
  </r>
  <r>
    <x v="7"/>
    <x v="53"/>
    <x v="53"/>
    <x v="20"/>
    <x v="7"/>
    <s v="Ulvi klubi"/>
    <s v="saali parketihooldus "/>
    <x v="146"/>
    <s v="iga aastane parketihooldus/vahendid/tööaeg"/>
    <x v="4"/>
    <s v="Kinnistute, hoonete ja ruumide majandamiskulud"/>
    <n v="55"/>
    <x v="0"/>
    <x v="0"/>
    <x v="0"/>
    <x v="0"/>
  </r>
  <r>
    <x v="7"/>
    <x v="53"/>
    <x v="53"/>
    <x v="20"/>
    <x v="7"/>
    <s v="Ulvi klubi"/>
    <s v="maja hooldustööd/remont"/>
    <x v="14"/>
    <s v="ettenägematud kulud maja remondiks/pirnide vahetus/parandustööd/kanalisatsioonitööd"/>
    <x v="4"/>
    <s v="Kinnistute, hoonete ja ruumide majandamiskulud"/>
    <n v="55"/>
    <x v="0"/>
    <x v="0"/>
    <x v="0"/>
    <x v="0"/>
  </r>
  <r>
    <x v="7"/>
    <x v="53"/>
    <x v="53"/>
    <x v="20"/>
    <x v="7"/>
    <s v="Ulvi klubi"/>
    <s v="lilled õue lillekastidesse, amplid suvel maja ees"/>
    <x v="0"/>
    <m/>
    <x v="4"/>
    <s v="Kinnistute, hoonete ja ruumide majandamiskulud"/>
    <n v="55"/>
    <x v="0"/>
    <x v="0"/>
    <x v="0"/>
    <x v="0"/>
  </r>
  <r>
    <x v="7"/>
    <x v="53"/>
    <x v="53"/>
    <x v="20"/>
    <x v="7"/>
    <s v="Ulvi klubi"/>
    <s v="hoone kindlustus "/>
    <x v="32"/>
    <m/>
    <x v="4"/>
    <s v="Kinnistute, hoonete ja ruumide majandamiskulud"/>
    <n v="55"/>
    <x v="0"/>
    <x v="0"/>
    <x v="0"/>
    <x v="0"/>
  </r>
  <r>
    <x v="7"/>
    <x v="53"/>
    <x v="53"/>
    <x v="20"/>
    <x v="7"/>
    <s v="Ulvi klubi"/>
    <s v="arvutihooldus/programmid"/>
    <x v="32"/>
    <m/>
    <x v="5"/>
    <s v="Info- ja kommunikatsioonitehnoliigised kulud"/>
    <n v="55"/>
    <x v="0"/>
    <x v="0"/>
    <x v="0"/>
    <x v="0"/>
  </r>
  <r>
    <x v="7"/>
    <x v="54"/>
    <x v="54"/>
    <x v="21"/>
    <x v="7"/>
    <s v="Muuseumi juhataja"/>
    <s v="Transpordikulud"/>
    <x v="14"/>
    <s v="Põlula, Tudu muuseumisse isikute vedu"/>
    <x v="1"/>
    <s v="Mitmesugused majanduskulud"/>
    <n v="55"/>
    <x v="0"/>
    <x v="0"/>
    <x v="0"/>
    <x v="0"/>
  </r>
  <r>
    <x v="7"/>
    <x v="54"/>
    <x v="54"/>
    <x v="21"/>
    <x v="7"/>
    <s v="Muuseumi juhataja"/>
    <s v="Skännerid"/>
    <x v="25"/>
    <s v="Põlula, Tudu, Roela, Viru-Jaagupi, Kadila, Laekvere"/>
    <x v="5"/>
    <s v="Info- ja kommunikatsioonitehnoliigised kulud"/>
    <n v="55"/>
    <x v="0"/>
    <x v="0"/>
    <x v="0"/>
    <x v="0"/>
  </r>
  <r>
    <x v="7"/>
    <x v="54"/>
    <x v="54"/>
    <x v="21"/>
    <x v="7"/>
    <s v="Muuseumi juhataja"/>
    <s v="Arhiveerimistarvikud"/>
    <x v="163"/>
    <s v="Põlula, Tudu, Roela, Viru-Jaagupi, Kadila, Laekvere"/>
    <x v="0"/>
    <s v="Administreerimiskulud"/>
    <n v="55"/>
    <x v="0"/>
    <x v="0"/>
    <x v="0"/>
    <x v="0"/>
  </r>
  <r>
    <x v="7"/>
    <x v="54"/>
    <x v="54"/>
    <x v="21"/>
    <x v="7"/>
    <s v="Muuseumi juhataja"/>
    <s v="Materjalide ettevalmistamine näituseks"/>
    <x v="10"/>
    <s v="Põlula, Tudu, Roela "/>
    <x v="1"/>
    <s v="Mitmesugused majanduskulud"/>
    <n v="55"/>
    <x v="0"/>
    <x v="0"/>
    <x v="0"/>
    <x v="0"/>
  </r>
  <r>
    <x v="7"/>
    <x v="54"/>
    <x v="54"/>
    <x v="21"/>
    <x v="7"/>
    <s v="Muuseumi juhataja"/>
    <s v="Isikliku sõiduauto komp."/>
    <x v="74"/>
    <m/>
    <x v="3"/>
    <s v="Sõidukite ülalpidamise kulud"/>
    <n v="55"/>
    <x v="0"/>
    <x v="0"/>
    <x v="0"/>
    <x v="0"/>
  </r>
  <r>
    <x v="7"/>
    <x v="54"/>
    <x v="54"/>
    <x v="21"/>
    <x v="7"/>
    <s v="Muuseumi juhataja"/>
    <s v="Sideteenused"/>
    <x v="216"/>
    <m/>
    <x v="0"/>
    <s v="Administreerimiskulud"/>
    <n v="55"/>
    <x v="0"/>
    <x v="0"/>
    <x v="0"/>
    <x v="0"/>
  </r>
  <r>
    <x v="7"/>
    <x v="54"/>
    <x v="54"/>
    <x v="21"/>
    <x v="7"/>
    <s v="Muuseumi juhataja"/>
    <s v="Topoteegi aastane hooldustasu"/>
    <x v="32"/>
    <m/>
    <x v="5"/>
    <s v="Info- ja kommunikatsioonitehnoliigised kulud"/>
    <n v="55"/>
    <x v="0"/>
    <x v="0"/>
    <x v="0"/>
    <x v="0"/>
  </r>
  <r>
    <x v="7"/>
    <x v="54"/>
    <x v="54"/>
    <x v="21"/>
    <x v="7"/>
    <s v="Muuseumi juhataja"/>
    <s v="Topoteegi pidajate koolitus"/>
    <x v="41"/>
    <m/>
    <x v="2"/>
    <s v="Koolituskulud"/>
    <n v="55"/>
    <x v="0"/>
    <x v="0"/>
    <x v="0"/>
    <x v="0"/>
  </r>
  <r>
    <x v="7"/>
    <x v="54"/>
    <x v="54"/>
    <x v="21"/>
    <x v="7"/>
    <s v="Muuseumi juhataja"/>
    <s v="TLU töögrupi tegevuse kompenseerimine"/>
    <x v="132"/>
    <s v="Majutus, transport, toitlustus"/>
    <x v="1"/>
    <s v="Mitmesugused majanduskulud"/>
    <n v="55"/>
    <x v="0"/>
    <x v="0"/>
    <x v="0"/>
    <x v="0"/>
  </r>
  <r>
    <x v="7"/>
    <x v="54"/>
    <x v="54"/>
    <x v="21"/>
    <x v="7"/>
    <s v="Muuseumi juhataja"/>
    <s v="Arhiveerimistarvikud"/>
    <x v="14"/>
    <m/>
    <x v="0"/>
    <s v="Administreerimiskulud"/>
    <n v="55"/>
    <x v="0"/>
    <x v="0"/>
    <x v="0"/>
    <x v="0"/>
  </r>
  <r>
    <x v="7"/>
    <x v="54"/>
    <x v="54"/>
    <x v="21"/>
    <x v="7"/>
    <s v="Muuseumi juhataja"/>
    <s v="Koolitused"/>
    <x v="2"/>
    <m/>
    <x v="2"/>
    <s v="Koolituskulud"/>
    <n v="55"/>
    <x v="0"/>
    <x v="0"/>
    <x v="0"/>
    <x v="0"/>
  </r>
  <r>
    <x v="7"/>
    <x v="54"/>
    <x v="54"/>
    <x v="21"/>
    <x v="7"/>
    <s v="Muuseumi juhataja"/>
    <s v="Eksperdi kaasamine ERMist"/>
    <x v="20"/>
    <m/>
    <x v="1"/>
    <s v="Mitmesugused majanduskulud"/>
    <n v="55"/>
    <x v="0"/>
    <x v="0"/>
    <x v="0"/>
    <x v="0"/>
  </r>
  <r>
    <x v="7"/>
    <x v="54"/>
    <x v="54"/>
    <x v="21"/>
    <x v="7"/>
    <s v="Muuseumi juhataja"/>
    <s v="Ettenägematud kulud"/>
    <x v="28"/>
    <m/>
    <x v="1"/>
    <s v="Mitmesugused majanduskulud"/>
    <n v="55"/>
    <x v="0"/>
    <x v="0"/>
    <x v="0"/>
    <x v="0"/>
  </r>
  <r>
    <x v="7"/>
    <x v="55"/>
    <x v="55"/>
    <x v="22"/>
    <x v="7"/>
    <s v="Kultuuri-ja avalike suhete nõunik"/>
    <s v="Vallalehe kirjastuskulud"/>
    <x v="217"/>
    <m/>
    <x v="0"/>
    <s v="Administreerimiskulud"/>
    <n v="55"/>
    <x v="0"/>
    <x v="0"/>
    <x v="0"/>
    <x v="0"/>
  </r>
  <r>
    <x v="7"/>
    <x v="56"/>
    <x v="56"/>
    <x v="23"/>
    <x v="7"/>
    <s v="Vallavanem"/>
    <s v="Isikliku sõiduauto komp."/>
    <x v="5"/>
    <s v="Hilje ametikoht"/>
    <x v="3"/>
    <s v="Sõidukite ülalpidamise kulud"/>
    <n v="55"/>
    <x v="0"/>
    <x v="0"/>
    <x v="0"/>
    <x v="0"/>
  </r>
  <r>
    <x v="7"/>
    <x v="56"/>
    <x v="56"/>
    <x v="23"/>
    <x v="7"/>
    <s v="Vallavanem"/>
    <s v="koolitused"/>
    <x v="110"/>
    <m/>
    <x v="2"/>
    <s v="Koolituskulud"/>
    <n v="55"/>
    <x v="0"/>
    <x v="0"/>
    <x v="0"/>
    <x v="0"/>
  </r>
  <r>
    <x v="7"/>
    <x v="56"/>
    <x v="56"/>
    <x v="23"/>
    <x v="7"/>
    <s v="Vallavanem"/>
    <s v="Sideteenused"/>
    <x v="11"/>
    <m/>
    <x v="0"/>
    <s v="Administreerimiskulud"/>
    <n v="55"/>
    <x v="0"/>
    <x v="0"/>
    <x v="0"/>
    <x v="0"/>
  </r>
  <r>
    <x v="7"/>
    <x v="56"/>
    <x v="56"/>
    <x v="23"/>
    <x v="7"/>
    <s v="Arendusnõunik"/>
    <s v="Raudteepärandi projektis osalemine"/>
    <x v="152"/>
    <m/>
    <x v="12"/>
    <s v="Rajatiste ja hoonete soetamine ja renoveerimine"/>
    <n v="15"/>
    <x v="3"/>
    <x v="3"/>
    <x v="3"/>
    <x v="2"/>
  </r>
  <r>
    <x v="8"/>
    <x v="57"/>
    <x v="57"/>
    <x v="24"/>
    <x v="8"/>
    <s v="Vinni lasteaed"/>
    <s v="Telefonid, internett"/>
    <x v="146"/>
    <s v="Telia"/>
    <x v="0"/>
    <s v="Administreerimiskulud"/>
    <n v="55"/>
    <x v="0"/>
    <x v="0"/>
    <x v="0"/>
    <x v="0"/>
  </r>
  <r>
    <x v="8"/>
    <x v="57"/>
    <x v="57"/>
    <x v="24"/>
    <x v="8"/>
    <s v="Vinni lasteaed"/>
    <s v="Ajalehed, tööalane kirjandus, kuulutused"/>
    <x v="2"/>
    <s v="Õpetajate leht, tööalased teavikud jne"/>
    <x v="0"/>
    <s v="Administreerimiskulud"/>
    <n v="55"/>
    <x v="0"/>
    <x v="0"/>
    <x v="0"/>
    <x v="0"/>
  </r>
  <r>
    <x v="8"/>
    <x v="57"/>
    <x v="57"/>
    <x v="24"/>
    <x v="8"/>
    <s v="Vinni lasteaed"/>
    <s v="Kantseleikaubad"/>
    <x v="187"/>
    <s v="paber, pastakad, tahm jne"/>
    <x v="0"/>
    <s v="Administreerimiskulud"/>
    <n v="55"/>
    <x v="0"/>
    <x v="0"/>
    <x v="0"/>
    <x v="0"/>
  </r>
  <r>
    <x v="8"/>
    <x v="57"/>
    <x v="57"/>
    <x v="24"/>
    <x v="8"/>
    <s v="Vinni lasteaed"/>
    <s v="Koolitused pedagoogidele"/>
    <x v="132"/>
    <m/>
    <x v="2"/>
    <s v="Koolituskulud"/>
    <n v="55"/>
    <x v="0"/>
    <x v="0"/>
    <x v="0"/>
    <x v="0"/>
  </r>
  <r>
    <x v="8"/>
    <x v="57"/>
    <x v="57"/>
    <x v="24"/>
    <x v="8"/>
    <s v="Vinni lasteaed"/>
    <s v="Tellitud koolitused majja"/>
    <x v="2"/>
    <m/>
    <x v="2"/>
    <s v="Koolituskulud"/>
    <n v="55"/>
    <x v="0"/>
    <x v="0"/>
    <x v="0"/>
    <x v="0"/>
  </r>
  <r>
    <x v="8"/>
    <x v="57"/>
    <x v="57"/>
    <x v="24"/>
    <x v="8"/>
    <s v="Vinni lasteaed"/>
    <s v="Ainesektsioonid"/>
    <x v="32"/>
    <m/>
    <x v="2"/>
    <s v="Koolituskulud"/>
    <n v="55"/>
    <x v="0"/>
    <x v="0"/>
    <x v="0"/>
    <x v="0"/>
  </r>
  <r>
    <x v="8"/>
    <x v="57"/>
    <x v="57"/>
    <x v="24"/>
    <x v="8"/>
    <s v="Vinni lasteaed"/>
    <s v="Lähetus"/>
    <x v="32"/>
    <s v="bussipiletid, kütus"/>
    <x v="2"/>
    <s v="Koolituskulud"/>
    <n v="55"/>
    <x v="0"/>
    <x v="0"/>
    <x v="0"/>
    <x v="0"/>
  </r>
  <r>
    <x v="8"/>
    <x v="57"/>
    <x v="57"/>
    <x v="24"/>
    <x v="8"/>
    <s v="Vinni lasteaed"/>
    <s v="Isikliku sõiduauto kasutus"/>
    <x v="208"/>
    <s v="12x 64 x 2autot"/>
    <x v="3"/>
    <s v="Sõidukite ülalpidamise kulud"/>
    <n v="55"/>
    <x v="0"/>
    <x v="0"/>
    <x v="0"/>
    <x v="0"/>
  </r>
  <r>
    <x v="8"/>
    <x v="57"/>
    <x v="57"/>
    <x v="24"/>
    <x v="8"/>
    <s v="Vinni lasteaed"/>
    <s v="Süntesaator"/>
    <x v="10"/>
    <m/>
    <x v="8"/>
    <s v="Inventari kulud, v.a infotehnoloogia ja kaitseotstarbelised kulud"/>
    <n v="55"/>
    <x v="0"/>
    <x v="0"/>
    <x v="0"/>
    <x v="0"/>
  </r>
  <r>
    <x v="8"/>
    <x v="57"/>
    <x v="57"/>
    <x v="24"/>
    <x v="8"/>
    <s v="Vinni lasteaed"/>
    <s v="Lumepuhur"/>
    <x v="14"/>
    <m/>
    <x v="8"/>
    <s v="Inventari kulud, v.a infotehnoloogia ja kaitseotstarbelised kulud"/>
    <n v="55"/>
    <x v="0"/>
    <x v="0"/>
    <x v="0"/>
    <x v="0"/>
  </r>
  <r>
    <x v="8"/>
    <x v="57"/>
    <x v="57"/>
    <x v="24"/>
    <x v="8"/>
    <s v="Vinni lasteaed"/>
    <s v="toidupäevade arv x 1,60 euroga- 25% puudumised"/>
    <x v="218"/>
    <m/>
    <x v="30"/>
    <s v="Toiduained ja toitlustusteenused"/>
    <n v="55"/>
    <x v="0"/>
    <x v="0"/>
    <x v="0"/>
    <x v="0"/>
  </r>
  <r>
    <x v="8"/>
    <x v="57"/>
    <x v="57"/>
    <x v="24"/>
    <x v="8"/>
    <s v="Vinni lasteaed"/>
    <s v="Hügieenitarbed"/>
    <x v="32"/>
    <s v="plaastrid, des.vahendid jne"/>
    <x v="9"/>
    <s v="Meditsiinikulud ja hügieenitarbed"/>
    <n v="55"/>
    <x v="0"/>
    <x v="0"/>
    <x v="0"/>
    <x v="0"/>
  </r>
  <r>
    <x v="8"/>
    <x v="57"/>
    <x v="57"/>
    <x v="24"/>
    <x v="8"/>
    <s v="Vinni lasteaed"/>
    <s v="Korralised med. tõendid"/>
    <x v="41"/>
    <s v="tervise tõend, töötervishoiu arst"/>
    <x v="9"/>
    <s v="Meditsiinikulud ja hügieenitarbed"/>
    <n v="55"/>
    <x v="0"/>
    <x v="0"/>
    <x v="0"/>
    <x v="0"/>
  </r>
  <r>
    <x v="8"/>
    <x v="57"/>
    <x v="57"/>
    <x v="24"/>
    <x v="8"/>
    <s v="Vinni lasteaed"/>
    <s v="Erialane pedagoogiline kirjandus"/>
    <x v="2"/>
    <m/>
    <x v="10"/>
    <s v="Teavikud ja kunstiesemed"/>
    <n v="55"/>
    <x v="0"/>
    <x v="0"/>
    <x v="0"/>
    <x v="0"/>
  </r>
  <r>
    <x v="8"/>
    <x v="57"/>
    <x v="57"/>
    <x v="24"/>
    <x v="8"/>
    <s v="Vinni lasteaed"/>
    <s v="Lasteraamatud ja teatmeteosed"/>
    <x v="2"/>
    <m/>
    <x v="10"/>
    <s v="Teavikud ja kunstiesemed"/>
    <n v="55"/>
    <x v="0"/>
    <x v="0"/>
    <x v="0"/>
    <x v="0"/>
  </r>
  <r>
    <x v="8"/>
    <x v="57"/>
    <x v="57"/>
    <x v="24"/>
    <x v="8"/>
    <s v="Vinni lasteaed"/>
    <s v="Paberid, värvid, pliiatsid, pintslid, liimid,meisterdamis vahendid jne"/>
    <x v="219"/>
    <m/>
    <x v="31"/>
    <s v="Õppevahendid"/>
    <n v="55"/>
    <x v="0"/>
    <x v="0"/>
    <x v="0"/>
    <x v="0"/>
  </r>
  <r>
    <x v="8"/>
    <x v="57"/>
    <x v="57"/>
    <x v="24"/>
    <x v="8"/>
    <s v="Vinni lasteaed"/>
    <s v="Mänguvahendid, õpikud, töövihikud"/>
    <x v="219"/>
    <m/>
    <x v="31"/>
    <s v="Õppevahendid"/>
    <n v="55"/>
    <x v="0"/>
    <x v="0"/>
    <x v="0"/>
    <x v="0"/>
  </r>
  <r>
    <x v="8"/>
    <x v="57"/>
    <x v="57"/>
    <x v="24"/>
    <x v="8"/>
    <s v="Vinni lasteaed"/>
    <s v="Mängupeod, väljasõidud, ühisüritused lastele"/>
    <x v="7"/>
    <s v="auhinnad, bussi tellimine"/>
    <x v="22"/>
    <s v="Kommunikatsiooni-, kultuuri- ja vaba aja sisustamise kulud"/>
    <n v="55"/>
    <x v="0"/>
    <x v="0"/>
    <x v="0"/>
    <x v="0"/>
  </r>
  <r>
    <x v="8"/>
    <x v="57"/>
    <x v="57"/>
    <x v="24"/>
    <x v="8"/>
    <s v="Vinni lasteaed"/>
    <s v="Ühisüritused personalile, väljasõidud"/>
    <x v="7"/>
    <s v="bussi tellimine, ruumide rent"/>
    <x v="22"/>
    <s v="Kommunikatsiooni-, kultuuri- ja vaba aja sisustamise kulud"/>
    <n v="55"/>
    <x v="0"/>
    <x v="0"/>
    <x v="0"/>
    <x v="0"/>
  </r>
  <r>
    <x v="8"/>
    <x v="57"/>
    <x v="57"/>
    <x v="24"/>
    <x v="8"/>
    <s v="Vinni lasteaed"/>
    <s v="soojus"/>
    <x v="140"/>
    <s v="Askoterm OÜ"/>
    <x v="4"/>
    <s v="Kinnistute, hoonete ja ruumide majandamiskulud"/>
    <n v="55"/>
    <x v="0"/>
    <x v="0"/>
    <x v="0"/>
    <x v="0"/>
  </r>
  <r>
    <x v="8"/>
    <x v="57"/>
    <x v="57"/>
    <x v="24"/>
    <x v="8"/>
    <s v="Vinni lasteaed"/>
    <s v="Vesi, kanalisatsioon"/>
    <x v="28"/>
    <s v="Emajõe Veevärk AS"/>
    <x v="4"/>
    <s v="Kinnistute, hoonete ja ruumide majandamiskulud"/>
    <n v="55"/>
    <x v="0"/>
    <x v="0"/>
    <x v="0"/>
    <x v="0"/>
  </r>
  <r>
    <x v="8"/>
    <x v="57"/>
    <x v="57"/>
    <x v="24"/>
    <x v="8"/>
    <s v="Vinni lasteaed"/>
    <s v="Elekter"/>
    <x v="115"/>
    <s v="Eesti Energia AS"/>
    <x v="4"/>
    <s v="Kinnistute, hoonete ja ruumide majandamiskulud"/>
    <n v="55"/>
    <x v="0"/>
    <x v="0"/>
    <x v="0"/>
    <x v="0"/>
  </r>
  <r>
    <x v="8"/>
    <x v="57"/>
    <x v="57"/>
    <x v="24"/>
    <x v="8"/>
    <s v="Vinni lasteaed"/>
    <s v="Prügi"/>
    <x v="107"/>
    <s v="MTÜ L- Virumaa Jäätmekeskus, Ragnr Sells OÜ"/>
    <x v="4"/>
    <s v="Kinnistute, hoonete ja ruumide majandamiskulud"/>
    <n v="55"/>
    <x v="0"/>
    <x v="0"/>
    <x v="0"/>
    <x v="0"/>
  </r>
  <r>
    <x v="8"/>
    <x v="57"/>
    <x v="57"/>
    <x v="24"/>
    <x v="8"/>
    <s v="Vinni lasteaed"/>
    <s v="Pesu pesemine"/>
    <x v="109"/>
    <s v="Pesumaja teenus 85x12"/>
    <x v="4"/>
    <s v="Kinnistute, hoonete ja ruumide majandamiskulud"/>
    <n v="55"/>
    <x v="0"/>
    <x v="0"/>
    <x v="0"/>
    <x v="0"/>
  </r>
  <r>
    <x v="8"/>
    <x v="57"/>
    <x v="57"/>
    <x v="24"/>
    <x v="8"/>
    <s v="Vinni lasteaed"/>
    <s v="Ats hooldus"/>
    <x v="174"/>
    <s v="U.K.V Grupp OÜ  4x115"/>
    <x v="4"/>
    <s v="Kinnistute, hoonete ja ruumide majandamiskulud"/>
    <n v="55"/>
    <x v="0"/>
    <x v="0"/>
    <x v="0"/>
    <x v="0"/>
  </r>
  <r>
    <x v="8"/>
    <x v="57"/>
    <x v="57"/>
    <x v="24"/>
    <x v="8"/>
    <s v="Vinni lasteaed"/>
    <s v="Liivafiltri hooldus, rasvakoguja"/>
    <x v="132"/>
    <s v="Virumaa Veepumbakeskus OÜ, Protectpipe OÜ"/>
    <x v="4"/>
    <s v="Kinnistute, hoonete ja ruumide majandamiskulud"/>
    <n v="55"/>
    <x v="0"/>
    <x v="0"/>
    <x v="0"/>
    <x v="0"/>
  </r>
  <r>
    <x v="8"/>
    <x v="57"/>
    <x v="57"/>
    <x v="24"/>
    <x v="8"/>
    <s v="Vinni lasteaed"/>
    <s v="Kahjurtõrje"/>
    <x v="149"/>
    <s v="Rentokil OÜ 48x4"/>
    <x v="4"/>
    <s v="Kinnistute, hoonete ja ruumide majandamiskulud"/>
    <n v="55"/>
    <x v="0"/>
    <x v="0"/>
    <x v="0"/>
    <x v="0"/>
  </r>
  <r>
    <x v="8"/>
    <x v="57"/>
    <x v="57"/>
    <x v="24"/>
    <x v="8"/>
    <s v="Vinni lasteaed"/>
    <s v="Muruniiduk, murutraktor, trimmer"/>
    <x v="41"/>
    <s v="bensiin, remont, damiil"/>
    <x v="4"/>
    <s v="Kinnistute, hoonete ja ruumide majandamiskulud"/>
    <n v="55"/>
    <x v="0"/>
    <x v="0"/>
    <x v="0"/>
    <x v="0"/>
  </r>
  <r>
    <x v="8"/>
    <x v="57"/>
    <x v="57"/>
    <x v="24"/>
    <x v="8"/>
    <s v="Vinni lasteaed"/>
    <s v="Koristusvahendid, puhastusvahendid, paberid jne"/>
    <x v="114"/>
    <s v="Puhastusimport OÜ, Kaupmees, Bauhof"/>
    <x v="4"/>
    <s v="Kinnistute, hoonete ja ruumide majandamiskulud"/>
    <n v="55"/>
    <x v="0"/>
    <x v="0"/>
    <x v="0"/>
    <x v="0"/>
  </r>
  <r>
    <x v="8"/>
    <x v="57"/>
    <x v="57"/>
    <x v="24"/>
    <x v="8"/>
    <s v="Vinni lasteaed"/>
    <s v="Jooksev remont-santehniline töö, turvavalgustus, mänguväljak jne"/>
    <x v="123"/>
    <s v="materjalid, töö"/>
    <x v="4"/>
    <s v="Kinnistute, hoonete ja ruumide majandamiskulud"/>
    <n v="55"/>
    <x v="0"/>
    <x v="0"/>
    <x v="0"/>
    <x v="0"/>
  </r>
  <r>
    <x v="8"/>
    <x v="57"/>
    <x v="57"/>
    <x v="24"/>
    <x v="8"/>
    <s v="Vinni lasteaed"/>
    <s v="Eliis, Anc programm"/>
    <x v="195"/>
    <m/>
    <x v="5"/>
    <s v="Info- ja kommunikatsioonitehnoliigised kulud"/>
    <n v="55"/>
    <x v="0"/>
    <x v="0"/>
    <x v="0"/>
    <x v="0"/>
  </r>
  <r>
    <x v="8"/>
    <x v="57"/>
    <x v="57"/>
    <x v="24"/>
    <x v="8"/>
    <s v="Vinni lasteaed"/>
    <s v="Arvutiprogrammid, hooldused"/>
    <x v="110"/>
    <s v="viirusetõrje 10x25, dropbox"/>
    <x v="5"/>
    <s v="Info- ja kommunikatsioonitehnoliigised kulud"/>
    <n v="55"/>
    <x v="0"/>
    <x v="0"/>
    <x v="0"/>
    <x v="0"/>
  </r>
  <r>
    <x v="8"/>
    <x v="57"/>
    <x v="57"/>
    <x v="24"/>
    <x v="8"/>
    <s v="Vinni lasteaed"/>
    <s v="Remont"/>
    <x v="41"/>
    <m/>
    <x v="5"/>
    <s v="Info- ja kommunikatsioonitehnoliigised kulud"/>
    <n v="55"/>
    <x v="0"/>
    <x v="0"/>
    <x v="0"/>
    <x v="0"/>
  </r>
  <r>
    <x v="8"/>
    <x v="57"/>
    <x v="57"/>
    <x v="24"/>
    <x v="8"/>
    <s v="Vinni lasteaed"/>
    <s v="Mõisa kiviaed +tööriistakuur"/>
    <x v="22"/>
    <s v="VALLA ETTEPANEK"/>
    <x v="4"/>
    <s v="Kinnistute, hoonete ja ruumide majandamiskulud"/>
    <n v="55"/>
    <x v="0"/>
    <x v="0"/>
    <x v="0"/>
    <x v="0"/>
  </r>
  <r>
    <x v="8"/>
    <x v="57"/>
    <x v="57"/>
    <x v="24"/>
    <x v="8"/>
    <s v="Vinni lasteaed"/>
    <s v="Kiige tn poolne trepp"/>
    <x v="2"/>
    <s v="materjali kulu"/>
    <x v="4"/>
    <s v="Kinnistute, hoonete ja ruumide majandamiskulud"/>
    <n v="55"/>
    <x v="0"/>
    <x v="0"/>
    <x v="0"/>
    <x v="0"/>
  </r>
  <r>
    <x v="8"/>
    <x v="58"/>
    <x v="58"/>
    <x v="24"/>
    <x v="8"/>
    <s v="Pajusti lasteaed"/>
    <s v="telefonid ja internet"/>
    <x v="220"/>
    <m/>
    <x v="0"/>
    <s v="Administreerimiskulud"/>
    <n v="55"/>
    <x v="0"/>
    <x v="0"/>
    <x v="0"/>
    <x v="0"/>
  </r>
  <r>
    <x v="8"/>
    <x v="58"/>
    <x v="58"/>
    <x v="24"/>
    <x v="8"/>
    <s v="Pajusti lasteaed"/>
    <s v="mobiil"/>
    <x v="221"/>
    <m/>
    <x v="0"/>
    <s v="Administreerimiskulud"/>
    <n v="55"/>
    <x v="0"/>
    <x v="0"/>
    <x v="0"/>
    <x v="0"/>
  </r>
  <r>
    <x v="8"/>
    <x v="58"/>
    <x v="58"/>
    <x v="24"/>
    <x v="8"/>
    <s v="Pajusti lasteaed"/>
    <s v="kuulutused/ postikulu"/>
    <x v="27"/>
    <m/>
    <x v="0"/>
    <s v="Administreerimiskulud"/>
    <n v="55"/>
    <x v="0"/>
    <x v="0"/>
    <x v="0"/>
    <x v="0"/>
  </r>
  <r>
    <x v="8"/>
    <x v="58"/>
    <x v="58"/>
    <x v="24"/>
    <x v="8"/>
    <s v="Pajusti lasteaed"/>
    <s v="printerite tahmad"/>
    <x v="2"/>
    <m/>
    <x v="0"/>
    <s v="Administreerimiskulud"/>
    <n v="55"/>
    <x v="0"/>
    <x v="0"/>
    <x v="0"/>
    <x v="0"/>
  </r>
  <r>
    <x v="8"/>
    <x v="58"/>
    <x v="58"/>
    <x v="24"/>
    <x v="8"/>
    <s v="Pajusti lasteaed"/>
    <s v="Koolitused"/>
    <x v="32"/>
    <m/>
    <x v="2"/>
    <s v="Koolituskulud"/>
    <n v="55"/>
    <x v="0"/>
    <x v="0"/>
    <x v="0"/>
    <x v="0"/>
  </r>
  <r>
    <x v="8"/>
    <x v="58"/>
    <x v="58"/>
    <x v="24"/>
    <x v="8"/>
    <s v="Pajusti lasteaed"/>
    <s v="isikliku sõiduauto kasutus"/>
    <x v="222"/>
    <s v="64.- x 11 kuud"/>
    <x v="3"/>
    <s v="Sõidukite ülalpidamise kulud"/>
    <n v="55"/>
    <x v="0"/>
    <x v="0"/>
    <x v="0"/>
    <x v="0"/>
  </r>
  <r>
    <x v="8"/>
    <x v="58"/>
    <x v="58"/>
    <x v="24"/>
    <x v="8"/>
    <s v="Pajusti lasteaed"/>
    <s v="rulood 2 rühma"/>
    <x v="20"/>
    <m/>
    <x v="8"/>
    <s v="Inventari kulud, v.a infotehnoloogia ja kaitseotstarbelised kulud"/>
    <n v="55"/>
    <x v="0"/>
    <x v="0"/>
    <x v="0"/>
    <x v="0"/>
  </r>
  <r>
    <x v="8"/>
    <x v="58"/>
    <x v="58"/>
    <x v="24"/>
    <x v="8"/>
    <s v="Pajusti lasteaed"/>
    <s v="klaveri häälestamine"/>
    <x v="223"/>
    <m/>
    <x v="8"/>
    <s v="Inventari kulud, v.a infotehnoloogia ja kaitseotstarbelised kulud"/>
    <n v="55"/>
    <x v="0"/>
    <x v="0"/>
    <x v="0"/>
    <x v="0"/>
  </r>
  <r>
    <x v="8"/>
    <x v="58"/>
    <x v="58"/>
    <x v="24"/>
    <x v="8"/>
    <s v="Pajusti lasteaed"/>
    <s v="toiduained "/>
    <x v="134"/>
    <s v="5483 toidupäeva (so 55%) x1.15"/>
    <x v="30"/>
    <s v="Toiduained ja toitlustusteenused"/>
    <n v="55"/>
    <x v="0"/>
    <x v="0"/>
    <x v="0"/>
    <x v="0"/>
  </r>
  <r>
    <x v="8"/>
    <x v="58"/>
    <x v="58"/>
    <x v="24"/>
    <x v="8"/>
    <s v="Pajusti lasteaed"/>
    <s v="töötajate tervisetõendid, esmaabivahendid"/>
    <x v="191"/>
    <m/>
    <x v="9"/>
    <s v="Meditsiinikulud ja hügieenitarbed"/>
    <n v="55"/>
    <x v="0"/>
    <x v="0"/>
    <x v="0"/>
    <x v="0"/>
  </r>
  <r>
    <x v="8"/>
    <x v="58"/>
    <x v="58"/>
    <x v="24"/>
    <x v="8"/>
    <s v="Pajusti lasteaed"/>
    <s v="töövihikud, raamatud, mänguasjad, metoodilised vahendid ja kirjandus"/>
    <x v="30"/>
    <m/>
    <x v="31"/>
    <s v="Õppevahendid"/>
    <n v="55"/>
    <x v="0"/>
    <x v="0"/>
    <x v="0"/>
    <x v="0"/>
  </r>
  <r>
    <x v="8"/>
    <x v="58"/>
    <x v="58"/>
    <x v="24"/>
    <x v="8"/>
    <s v="Pajusti lasteaed"/>
    <s v="üritused"/>
    <x v="41"/>
    <m/>
    <x v="22"/>
    <s v="Kommunikatsiooni-, kultuuri- ja vaba aja sisustamise kulud"/>
    <n v="55"/>
    <x v="0"/>
    <x v="0"/>
    <x v="0"/>
    <x v="0"/>
  </r>
  <r>
    <x v="8"/>
    <x v="58"/>
    <x v="58"/>
    <x v="24"/>
    <x v="8"/>
    <s v="Pajusti lasteaed"/>
    <s v="laste õppereisid"/>
    <x v="110"/>
    <m/>
    <x v="22"/>
    <s v="Kommunikatsiooni-, kultuuri- ja vaba aja sisustamise kulud"/>
    <n v="55"/>
    <x v="0"/>
    <x v="0"/>
    <x v="0"/>
    <x v="0"/>
  </r>
  <r>
    <x v="8"/>
    <x v="58"/>
    <x v="58"/>
    <x v="24"/>
    <x v="8"/>
    <s v="Pajusti lasteaed"/>
    <s v="küte"/>
    <x v="224"/>
    <s v="77,2x90MVH"/>
    <x v="4"/>
    <s v="Kinnistute, hoonete ja ruumide majandamiskulud"/>
    <n v="55"/>
    <x v="0"/>
    <x v="0"/>
    <x v="0"/>
    <x v="0"/>
  </r>
  <r>
    <x v="8"/>
    <x v="58"/>
    <x v="58"/>
    <x v="24"/>
    <x v="8"/>
    <s v="Pajusti lasteaed"/>
    <s v="elekter"/>
    <x v="225"/>
    <s v="2018.a.+ 10%"/>
    <x v="4"/>
    <s v="Kinnistute, hoonete ja ruumide majandamiskulud"/>
    <n v="55"/>
    <x v="0"/>
    <x v="0"/>
    <x v="0"/>
    <x v="0"/>
  </r>
  <r>
    <x v="8"/>
    <x v="58"/>
    <x v="58"/>
    <x v="24"/>
    <x v="8"/>
    <s v="Pajusti lasteaed"/>
    <s v="vesi ja kanalisatsioon"/>
    <x v="226"/>
    <s v="2,376 eur x 390m3"/>
    <x v="4"/>
    <s v="Kinnistute, hoonete ja ruumide majandamiskulud"/>
    <n v="55"/>
    <x v="0"/>
    <x v="0"/>
    <x v="0"/>
    <x v="0"/>
  </r>
  <r>
    <x v="8"/>
    <x v="58"/>
    <x v="58"/>
    <x v="24"/>
    <x v="8"/>
    <s v="Pajusti lasteaed"/>
    <s v="korrashoiuvahendid"/>
    <x v="106"/>
    <s v="puhastusvahendid, lapid, mopid, paber"/>
    <x v="4"/>
    <s v="Kinnistute, hoonete ja ruumide majandamiskulud"/>
    <n v="55"/>
    <x v="0"/>
    <x v="0"/>
    <x v="0"/>
    <x v="0"/>
  </r>
  <r>
    <x v="8"/>
    <x v="58"/>
    <x v="58"/>
    <x v="24"/>
    <x v="8"/>
    <s v="Pajusti lasteaed"/>
    <s v="ATS hooldus"/>
    <x v="227"/>
    <s v="46x 4 kvartalit"/>
    <x v="4"/>
    <s v="Kinnistute, hoonete ja ruumide majandamiskulud"/>
    <n v="55"/>
    <x v="0"/>
    <x v="0"/>
    <x v="0"/>
    <x v="0"/>
  </r>
  <r>
    <x v="8"/>
    <x v="58"/>
    <x v="58"/>
    <x v="24"/>
    <x v="8"/>
    <s v="Pajusti lasteaed"/>
    <s v="pesupesemise teenus"/>
    <x v="25"/>
    <s v="45x 12 korda"/>
    <x v="4"/>
    <s v="Kinnistute, hoonete ja ruumide majandamiskulud"/>
    <n v="55"/>
    <x v="0"/>
    <x v="0"/>
    <x v="0"/>
    <x v="0"/>
  </r>
  <r>
    <x v="8"/>
    <x v="58"/>
    <x v="58"/>
    <x v="24"/>
    <x v="8"/>
    <s v="Pajusti lasteaed"/>
    <s v="kanal.pumpade hooldus"/>
    <x v="72"/>
    <s v="60x 4 korda aastas"/>
    <x v="4"/>
    <s v="Kinnistute, hoonete ja ruumide majandamiskulud"/>
    <n v="55"/>
    <x v="0"/>
    <x v="0"/>
    <x v="0"/>
    <x v="0"/>
  </r>
  <r>
    <x v="8"/>
    <x v="58"/>
    <x v="58"/>
    <x v="24"/>
    <x v="8"/>
    <s v="Pajusti lasteaed"/>
    <s v="prügivedu ja konteineri rent"/>
    <x v="228"/>
    <s v="R-S 3.86 J 5.84x12 kuud"/>
    <x v="4"/>
    <s v="Kinnistute, hoonete ja ruumide majandamiskulud"/>
    <n v="55"/>
    <x v="0"/>
    <x v="0"/>
    <x v="0"/>
    <x v="0"/>
  </r>
  <r>
    <x v="8"/>
    <x v="58"/>
    <x v="58"/>
    <x v="24"/>
    <x v="8"/>
    <s v="Pajusti lasteaed"/>
    <s v="ELIIS"/>
    <x v="34"/>
    <m/>
    <x v="5"/>
    <s v="Info- ja kommunikatsioonitehnoliigised kulud"/>
    <n v="55"/>
    <x v="0"/>
    <x v="0"/>
    <x v="0"/>
    <x v="0"/>
  </r>
  <r>
    <x v="8"/>
    <x v="58"/>
    <x v="58"/>
    <x v="24"/>
    <x v="8"/>
    <s v="Pajusti lasteaed"/>
    <s v="hooldused, remont, varuosad"/>
    <x v="11"/>
    <m/>
    <x v="5"/>
    <s v="Info- ja kommunikatsioonitehnoliigised kulud"/>
    <n v="55"/>
    <x v="0"/>
    <x v="0"/>
    <x v="0"/>
    <x v="0"/>
  </r>
  <r>
    <x v="8"/>
    <x v="58"/>
    <x v="58"/>
    <x v="24"/>
    <x v="8"/>
    <s v="Ehitusnõunik"/>
    <s v="Pajusti Lasteaia rühmaruumide remont"/>
    <x v="229"/>
    <m/>
    <x v="12"/>
    <s v="Rajatiste ja hoonete soetamine ja renoveerimine"/>
    <n v="15"/>
    <x v="3"/>
    <x v="3"/>
    <x v="3"/>
    <x v="2"/>
  </r>
  <r>
    <x v="8"/>
    <x v="58"/>
    <x v="58"/>
    <x v="24"/>
    <x v="8"/>
    <s v="Pajusti lasteaed"/>
    <s v="Korrashoiu- ja puhastusvahendid"/>
    <x v="230"/>
    <m/>
    <x v="4"/>
    <s v="Kinnistute, hoonete ja ruumide majandamiskulud"/>
    <n v="55"/>
    <x v="0"/>
    <x v="0"/>
    <x v="0"/>
    <x v="0"/>
  </r>
  <r>
    <x v="8"/>
    <x v="58"/>
    <x v="58"/>
    <x v="24"/>
    <x v="8"/>
    <s v="Pajusti lasteaed"/>
    <s v="Mänguväljaku rajamine"/>
    <x v="26"/>
    <m/>
    <x v="4"/>
    <s v="Kinnistute, hoonete ja ruumide majandamiskulud"/>
    <n v="55"/>
    <x v="0"/>
    <x v="0"/>
    <x v="0"/>
    <x v="0"/>
  </r>
  <r>
    <x v="8"/>
    <x v="59"/>
    <x v="59"/>
    <x v="24"/>
    <x v="8"/>
    <s v="Kulina lasteaed"/>
    <s v="telefon ja internet"/>
    <x v="38"/>
    <s v="Elion"/>
    <x v="0"/>
    <s v="Administreerimiskulud"/>
    <n v="55"/>
    <x v="0"/>
    <x v="0"/>
    <x v="0"/>
    <x v="0"/>
  </r>
  <r>
    <x v="8"/>
    <x v="59"/>
    <x v="59"/>
    <x v="24"/>
    <x v="8"/>
    <s v="Kulina lasteaed"/>
    <s v="kantseleikaup"/>
    <x v="0"/>
    <s v="koopiapaber, kilekaaned jms"/>
    <x v="0"/>
    <s v="Administreerimiskulud"/>
    <n v="55"/>
    <x v="0"/>
    <x v="0"/>
    <x v="0"/>
    <x v="0"/>
  </r>
  <r>
    <x v="8"/>
    <x v="59"/>
    <x v="59"/>
    <x v="24"/>
    <x v="8"/>
    <s v="Kulina lasteaed"/>
    <s v="printeritahm"/>
    <x v="11"/>
    <m/>
    <x v="0"/>
    <s v="Administreerimiskulud"/>
    <n v="55"/>
    <x v="0"/>
    <x v="0"/>
    <x v="0"/>
    <x v="0"/>
  </r>
  <r>
    <x v="8"/>
    <x v="59"/>
    <x v="59"/>
    <x v="24"/>
    <x v="8"/>
    <s v="Kulina lasteaed"/>
    <s v="liikmemaks"/>
    <x v="231"/>
    <s v="L-Viru Haridusjuhtide Liit"/>
    <x v="0"/>
    <s v="Administreerimiskulud"/>
    <n v="55"/>
    <x v="0"/>
    <x v="0"/>
    <x v="0"/>
    <x v="0"/>
  </r>
  <r>
    <x v="8"/>
    <x v="59"/>
    <x v="59"/>
    <x v="24"/>
    <x v="8"/>
    <s v="Kulina lasteaed"/>
    <s v="Haridus 2019"/>
    <x v="221"/>
    <s v="aasta tellimus"/>
    <x v="0"/>
    <s v="Administreerimiskulud"/>
    <n v="55"/>
    <x v="0"/>
    <x v="0"/>
    <x v="0"/>
    <x v="0"/>
  </r>
  <r>
    <x v="8"/>
    <x v="59"/>
    <x v="59"/>
    <x v="24"/>
    <x v="8"/>
    <s v="Kulina lasteaed"/>
    <s v="Eliis"/>
    <x v="88"/>
    <s v="24*12 "/>
    <x v="0"/>
    <s v="Administreerimiskulud"/>
    <n v="55"/>
    <x v="0"/>
    <x v="0"/>
    <x v="0"/>
    <x v="0"/>
  </r>
  <r>
    <x v="8"/>
    <x v="59"/>
    <x v="59"/>
    <x v="24"/>
    <x v="8"/>
    <s v="Kulina lasteaed"/>
    <s v="Õpetajate leht"/>
    <x v="232"/>
    <s v="aastatellimus"/>
    <x v="0"/>
    <s v="Administreerimiskulud"/>
    <n v="55"/>
    <x v="0"/>
    <x v="0"/>
    <x v="0"/>
    <x v="0"/>
  </r>
  <r>
    <x v="8"/>
    <x v="59"/>
    <x v="59"/>
    <x v="24"/>
    <x v="8"/>
    <s v="Kulina lasteaed"/>
    <s v="Täheke"/>
    <x v="233"/>
    <s v="aastatellimus"/>
    <x v="0"/>
    <s v="Administreerimiskulud"/>
    <n v="55"/>
    <x v="0"/>
    <x v="0"/>
    <x v="0"/>
    <x v="0"/>
  </r>
  <r>
    <x v="8"/>
    <x v="59"/>
    <x v="59"/>
    <x v="24"/>
    <x v="8"/>
    <s v="Kulina lasteaed"/>
    <s v="koolituste plaan"/>
    <x v="234"/>
    <m/>
    <x v="2"/>
    <s v="Koolituskulud"/>
    <n v="55"/>
    <x v="0"/>
    <x v="0"/>
    <x v="0"/>
    <x v="0"/>
  </r>
  <r>
    <x v="8"/>
    <x v="59"/>
    <x v="59"/>
    <x v="24"/>
    <x v="8"/>
    <s v="Kulina lasteaed"/>
    <s v="Esmaabi"/>
    <x v="235"/>
    <m/>
    <x v="2"/>
    <s v="Koolituskulud"/>
    <n v="55"/>
    <x v="0"/>
    <x v="0"/>
    <x v="0"/>
    <x v="0"/>
  </r>
  <r>
    <x v="8"/>
    <x v="59"/>
    <x v="59"/>
    <x v="24"/>
    <x v="8"/>
    <s v="Kulina lasteaed"/>
    <s v="Isikliku sõiduauto komp."/>
    <x v="236"/>
    <s v="130*11 isikliku sõiduauto kasutamine"/>
    <x v="3"/>
    <s v="Sõidukite ülalpidamise kulud"/>
    <n v="55"/>
    <x v="0"/>
    <x v="0"/>
    <x v="0"/>
    <x v="0"/>
  </r>
  <r>
    <x v="8"/>
    <x v="59"/>
    <x v="59"/>
    <x v="24"/>
    <x v="8"/>
    <s v="Kulina lasteaed"/>
    <s v="paberipurustaja"/>
    <x v="89"/>
    <s v="andmekaitse"/>
    <x v="8"/>
    <s v="Inventari kulud, v.a infotehnoloogia ja kaitseotstarbelised kulud"/>
    <n v="55"/>
    <x v="0"/>
    <x v="0"/>
    <x v="0"/>
    <x v="0"/>
  </r>
  <r>
    <x v="8"/>
    <x v="59"/>
    <x v="59"/>
    <x v="24"/>
    <x v="8"/>
    <s v="Kulina lasteaed"/>
    <s v="mängunurga köögimööbel"/>
    <x v="110"/>
    <s v="mesimuumu rühma mängunurk"/>
    <x v="8"/>
    <s v="Inventari kulud, v.a infotehnoloogia ja kaitseotstarbelised kulud"/>
    <n v="55"/>
    <x v="0"/>
    <x v="0"/>
    <x v="0"/>
    <x v="0"/>
  </r>
  <r>
    <x v="8"/>
    <x v="59"/>
    <x v="59"/>
    <x v="24"/>
    <x v="8"/>
    <s v="Kulina lasteaed"/>
    <s v="muusikaesitaja"/>
    <x v="32"/>
    <s v="et mängiks mp3 formaati, võimendusega ühildatav-muusikaõpetaja"/>
    <x v="8"/>
    <s v="Inventari kulud, v.a infotehnoloogia ja kaitseotstarbelised kulud"/>
    <n v="55"/>
    <x v="0"/>
    <x v="0"/>
    <x v="0"/>
    <x v="0"/>
  </r>
  <r>
    <x v="8"/>
    <x v="59"/>
    <x v="59"/>
    <x v="24"/>
    <x v="8"/>
    <s v="Kulina lasteaed"/>
    <s v="vaip 1,35*1,7"/>
    <x v="191"/>
    <s v="mesimummurühma mängunurk"/>
    <x v="8"/>
    <s v="Inventari kulud, v.a infotehnoloogia ja kaitseotstarbelised kulud"/>
    <n v="55"/>
    <x v="0"/>
    <x v="0"/>
    <x v="0"/>
    <x v="0"/>
  </r>
  <r>
    <x v="8"/>
    <x v="59"/>
    <x v="59"/>
    <x v="24"/>
    <x v="8"/>
    <s v="Kulina lasteaed"/>
    <s v="magnettahvel"/>
    <x v="237"/>
    <s v="mesimummu rühm"/>
    <x v="8"/>
    <s v="Inventari kulud, v.a infotehnoloogia ja kaitseotstarbelised kulud"/>
    <n v="55"/>
    <x v="0"/>
    <x v="0"/>
    <x v="0"/>
    <x v="0"/>
  </r>
  <r>
    <x v="8"/>
    <x v="59"/>
    <x v="59"/>
    <x v="24"/>
    <x v="8"/>
    <s v="Kulina lasteaed"/>
    <s v="liivakast 3000mm*3000mm"/>
    <x v="89"/>
    <s v="Lepatriinu rühm, ilmastikukindel, taaskasutatavast plastmaterjalist, kaetav-praegune liivakastiraam lagunev"/>
    <x v="8"/>
    <s v="Inventari kulud, v.a infotehnoloogia ja kaitseotstarbelised kulud"/>
    <n v="55"/>
    <x v="0"/>
    <x v="0"/>
    <x v="0"/>
    <x v="0"/>
  </r>
  <r>
    <x v="8"/>
    <x v="59"/>
    <x v="59"/>
    <x v="24"/>
    <x v="8"/>
    <s v="Kulina lasteaed"/>
    <s v="toitlustamine"/>
    <x v="238"/>
    <s v="toidupäevade arv*lastearv*toidupäevamaksumus-30%, kokandustunnid 2 korda kuus  rühmades"/>
    <x v="30"/>
    <s v="Toiduained ja toitlustusteenused"/>
    <n v="55"/>
    <x v="0"/>
    <x v="0"/>
    <x v="0"/>
    <x v="0"/>
  </r>
  <r>
    <x v="8"/>
    <x v="59"/>
    <x v="59"/>
    <x v="24"/>
    <x v="8"/>
    <s v="Kulina lasteaed"/>
    <s v="tervisekontroll"/>
    <x v="11"/>
    <s v="(orienteeruv summa) TTOSt tulev kohustus-kokk"/>
    <x v="9"/>
    <s v="Meditsiinikulud ja hügieenitarbed"/>
    <n v="55"/>
    <x v="0"/>
    <x v="0"/>
    <x v="0"/>
    <x v="0"/>
  </r>
  <r>
    <x v="8"/>
    <x v="59"/>
    <x v="59"/>
    <x v="24"/>
    <x v="8"/>
    <s v="Kulina lasteaed"/>
    <s v="õppevahendid"/>
    <x v="99"/>
    <s v="kunstitarbed, õppemängud, mänguasjad, õppematerjal, metoodiline kirjandus jms"/>
    <x v="31"/>
    <s v="Õppevahendid"/>
    <n v="55"/>
    <x v="0"/>
    <x v="0"/>
    <x v="0"/>
    <x v="0"/>
  </r>
  <r>
    <x v="8"/>
    <x v="59"/>
    <x v="59"/>
    <x v="24"/>
    <x v="8"/>
    <s v="Kulina lasteaed"/>
    <s v="Matatalab, ozobot"/>
    <x v="239"/>
    <s v="robootikaseadmed, võimalusel taotleme kevadel projektirahasid, kus omafinantseering 15% taotletud summast"/>
    <x v="31"/>
    <s v="Õppevahendid"/>
    <n v="55"/>
    <x v="0"/>
    <x v="0"/>
    <x v="0"/>
    <x v="0"/>
  </r>
  <r>
    <x v="8"/>
    <x v="59"/>
    <x v="59"/>
    <x v="24"/>
    <x v="8"/>
    <s v="Kulina lasteaed"/>
    <s v="õppekäigud"/>
    <x v="2"/>
    <s v="õppekäigud, ekskursioon, jõulupidu, lõpupidu, lasteaia sünnipäev"/>
    <x v="22"/>
    <s v="Kommunikatsiooni-, kultuuri- ja vaba aja sisustamise kulud"/>
    <n v="55"/>
    <x v="0"/>
    <x v="0"/>
    <x v="0"/>
    <x v="0"/>
  </r>
  <r>
    <x v="8"/>
    <x v="59"/>
    <x v="59"/>
    <x v="24"/>
    <x v="8"/>
    <s v="Kulina lasteaed"/>
    <s v="elekter"/>
    <x v="115"/>
    <s v="keskmine tarbimine 30860KWhx0,11652 euri kwh"/>
    <x v="4"/>
    <s v="Kinnistute, hoonete ja ruumide majandamiskulud"/>
    <n v="55"/>
    <x v="0"/>
    <x v="0"/>
    <x v="0"/>
    <x v="0"/>
  </r>
  <r>
    <x v="8"/>
    <x v="59"/>
    <x v="59"/>
    <x v="24"/>
    <x v="8"/>
    <s v="Kulina lasteaed"/>
    <s v="vesi-ja kanalisatsioon"/>
    <x v="107"/>
    <s v="Emajõe Veevärk"/>
    <x v="4"/>
    <s v="Kinnistute, hoonete ja ruumide majandamiskulud"/>
    <n v="55"/>
    <x v="0"/>
    <x v="0"/>
    <x v="0"/>
    <x v="0"/>
  </r>
  <r>
    <x v="8"/>
    <x v="59"/>
    <x v="59"/>
    <x v="24"/>
    <x v="8"/>
    <s v="Kulina lasteaed"/>
    <s v="Korrashoiuvahendid"/>
    <x v="20"/>
    <s v="puhastusvahendid, tarvikud, WC paber jms"/>
    <x v="4"/>
    <s v="Kinnistute, hoonete ja ruumide majandamiskulud"/>
    <n v="55"/>
    <x v="0"/>
    <x v="0"/>
    <x v="0"/>
    <x v="0"/>
  </r>
  <r>
    <x v="8"/>
    <x v="59"/>
    <x v="59"/>
    <x v="24"/>
    <x v="8"/>
    <s v="Kulina lasteaed"/>
    <s v="prügi"/>
    <x v="129"/>
    <s v="L-Viru Jäätmekeskus (6,56*12)+ ohtlikud jäätmed jms"/>
    <x v="4"/>
    <s v="Kinnistute, hoonete ja ruumide majandamiskulud"/>
    <n v="55"/>
    <x v="0"/>
    <x v="0"/>
    <x v="0"/>
    <x v="0"/>
  </r>
  <r>
    <x v="8"/>
    <x v="59"/>
    <x v="59"/>
    <x v="24"/>
    <x v="8"/>
    <s v="Kulina lasteaed"/>
    <s v="ATS hooldus"/>
    <x v="240"/>
    <s v="U.K.V.Grupp kord kvartalis"/>
    <x v="4"/>
    <s v="Kinnistute, hoonete ja ruumide majandamiskulud"/>
    <n v="55"/>
    <x v="0"/>
    <x v="0"/>
    <x v="0"/>
    <x v="0"/>
  </r>
  <r>
    <x v="8"/>
    <x v="59"/>
    <x v="59"/>
    <x v="24"/>
    <x v="8"/>
    <s v="Kulina lasteaed"/>
    <s v="Turvavalgustus, elektritööd"/>
    <x v="241"/>
    <s v="E.Ilves"/>
    <x v="4"/>
    <s v="Kinnistute, hoonete ja ruumide majandamiskulud"/>
    <n v="55"/>
    <x v="0"/>
    <x v="0"/>
    <x v="0"/>
    <x v="0"/>
  </r>
  <r>
    <x v="8"/>
    <x v="59"/>
    <x v="59"/>
    <x v="24"/>
    <x v="8"/>
    <s v="Kulina lasteaed"/>
    <s v="Puhastussool veefiltrile"/>
    <x v="119"/>
    <s v="FEB AS"/>
    <x v="4"/>
    <s v="Kinnistute, hoonete ja ruumide majandamiskulud"/>
    <n v="55"/>
    <x v="0"/>
    <x v="0"/>
    <x v="0"/>
    <x v="0"/>
  </r>
  <r>
    <x v="8"/>
    <x v="59"/>
    <x v="59"/>
    <x v="24"/>
    <x v="8"/>
    <s v="Kulina lasteaed"/>
    <s v="maakütte aastane hooldus"/>
    <x v="242"/>
    <s v="TJ Hooldus OÜ"/>
    <x v="4"/>
    <s v="Kinnistute, hoonete ja ruumide majandamiskulud"/>
    <n v="55"/>
    <x v="0"/>
    <x v="0"/>
    <x v="0"/>
    <x v="0"/>
  </r>
  <r>
    <x v="8"/>
    <x v="59"/>
    <x v="59"/>
    <x v="24"/>
    <x v="8"/>
    <s v="Kulina lasteaed"/>
    <s v="muruniitmine"/>
    <x v="11"/>
    <s v="õli, bensiin, hooldus"/>
    <x v="4"/>
    <s v="Kinnistute, hoonete ja ruumide majandamiskulud"/>
    <n v="55"/>
    <x v="0"/>
    <x v="0"/>
    <x v="0"/>
    <x v="0"/>
  </r>
  <r>
    <x v="8"/>
    <x v="59"/>
    <x v="59"/>
    <x v="24"/>
    <x v="8"/>
    <s v="Kulina lasteaed"/>
    <s v="paviljonide korrastamine"/>
    <x v="41"/>
    <s v="tasandusegu põrandaaukude parandamiseks, värvid"/>
    <x v="4"/>
    <s v="Kinnistute, hoonete ja ruumide majandamiskulud"/>
    <n v="55"/>
    <x v="0"/>
    <x v="0"/>
    <x v="0"/>
    <x v="0"/>
  </r>
  <r>
    <x v="8"/>
    <x v="59"/>
    <x v="59"/>
    <x v="24"/>
    <x v="8"/>
    <s v="Kulina lasteaed"/>
    <s v="rulood"/>
    <x v="243"/>
    <s v="Lepatriinu rühma magamistuba, praegused rulood osaliselt katki, kinnitusklambrid muutunud rabedaks"/>
    <x v="4"/>
    <s v="Kinnistute, hoonete ja ruumide majandamiskulud"/>
    <n v="55"/>
    <x v="0"/>
    <x v="0"/>
    <x v="0"/>
    <x v="0"/>
  </r>
  <r>
    <x v="8"/>
    <x v="59"/>
    <x v="59"/>
    <x v="24"/>
    <x v="8"/>
    <s v="Kulina lasteaed"/>
    <s v="arvutikõlarid"/>
    <x v="1"/>
    <s v="mesimummu rühma arvutile"/>
    <x v="5"/>
    <s v="Info- ja kommunikatsioonitehnoliigised kulud"/>
    <n v="55"/>
    <x v="0"/>
    <x v="0"/>
    <x v="0"/>
    <x v="0"/>
  </r>
  <r>
    <x v="8"/>
    <x v="60"/>
    <x v="60"/>
    <x v="24"/>
    <x v="8"/>
    <s v="Tudu lasteaed"/>
    <s v="uue õppekava rakend"/>
    <x v="0"/>
    <m/>
    <x v="2"/>
    <s v="Koolituskulud"/>
    <n v="55"/>
    <x v="0"/>
    <x v="0"/>
    <x v="0"/>
    <x v="0"/>
  </r>
  <r>
    <x v="8"/>
    <x v="60"/>
    <x v="60"/>
    <x v="24"/>
    <x v="8"/>
    <s v="Tudu lasteaed"/>
    <s v="lasteaia toidukaup"/>
    <x v="244"/>
    <m/>
    <x v="30"/>
    <s v="Toiduained ja toitlustusteenused"/>
    <n v="55"/>
    <x v="0"/>
    <x v="0"/>
    <x v="0"/>
    <x v="0"/>
  </r>
  <r>
    <x v="8"/>
    <x v="60"/>
    <x v="60"/>
    <x v="24"/>
    <x v="8"/>
    <s v="Tudu lasteaed"/>
    <s v="õpikud "/>
    <x v="120"/>
    <m/>
    <x v="31"/>
    <s v="Õppevahendid"/>
    <n v="55"/>
    <x v="0"/>
    <x v="0"/>
    <x v="0"/>
    <x v="0"/>
  </r>
  <r>
    <x v="8"/>
    <x v="60"/>
    <x v="60"/>
    <x v="24"/>
    <x v="8"/>
    <s v="Tudu lasteaed"/>
    <s v="töövihikud"/>
    <x v="1"/>
    <m/>
    <x v="31"/>
    <s v="Õppevahendid"/>
    <n v="55"/>
    <x v="0"/>
    <x v="0"/>
    <x v="0"/>
    <x v="0"/>
  </r>
  <r>
    <x v="8"/>
    <x v="60"/>
    <x v="60"/>
    <x v="24"/>
    <x v="8"/>
    <s v="Tudu lasteaed"/>
    <s v="mänguasjad, paber, värvid jm"/>
    <x v="120"/>
    <m/>
    <x v="31"/>
    <s v="Õppevahendid"/>
    <n v="55"/>
    <x v="0"/>
    <x v="0"/>
    <x v="0"/>
    <x v="0"/>
  </r>
  <r>
    <x v="8"/>
    <x v="60"/>
    <x v="60"/>
    <x v="24"/>
    <x v="8"/>
    <s v="Tudu lasteaed"/>
    <s v="eriped tegevus"/>
    <x v="65"/>
    <m/>
    <x v="31"/>
    <s v="Õppevahendid"/>
    <n v="55"/>
    <x v="0"/>
    <x v="0"/>
    <x v="0"/>
    <x v="0"/>
  </r>
  <r>
    <x v="8"/>
    <x v="61"/>
    <x v="61"/>
    <x v="24"/>
    <x v="8"/>
    <s v="Ulvi lasteaed"/>
    <s v="Koolitused"/>
    <x v="20"/>
    <m/>
    <x v="2"/>
    <s v="Koolituskulud"/>
    <n v="55"/>
    <x v="0"/>
    <x v="0"/>
    <x v="0"/>
    <x v="0"/>
  </r>
  <r>
    <x v="8"/>
    <x v="61"/>
    <x v="61"/>
    <x v="24"/>
    <x v="8"/>
    <s v="Ulvi lasteaed"/>
    <s v="Inventari jooksev hooldus "/>
    <x v="120"/>
    <m/>
    <x v="8"/>
    <s v="Inventari kulud, v.a infotehnoloogia ja kaitseotstarbelised kulud"/>
    <n v="55"/>
    <x v="0"/>
    <x v="0"/>
    <x v="0"/>
    <x v="0"/>
  </r>
  <r>
    <x v="8"/>
    <x v="61"/>
    <x v="61"/>
    <x v="24"/>
    <x v="8"/>
    <s v="Ulvi lasteaed"/>
    <s v="Laud tk.2  200 eurot"/>
    <x v="41"/>
    <s v="Planeerin kaks, ühe tk.hind 100 eurot"/>
    <x v="8"/>
    <s v="Inventari kulud, v.a infotehnoloogia ja kaitseotstarbelised kulud"/>
    <n v="55"/>
    <x v="0"/>
    <x v="0"/>
    <x v="0"/>
    <x v="0"/>
  </r>
  <r>
    <x v="8"/>
    <x v="61"/>
    <x v="61"/>
    <x v="24"/>
    <x v="8"/>
    <s v="Ulvi lasteaed"/>
    <s v="Riiul tk.1 100 eurot"/>
    <x v="0"/>
    <m/>
    <x v="8"/>
    <s v="Inventari kulud, v.a infotehnoloogia ja kaitseotstarbelised kulud"/>
    <n v="55"/>
    <x v="0"/>
    <x v="0"/>
    <x v="0"/>
    <x v="0"/>
  </r>
  <r>
    <x v="8"/>
    <x v="61"/>
    <x v="61"/>
    <x v="24"/>
    <x v="8"/>
    <s v="Ulvi lasteaed"/>
    <s v="4 kohal voodi kompl. Tk.1 600 eurot"/>
    <x v="20"/>
    <s v="Planeerin ühe"/>
    <x v="8"/>
    <s v="Inventari kulud, v.a infotehnoloogia ja kaitseotstarbelised kulud"/>
    <n v="55"/>
    <x v="0"/>
    <x v="0"/>
    <x v="0"/>
    <x v="0"/>
  </r>
  <r>
    <x v="8"/>
    <x v="61"/>
    <x v="61"/>
    <x v="24"/>
    <x v="8"/>
    <s v="Ulvi lasteaed"/>
    <s v="3 kohal voodi kompl. Tk.1 500 eurot"/>
    <x v="2"/>
    <s v="Planeerin ühe"/>
    <x v="8"/>
    <s v="Inventari kulud, v.a infotehnoloogia ja kaitseotstarbelised kulud"/>
    <n v="55"/>
    <x v="0"/>
    <x v="0"/>
    <x v="0"/>
    <x v="0"/>
  </r>
  <r>
    <x v="8"/>
    <x v="61"/>
    <x v="61"/>
    <x v="24"/>
    <x v="8"/>
    <s v="Ulvi lasteaed"/>
    <s v="toolid tk.15  500 eurot"/>
    <x v="2"/>
    <s v="Planeerin 15 tk soetada, ühe tk.hind umbes 33 eurot"/>
    <x v="8"/>
    <s v="Inventari kulud, v.a infotehnoloogia ja kaitseotstarbelised kulud"/>
    <n v="55"/>
    <x v="0"/>
    <x v="0"/>
    <x v="0"/>
    <x v="0"/>
  </r>
  <r>
    <x v="8"/>
    <x v="61"/>
    <x v="61"/>
    <x v="24"/>
    <x v="8"/>
    <s v="Ulvi lasteaed"/>
    <s v="toiduained 30 last x230 päeva x 1.40"/>
    <x v="147"/>
    <m/>
    <x v="30"/>
    <s v="Toiduained ja toitlustusteenused"/>
    <n v="55"/>
    <x v="0"/>
    <x v="0"/>
    <x v="0"/>
    <x v="0"/>
  </r>
  <r>
    <x v="8"/>
    <x v="61"/>
    <x v="61"/>
    <x v="24"/>
    <x v="8"/>
    <s v="Ulvi lasteaed"/>
    <s v="Meditsiinikulud"/>
    <x v="0"/>
    <m/>
    <x v="9"/>
    <s v="Meditsiinikulud ja hügieenitarbed"/>
    <n v="55"/>
    <x v="0"/>
    <x v="0"/>
    <x v="0"/>
    <x v="0"/>
  </r>
  <r>
    <x v="8"/>
    <x v="61"/>
    <x v="61"/>
    <x v="24"/>
    <x v="8"/>
    <s v="Ulvi lasteaed"/>
    <s v="õppekäigud"/>
    <x v="14"/>
    <m/>
    <x v="31"/>
    <s v="Õppevahendid"/>
    <n v="55"/>
    <x v="0"/>
    <x v="0"/>
    <x v="0"/>
    <x v="0"/>
  </r>
  <r>
    <x v="8"/>
    <x v="61"/>
    <x v="61"/>
    <x v="24"/>
    <x v="8"/>
    <s v="Ulvi lasteaed"/>
    <s v="Õppevahendid"/>
    <x v="14"/>
    <m/>
    <x v="31"/>
    <s v="Õppevahendid"/>
    <n v="55"/>
    <x v="0"/>
    <x v="0"/>
    <x v="0"/>
    <x v="0"/>
  </r>
  <r>
    <x v="8"/>
    <x v="61"/>
    <x v="61"/>
    <x v="24"/>
    <x v="8"/>
    <s v="Ulvi lasteaed"/>
    <s v="mänguasjad"/>
    <x v="7"/>
    <m/>
    <x v="31"/>
    <s v="Õppevahendid"/>
    <n v="55"/>
    <x v="0"/>
    <x v="0"/>
    <x v="0"/>
    <x v="0"/>
  </r>
  <r>
    <x v="8"/>
    <x v="61"/>
    <x v="61"/>
    <x v="24"/>
    <x v="8"/>
    <s v="Ulvi lasteaed"/>
    <s v="Ühisüritused"/>
    <x v="89"/>
    <m/>
    <x v="22"/>
    <s v="Kommunikatsiooni-, kultuuri- ja vaba aja sisustamise kulud"/>
    <n v="55"/>
    <x v="0"/>
    <x v="0"/>
    <x v="0"/>
    <x v="0"/>
  </r>
  <r>
    <x v="8"/>
    <x v="61"/>
    <x v="61"/>
    <x v="24"/>
    <x v="8"/>
    <s v="Ulvi lasteaed"/>
    <s v="Ürituste transport"/>
    <x v="89"/>
    <m/>
    <x v="22"/>
    <s v="Kommunikatsiooni-, kultuuri- ja vaba aja sisustamise kulud"/>
    <n v="55"/>
    <x v="0"/>
    <x v="0"/>
    <x v="0"/>
    <x v="0"/>
  </r>
  <r>
    <x v="8"/>
    <x v="61"/>
    <x v="61"/>
    <x v="24"/>
    <x v="8"/>
    <s v="Ulvi lasteaed"/>
    <s v="ruumide küte"/>
    <x v="98"/>
    <m/>
    <x v="4"/>
    <s v="Kinnistute, hoonete ja ruumide majandamiskulud"/>
    <n v="55"/>
    <x v="0"/>
    <x v="0"/>
    <x v="0"/>
    <x v="0"/>
  </r>
  <r>
    <x v="8"/>
    <x v="61"/>
    <x v="61"/>
    <x v="24"/>
    <x v="8"/>
    <s v="Ulvi lasteaed"/>
    <s v="analüüsid"/>
    <x v="41"/>
    <m/>
    <x v="4"/>
    <s v="Kinnistute, hoonete ja ruumide majandamiskulud"/>
    <n v="55"/>
    <x v="0"/>
    <x v="0"/>
    <x v="0"/>
    <x v="0"/>
  </r>
  <r>
    <x v="8"/>
    <x v="61"/>
    <x v="61"/>
    <x v="24"/>
    <x v="8"/>
    <s v="Ulvi lasteaed"/>
    <s v="elekter"/>
    <x v="40"/>
    <m/>
    <x v="4"/>
    <s v="Kinnistute, hoonete ja ruumide majandamiskulud"/>
    <n v="55"/>
    <x v="0"/>
    <x v="0"/>
    <x v="0"/>
    <x v="0"/>
  </r>
  <r>
    <x v="8"/>
    <x v="61"/>
    <x v="61"/>
    <x v="24"/>
    <x v="8"/>
    <s v="Ulvi lasteaed"/>
    <s v="koridori remont"/>
    <x v="14"/>
    <m/>
    <x v="4"/>
    <s v="Kinnistute, hoonete ja ruumide majandamiskulud"/>
    <n v="55"/>
    <x v="0"/>
    <x v="0"/>
    <x v="0"/>
    <x v="0"/>
  </r>
  <r>
    <x v="8"/>
    <x v="61"/>
    <x v="61"/>
    <x v="24"/>
    <x v="8"/>
    <s v="Ulvi lasteaed"/>
    <s v="prügi"/>
    <x v="89"/>
    <m/>
    <x v="4"/>
    <s v="Kinnistute, hoonete ja ruumide majandamiskulud"/>
    <n v="55"/>
    <x v="0"/>
    <x v="0"/>
    <x v="0"/>
    <x v="0"/>
  </r>
  <r>
    <x v="8"/>
    <x v="61"/>
    <x v="61"/>
    <x v="24"/>
    <x v="8"/>
    <s v="Ulvi lasteaed"/>
    <s v="majanduskaup"/>
    <x v="163"/>
    <m/>
    <x v="4"/>
    <s v="Kinnistute, hoonete ja ruumide majandamiskulud"/>
    <n v="55"/>
    <x v="0"/>
    <x v="0"/>
    <x v="0"/>
    <x v="0"/>
  </r>
  <r>
    <x v="8"/>
    <x v="61"/>
    <x v="61"/>
    <x v="24"/>
    <x v="8"/>
    <s v="Ulvi lasteaed"/>
    <s v="ventilatsiooni väljaehitus"/>
    <x v="115"/>
    <m/>
    <x v="4"/>
    <s v="Kinnistute, hoonete ja ruumide majandamiskulud"/>
    <n v="55"/>
    <x v="0"/>
    <x v="0"/>
    <x v="0"/>
    <x v="0"/>
  </r>
  <r>
    <x v="8"/>
    <x v="61"/>
    <x v="61"/>
    <x v="24"/>
    <x v="8"/>
    <s v="Ulvi lasteaed"/>
    <s v="muruniidukile bensiin"/>
    <x v="0"/>
    <m/>
    <x v="4"/>
    <s v="Kinnistute, hoonete ja ruumide majandamiskulud"/>
    <n v="55"/>
    <x v="0"/>
    <x v="0"/>
    <x v="0"/>
    <x v="0"/>
  </r>
  <r>
    <x v="8"/>
    <x v="61"/>
    <x v="61"/>
    <x v="24"/>
    <x v="8"/>
    <s v="Ulvi lasteaed"/>
    <s v="IT alane hooldus"/>
    <x v="2"/>
    <m/>
    <x v="5"/>
    <s v="Info- ja kommunikatsioonitehnoliigised kulud"/>
    <n v="55"/>
    <x v="0"/>
    <x v="0"/>
    <x v="0"/>
    <x v="0"/>
  </r>
  <r>
    <x v="8"/>
    <x v="62"/>
    <x v="62"/>
    <x v="24"/>
    <x v="8"/>
    <s v="Muuga-Laekvere kool"/>
    <s v="küte"/>
    <x v="151"/>
    <m/>
    <x v="4"/>
    <s v="Kinnistute, hoonete ja ruumide majandamiskulud"/>
    <n v="55"/>
    <x v="0"/>
    <x v="0"/>
    <x v="0"/>
    <x v="0"/>
  </r>
  <r>
    <x v="8"/>
    <x v="62"/>
    <x v="62"/>
    <x v="24"/>
    <x v="8"/>
    <s v="Muuga-Laekvere kool"/>
    <s v="elekter"/>
    <x v="114"/>
    <m/>
    <x v="4"/>
    <s v="Kinnistute, hoonete ja ruumide majandamiskulud"/>
    <n v="55"/>
    <x v="0"/>
    <x v="0"/>
    <x v="0"/>
    <x v="0"/>
  </r>
  <r>
    <x v="8"/>
    <x v="62"/>
    <x v="62"/>
    <x v="24"/>
    <x v="8"/>
    <s v="Muuga-Laekvere kool"/>
    <s v="el.käitlus"/>
    <x v="108"/>
    <m/>
    <x v="4"/>
    <s v="Kinnistute, hoonete ja ruumide majandamiskulud"/>
    <n v="55"/>
    <x v="0"/>
    <x v="0"/>
    <x v="0"/>
    <x v="0"/>
  </r>
  <r>
    <x v="8"/>
    <x v="62"/>
    <x v="62"/>
    <x v="24"/>
    <x v="8"/>
    <s v="Muuga-Laekvere kool"/>
    <s v="korrashoid"/>
    <x v="40"/>
    <m/>
    <x v="4"/>
    <s v="Kinnistute, hoonete ja ruumide majandamiskulud"/>
    <n v="55"/>
    <x v="0"/>
    <x v="0"/>
    <x v="0"/>
    <x v="0"/>
  </r>
  <r>
    <x v="8"/>
    <x v="62"/>
    <x v="62"/>
    <x v="24"/>
    <x v="8"/>
    <s v="Muuga-Laekvere kool"/>
    <s v="prügi"/>
    <x v="2"/>
    <m/>
    <x v="4"/>
    <s v="Kinnistute, hoonete ja ruumide majandamiskulud"/>
    <n v="55"/>
    <x v="0"/>
    <x v="0"/>
    <x v="0"/>
    <x v="0"/>
  </r>
  <r>
    <x v="8"/>
    <x v="62"/>
    <x v="62"/>
    <x v="24"/>
    <x v="8"/>
    <s v="Muuga-Laekvere kool"/>
    <s v="korstnapühkija"/>
    <x v="69"/>
    <m/>
    <x v="4"/>
    <s v="Kinnistute, hoonete ja ruumide majandamiskulud"/>
    <n v="55"/>
    <x v="0"/>
    <x v="0"/>
    <x v="0"/>
    <x v="0"/>
  </r>
  <r>
    <x v="8"/>
    <x v="62"/>
    <x v="62"/>
    <x v="24"/>
    <x v="8"/>
    <s v="Muuga-Laekvere kool"/>
    <s v="vesi kanalisatsioon"/>
    <x v="245"/>
    <m/>
    <x v="4"/>
    <s v="Kinnistute, hoonete ja ruumide majandamiskulud"/>
    <n v="55"/>
    <x v="0"/>
    <x v="0"/>
    <x v="0"/>
    <x v="0"/>
  </r>
  <r>
    <x v="8"/>
    <x v="62"/>
    <x v="62"/>
    <x v="24"/>
    <x v="8"/>
    <s v="Muuga-Laekvere kool"/>
    <s v="rem tööd"/>
    <x v="2"/>
    <m/>
    <x v="4"/>
    <s v="Kinnistute, hoonete ja ruumide majandamiskulud"/>
    <n v="55"/>
    <x v="0"/>
    <x v="0"/>
    <x v="0"/>
    <x v="0"/>
  </r>
  <r>
    <x v="8"/>
    <x v="62"/>
    <x v="62"/>
    <x v="24"/>
    <x v="8"/>
    <s v="Muuga-Laekvere kool"/>
    <s v="kindlustus"/>
    <x v="132"/>
    <m/>
    <x v="4"/>
    <s v="Kinnistute, hoonete ja ruumide majandamiskulud"/>
    <n v="55"/>
    <x v="0"/>
    <x v="0"/>
    <x v="0"/>
    <x v="0"/>
  </r>
  <r>
    <x v="8"/>
    <x v="62"/>
    <x v="62"/>
    <x v="24"/>
    <x v="8"/>
    <s v="Muuga-Laekvere kool"/>
    <s v="Muud kinnistukulud"/>
    <x v="41"/>
    <m/>
    <x v="4"/>
    <s v="Kinnistute, hoonete ja ruumide majandamiskulud"/>
    <n v="55"/>
    <x v="0"/>
    <x v="0"/>
    <x v="0"/>
    <x v="0"/>
  </r>
  <r>
    <x v="8"/>
    <x v="62"/>
    <x v="62"/>
    <x v="24"/>
    <x v="8"/>
    <s v="Muuga-Laekvere kool"/>
    <s v="voodipesu"/>
    <x v="2"/>
    <m/>
    <x v="4"/>
    <s v="Kinnistute, hoonete ja ruumide majandamiskulud"/>
    <n v="55"/>
    <x v="0"/>
    <x v="0"/>
    <x v="0"/>
    <x v="0"/>
  </r>
  <r>
    <x v="8"/>
    <x v="62"/>
    <x v="62"/>
    <x v="24"/>
    <x v="8"/>
    <s v="Muuga-Laekvere kool"/>
    <s v="ohutusvahendite kontroll"/>
    <x v="120"/>
    <m/>
    <x v="4"/>
    <s v="Kinnistute, hoonete ja ruumide majandamiskulud"/>
    <n v="55"/>
    <x v="0"/>
    <x v="0"/>
    <x v="0"/>
    <x v="0"/>
  </r>
  <r>
    <x v="8"/>
    <x v="62"/>
    <x v="62"/>
    <x v="24"/>
    <x v="8"/>
    <s v="Muuga-Laekvere kool"/>
    <s v="büroo"/>
    <x v="20"/>
    <m/>
    <x v="0"/>
    <s v="Administreerimiskulud"/>
    <n v="55"/>
    <x v="0"/>
    <x v="0"/>
    <x v="0"/>
    <x v="0"/>
  </r>
  <r>
    <x v="8"/>
    <x v="62"/>
    <x v="62"/>
    <x v="24"/>
    <x v="8"/>
    <s v="Muuga-Laekvere kool"/>
    <s v="tahm"/>
    <x v="108"/>
    <m/>
    <x v="0"/>
    <s v="Administreerimiskulud"/>
    <n v="55"/>
    <x v="0"/>
    <x v="0"/>
    <x v="0"/>
    <x v="0"/>
  </r>
  <r>
    <x v="8"/>
    <x v="62"/>
    <x v="62"/>
    <x v="24"/>
    <x v="8"/>
    <s v="Muuga-Laekvere kool"/>
    <s v="trükised"/>
    <x v="0"/>
    <m/>
    <x v="0"/>
    <s v="Administreerimiskulud"/>
    <n v="55"/>
    <x v="0"/>
    <x v="0"/>
    <x v="0"/>
    <x v="0"/>
  </r>
  <r>
    <x v="8"/>
    <x v="62"/>
    <x v="62"/>
    <x v="24"/>
    <x v="8"/>
    <s v="Muuga-Laekvere kool"/>
    <s v="post"/>
    <x v="1"/>
    <m/>
    <x v="0"/>
    <s v="Administreerimiskulud"/>
    <n v="55"/>
    <x v="0"/>
    <x v="0"/>
    <x v="0"/>
    <x v="0"/>
  </r>
  <r>
    <x v="8"/>
    <x v="62"/>
    <x v="62"/>
    <x v="24"/>
    <x v="8"/>
    <s v="Muuga-Laekvere kool"/>
    <s v="telefon"/>
    <x v="32"/>
    <m/>
    <x v="0"/>
    <s v="Administreerimiskulud"/>
    <n v="55"/>
    <x v="0"/>
    <x v="0"/>
    <x v="0"/>
    <x v="0"/>
  </r>
  <r>
    <x v="8"/>
    <x v="62"/>
    <x v="62"/>
    <x v="24"/>
    <x v="8"/>
    <s v="Muuga-Laekvere kool"/>
    <s v="mobiiltel"/>
    <x v="69"/>
    <m/>
    <x v="0"/>
    <s v="Administreerimiskulud"/>
    <n v="55"/>
    <x v="0"/>
    <x v="0"/>
    <x v="0"/>
    <x v="0"/>
  </r>
  <r>
    <x v="8"/>
    <x v="62"/>
    <x v="62"/>
    <x v="24"/>
    <x v="8"/>
    <s v="Muuga-Laekvere kool"/>
    <s v="kingitused"/>
    <x v="0"/>
    <m/>
    <x v="0"/>
    <s v="Administreerimiskulud"/>
    <n v="55"/>
    <x v="0"/>
    <x v="0"/>
    <x v="0"/>
    <x v="0"/>
  </r>
  <r>
    <x v="8"/>
    <x v="62"/>
    <x v="62"/>
    <x v="24"/>
    <x v="8"/>
    <s v="Muuga-Laekvere kool"/>
    <s v="esindamine"/>
    <x v="246"/>
    <m/>
    <x v="0"/>
    <s v="Administreerimiskulud"/>
    <n v="55"/>
    <x v="0"/>
    <x v="0"/>
    <x v="0"/>
    <x v="0"/>
  </r>
  <r>
    <x v="8"/>
    <x v="62"/>
    <x v="62"/>
    <x v="24"/>
    <x v="8"/>
    <s v="Muuga-Laekvere kool"/>
    <s v="kuulutused"/>
    <x v="1"/>
    <m/>
    <x v="0"/>
    <s v="Administreerimiskulud"/>
    <n v="55"/>
    <x v="0"/>
    <x v="0"/>
    <x v="0"/>
    <x v="0"/>
  </r>
  <r>
    <x v="8"/>
    <x v="62"/>
    <x v="62"/>
    <x v="24"/>
    <x v="8"/>
    <s v="Muuga-Laekvere kool"/>
    <s v="Muud admin.kulud"/>
    <x v="0"/>
    <m/>
    <x v="0"/>
    <s v="Administreerimiskulud"/>
    <n v="55"/>
    <x v="0"/>
    <x v="0"/>
    <x v="0"/>
    <x v="0"/>
  </r>
  <r>
    <x v="8"/>
    <x v="62"/>
    <x v="62"/>
    <x v="24"/>
    <x v="8"/>
    <s v="Muuga-Laekvere kool"/>
    <s v="Koolitused"/>
    <x v="2"/>
    <m/>
    <x v="2"/>
    <s v="Koolituskulud"/>
    <n v="55"/>
    <x v="0"/>
    <x v="0"/>
    <x v="0"/>
    <x v="0"/>
  </r>
  <r>
    <x v="8"/>
    <x v="62"/>
    <x v="62"/>
    <x v="24"/>
    <x v="8"/>
    <s v="Muuga-Laekvere kool"/>
    <s v="isikliku sõiduki kasutamine"/>
    <x v="2"/>
    <m/>
    <x v="3"/>
    <s v="Sõidukite ülalpidamise kulud"/>
    <n v="55"/>
    <x v="0"/>
    <x v="0"/>
    <x v="0"/>
    <x v="0"/>
  </r>
  <r>
    <x v="8"/>
    <x v="62"/>
    <x v="62"/>
    <x v="24"/>
    <x v="8"/>
    <s v="Muuga-Laekvere kool"/>
    <s v="hooldus ja remont"/>
    <x v="2"/>
    <m/>
    <x v="8"/>
    <s v="Inventari kulud, v.a infotehnoloogia ja kaitseotstarbelised kulud"/>
    <n v="55"/>
    <x v="0"/>
    <x v="0"/>
    <x v="0"/>
    <x v="0"/>
  </r>
  <r>
    <x v="8"/>
    <x v="62"/>
    <x v="62"/>
    <x v="24"/>
    <x v="8"/>
    <s v="Muuga-Laekvere kool"/>
    <s v="muud inventari kulud"/>
    <x v="32"/>
    <m/>
    <x v="8"/>
    <s v="Inventari kulud, v.a infotehnoloogia ja kaitseotstarbelised kulud"/>
    <n v="55"/>
    <x v="0"/>
    <x v="0"/>
    <x v="0"/>
    <x v="0"/>
  </r>
  <r>
    <x v="8"/>
    <x v="62"/>
    <x v="62"/>
    <x v="24"/>
    <x v="8"/>
    <s v="Muuga-Laekvere kool"/>
    <s v="Toiduained"/>
    <x v="125"/>
    <m/>
    <x v="30"/>
    <s v="Toiduained ja toitlustusteenused"/>
    <n v="55"/>
    <x v="0"/>
    <x v="0"/>
    <x v="0"/>
    <x v="0"/>
  </r>
  <r>
    <x v="8"/>
    <x v="62"/>
    <x v="62"/>
    <x v="24"/>
    <x v="8"/>
    <s v="Muuga-Laekvere kool"/>
    <s v="esmaabi"/>
    <x v="1"/>
    <m/>
    <x v="9"/>
    <s v="Meditsiinikulud ja hügieenitarbed"/>
    <n v="55"/>
    <x v="0"/>
    <x v="0"/>
    <x v="0"/>
    <x v="0"/>
  </r>
  <r>
    <x v="8"/>
    <x v="62"/>
    <x v="62"/>
    <x v="24"/>
    <x v="8"/>
    <s v="Muuga-Laekvere kool"/>
    <s v="tervisekontroll"/>
    <x v="1"/>
    <m/>
    <x v="9"/>
    <s v="Meditsiinikulud ja hügieenitarbed"/>
    <n v="55"/>
    <x v="0"/>
    <x v="0"/>
    <x v="0"/>
    <x v="0"/>
  </r>
  <r>
    <x v="8"/>
    <x v="62"/>
    <x v="62"/>
    <x v="24"/>
    <x v="8"/>
    <s v="Muuga-Laekvere kool"/>
    <s v="prillid"/>
    <x v="32"/>
    <m/>
    <x v="9"/>
    <s v="Meditsiinikulud ja hügieenitarbed"/>
    <n v="55"/>
    <x v="0"/>
    <x v="0"/>
    <x v="0"/>
    <x v="0"/>
  </r>
  <r>
    <x v="8"/>
    <x v="62"/>
    <x v="62"/>
    <x v="24"/>
    <x v="8"/>
    <s v="Muuga-Laekvere kool"/>
    <s v="õpikud, töövihikud"/>
    <x v="146"/>
    <m/>
    <x v="31"/>
    <s v="Õppevahendid"/>
    <n v="55"/>
    <x v="0"/>
    <x v="0"/>
    <x v="0"/>
    <x v="0"/>
  </r>
  <r>
    <x v="8"/>
    <x v="62"/>
    <x v="62"/>
    <x v="24"/>
    <x v="8"/>
    <s v="Muuga-Laekvere kool"/>
    <s v="õppematerjalid"/>
    <x v="146"/>
    <m/>
    <x v="31"/>
    <s v="Õppevahendid"/>
    <n v="55"/>
    <x v="0"/>
    <x v="0"/>
    <x v="0"/>
    <x v="0"/>
  </r>
  <r>
    <x v="8"/>
    <x v="62"/>
    <x v="62"/>
    <x v="24"/>
    <x v="8"/>
    <s v="Muuga-Laekvere kool"/>
    <s v="mänguasjad"/>
    <x v="65"/>
    <m/>
    <x v="31"/>
    <s v="Õppevahendid"/>
    <n v="55"/>
    <x v="0"/>
    <x v="0"/>
    <x v="0"/>
    <x v="0"/>
  </r>
  <r>
    <x v="8"/>
    <x v="62"/>
    <x v="62"/>
    <x v="24"/>
    <x v="8"/>
    <s v="Muuga-Laekvere kool"/>
    <s v="ühisüritused"/>
    <x v="0"/>
    <m/>
    <x v="31"/>
    <s v="Õppevahendid"/>
    <n v="55"/>
    <x v="0"/>
    <x v="0"/>
    <x v="0"/>
    <x v="0"/>
  </r>
  <r>
    <x v="8"/>
    <x v="62"/>
    <x v="62"/>
    <x v="24"/>
    <x v="8"/>
    <s v="Muuga-Laekvere kool"/>
    <s v="transport"/>
    <x v="2"/>
    <m/>
    <x v="31"/>
    <s v="Õppevahendid"/>
    <n v="55"/>
    <x v="0"/>
    <x v="0"/>
    <x v="0"/>
    <x v="0"/>
  </r>
  <r>
    <x v="8"/>
    <x v="62"/>
    <x v="62"/>
    <x v="24"/>
    <x v="8"/>
    <s v="Muuga-Laekvere kool"/>
    <s v="etendused, kontserdid"/>
    <x v="2"/>
    <m/>
    <x v="22"/>
    <s v="Kommunikatsiooni-, kultuuri- ja vaba aja sisustamise kulud"/>
    <n v="55"/>
    <x v="0"/>
    <x v="0"/>
    <x v="0"/>
    <x v="0"/>
  </r>
  <r>
    <x v="8"/>
    <x v="62"/>
    <x v="62"/>
    <x v="24"/>
    <x v="8"/>
    <s v="Muuga-Laekvere kool"/>
    <s v="osalustasud"/>
    <x v="0"/>
    <m/>
    <x v="22"/>
    <s v="Kommunikatsiooni-, kultuuri- ja vaba aja sisustamise kulud"/>
    <n v="55"/>
    <x v="0"/>
    <x v="0"/>
    <x v="0"/>
    <x v="0"/>
  </r>
  <r>
    <x v="8"/>
    <x v="62"/>
    <x v="62"/>
    <x v="24"/>
    <x v="8"/>
    <s v="Muuga-Laekvere kool"/>
    <s v="aastapäevad"/>
    <x v="14"/>
    <m/>
    <x v="22"/>
    <s v="Kommunikatsiooni-, kultuuri- ja vaba aja sisustamise kulud"/>
    <n v="55"/>
    <x v="0"/>
    <x v="0"/>
    <x v="0"/>
    <x v="0"/>
  </r>
  <r>
    <x v="8"/>
    <x v="62"/>
    <x v="62"/>
    <x v="24"/>
    <x v="8"/>
    <s v="Muuga-Laekvere kool"/>
    <s v="programmid"/>
    <x v="32"/>
    <m/>
    <x v="5"/>
    <s v="Info- ja kommunikatsioonitehnoliigised kulud"/>
    <n v="55"/>
    <x v="0"/>
    <x v="0"/>
    <x v="0"/>
    <x v="0"/>
  </r>
  <r>
    <x v="8"/>
    <x v="62"/>
    <x v="62"/>
    <x v="24"/>
    <x v="8"/>
    <s v="Muuga-Laekvere kool"/>
    <s v="soetamine"/>
    <x v="89"/>
    <m/>
    <x v="5"/>
    <s v="Info- ja kommunikatsioonitehnoliigised kulud"/>
    <n v="55"/>
    <x v="0"/>
    <x v="0"/>
    <x v="0"/>
    <x v="0"/>
  </r>
  <r>
    <x v="8"/>
    <x v="62"/>
    <x v="62"/>
    <x v="24"/>
    <x v="8"/>
    <s v="Muuga-Laekvere kool"/>
    <s v="andmeside"/>
    <x v="0"/>
    <m/>
    <x v="5"/>
    <s v="Info- ja kommunikatsioonitehnoliigised kulud"/>
    <n v="55"/>
    <x v="0"/>
    <x v="0"/>
    <x v="0"/>
    <x v="0"/>
  </r>
  <r>
    <x v="8"/>
    <x v="62"/>
    <x v="62"/>
    <x v="24"/>
    <x v="8"/>
    <s v="Muuga-Laekvere kool"/>
    <s v="remont ja hooldus"/>
    <x v="0"/>
    <m/>
    <x v="5"/>
    <s v="Info- ja kommunikatsioonitehnoliigised kulud"/>
    <n v="55"/>
    <x v="0"/>
    <x v="0"/>
    <x v="0"/>
    <x v="0"/>
  </r>
  <r>
    <x v="8"/>
    <x v="63"/>
    <x v="63"/>
    <x v="24"/>
    <x v="8"/>
    <s v="Ferdinand von Wrangelli nim Roela Lasteaed-Põhikool"/>
    <s v="eliis tarkvara"/>
    <x v="247"/>
    <s v="aasta"/>
    <x v="5"/>
    <s v="Info- ja kommunikatsioonitehnoliigised kulud"/>
    <n v="55"/>
    <x v="0"/>
    <x v="0"/>
    <x v="0"/>
    <x v="0"/>
  </r>
  <r>
    <x v="8"/>
    <x v="63"/>
    <x v="63"/>
    <x v="24"/>
    <x v="8"/>
    <s v="Ferdinand von Wrangelli nim Roela Lasteaed-Põhikool"/>
    <s v="toiduained  "/>
    <x v="248"/>
    <m/>
    <x v="30"/>
    <s v="Toiduained ja toitlustusteenused"/>
    <n v="55"/>
    <x v="0"/>
    <x v="0"/>
    <x v="0"/>
    <x v="0"/>
  </r>
  <r>
    <x v="8"/>
    <x v="63"/>
    <x v="63"/>
    <x v="24"/>
    <x v="8"/>
    <s v="Ferdinand von Wrangelli nim Roela Lasteaed-Põhikool"/>
    <s v="Õppevahendid"/>
    <x v="14"/>
    <m/>
    <x v="31"/>
    <s v="Õppevahendid"/>
    <n v="55"/>
    <x v="0"/>
    <x v="0"/>
    <x v="0"/>
    <x v="0"/>
  </r>
  <r>
    <x v="8"/>
    <x v="64"/>
    <x v="64"/>
    <x v="24"/>
    <x v="8"/>
    <s v="Haridusnõunik"/>
    <s v="Kohatasud "/>
    <x v="249"/>
    <s v="alusharidus"/>
    <x v="31"/>
    <s v="Õppevahendid"/>
    <n v="55"/>
    <x v="0"/>
    <x v="0"/>
    <x v="0"/>
    <x v="0"/>
  </r>
  <r>
    <x v="8"/>
    <x v="64"/>
    <x v="64"/>
    <x v="24"/>
    <x v="8"/>
    <s v="Haridusnõunik"/>
    <s v="Tulud haridustegevusest kohatasud"/>
    <x v="250"/>
    <s v="s.h alusharidus"/>
    <x v="32"/>
    <s v="Õpilaskoht"/>
    <n v="32"/>
    <x v="9"/>
    <x v="11"/>
    <x v="14"/>
    <x v="1"/>
  </r>
  <r>
    <x v="8"/>
    <x v="65"/>
    <x v="65"/>
    <x v="25"/>
    <x v="8"/>
    <s v="Muuga-Laekvere kool"/>
    <s v="küte"/>
    <x v="152"/>
    <m/>
    <x v="4"/>
    <s v="Kinnistute, hoonete ja ruumide majandamiskulud"/>
    <n v="55"/>
    <x v="0"/>
    <x v="0"/>
    <x v="0"/>
    <x v="0"/>
  </r>
  <r>
    <x v="8"/>
    <x v="65"/>
    <x v="65"/>
    <x v="25"/>
    <x v="8"/>
    <s v="Muuga-Laekvere kool"/>
    <s v="elekter"/>
    <x v="115"/>
    <m/>
    <x v="4"/>
    <s v="Kinnistute, hoonete ja ruumide majandamiskulud"/>
    <n v="55"/>
    <x v="0"/>
    <x v="0"/>
    <x v="0"/>
    <x v="0"/>
  </r>
  <r>
    <x v="8"/>
    <x v="65"/>
    <x v="65"/>
    <x v="25"/>
    <x v="8"/>
    <s v="Muuga-Laekvere kool"/>
    <s v="el.käitlus"/>
    <x v="2"/>
    <m/>
    <x v="4"/>
    <s v="Kinnistute, hoonete ja ruumide majandamiskulud"/>
    <n v="55"/>
    <x v="0"/>
    <x v="0"/>
    <x v="0"/>
    <x v="0"/>
  </r>
  <r>
    <x v="8"/>
    <x v="65"/>
    <x v="65"/>
    <x v="25"/>
    <x v="8"/>
    <s v="Muuga-Laekvere kool"/>
    <s v="korrashoid"/>
    <x v="251"/>
    <m/>
    <x v="4"/>
    <s v="Kinnistute, hoonete ja ruumide majandamiskulud"/>
    <n v="55"/>
    <x v="0"/>
    <x v="0"/>
    <x v="0"/>
    <x v="0"/>
  </r>
  <r>
    <x v="8"/>
    <x v="65"/>
    <x v="65"/>
    <x v="25"/>
    <x v="8"/>
    <s v="Muuga-Laekvere kool"/>
    <s v="prügi"/>
    <x v="2"/>
    <m/>
    <x v="4"/>
    <s v="Kinnistute, hoonete ja ruumide majandamiskulud"/>
    <n v="55"/>
    <x v="0"/>
    <x v="0"/>
    <x v="0"/>
    <x v="0"/>
  </r>
  <r>
    <x v="8"/>
    <x v="65"/>
    <x v="65"/>
    <x v="25"/>
    <x v="8"/>
    <s v="Muuga-Laekvere kool"/>
    <s v="korstnapühkija"/>
    <x v="11"/>
    <m/>
    <x v="4"/>
    <s v="Kinnistute, hoonete ja ruumide majandamiskulud"/>
    <n v="55"/>
    <x v="0"/>
    <x v="0"/>
    <x v="0"/>
    <x v="0"/>
  </r>
  <r>
    <x v="8"/>
    <x v="65"/>
    <x v="65"/>
    <x v="25"/>
    <x v="8"/>
    <s v="Muuga-Laekvere kool"/>
    <s v="vesi kanalisatsioon"/>
    <x v="123"/>
    <m/>
    <x v="4"/>
    <s v="Kinnistute, hoonete ja ruumide majandamiskulud"/>
    <n v="55"/>
    <x v="0"/>
    <x v="0"/>
    <x v="0"/>
    <x v="0"/>
  </r>
  <r>
    <x v="8"/>
    <x v="65"/>
    <x v="65"/>
    <x v="25"/>
    <x v="8"/>
    <s v="Muuga-Laekvere kool"/>
    <s v="rem tööd"/>
    <x v="2"/>
    <m/>
    <x v="4"/>
    <s v="Kinnistute, hoonete ja ruumide majandamiskulud"/>
    <n v="55"/>
    <x v="0"/>
    <x v="0"/>
    <x v="0"/>
    <x v="0"/>
  </r>
  <r>
    <x v="8"/>
    <x v="65"/>
    <x v="65"/>
    <x v="25"/>
    <x v="8"/>
    <s v="Muuga-Laekvere kool"/>
    <s v="kindlustus"/>
    <x v="220"/>
    <m/>
    <x v="4"/>
    <s v="Kinnistute, hoonete ja ruumide majandamiskulud"/>
    <n v="55"/>
    <x v="0"/>
    <x v="0"/>
    <x v="0"/>
    <x v="0"/>
  </r>
  <r>
    <x v="8"/>
    <x v="65"/>
    <x v="65"/>
    <x v="25"/>
    <x v="8"/>
    <s v="Muuga-Laekvere kool"/>
    <s v="Muud kinnistukulud"/>
    <x v="10"/>
    <m/>
    <x v="4"/>
    <s v="Kinnistute, hoonete ja ruumide majandamiskulud"/>
    <n v="55"/>
    <x v="0"/>
    <x v="0"/>
    <x v="0"/>
    <x v="0"/>
  </r>
  <r>
    <x v="8"/>
    <x v="65"/>
    <x v="65"/>
    <x v="25"/>
    <x v="8"/>
    <s v="Muuga-Laekvere kool"/>
    <s v="ohutusvahendite kontroll"/>
    <x v="120"/>
    <m/>
    <x v="4"/>
    <s v="Kinnistute, hoonete ja ruumide majandamiskulud"/>
    <n v="55"/>
    <x v="0"/>
    <x v="0"/>
    <x v="0"/>
    <x v="0"/>
  </r>
  <r>
    <x v="8"/>
    <x v="65"/>
    <x v="65"/>
    <x v="25"/>
    <x v="8"/>
    <s v="Muuga-Laekvere kool"/>
    <s v="tahm"/>
    <x v="108"/>
    <m/>
    <x v="0"/>
    <s v="Administreerimiskulud"/>
    <n v="55"/>
    <x v="0"/>
    <x v="0"/>
    <x v="0"/>
    <x v="0"/>
  </r>
  <r>
    <x v="8"/>
    <x v="65"/>
    <x v="65"/>
    <x v="25"/>
    <x v="8"/>
    <s v="Muuga-Laekvere kool"/>
    <s v="trükised"/>
    <x v="120"/>
    <m/>
    <x v="0"/>
    <s v="Administreerimiskulud"/>
    <n v="55"/>
    <x v="0"/>
    <x v="0"/>
    <x v="0"/>
    <x v="0"/>
  </r>
  <r>
    <x v="8"/>
    <x v="65"/>
    <x v="65"/>
    <x v="25"/>
    <x v="8"/>
    <s v="Muuga-Laekvere kool"/>
    <s v="post"/>
    <x v="1"/>
    <m/>
    <x v="0"/>
    <s v="Administreerimiskulud"/>
    <n v="55"/>
    <x v="0"/>
    <x v="0"/>
    <x v="0"/>
    <x v="0"/>
  </r>
  <r>
    <x v="8"/>
    <x v="65"/>
    <x v="65"/>
    <x v="25"/>
    <x v="8"/>
    <s v="Muuga-Laekvere kool"/>
    <s v="telefon"/>
    <x v="110"/>
    <m/>
    <x v="0"/>
    <s v="Administreerimiskulud"/>
    <n v="55"/>
    <x v="0"/>
    <x v="0"/>
    <x v="0"/>
    <x v="0"/>
  </r>
  <r>
    <x v="8"/>
    <x v="65"/>
    <x v="65"/>
    <x v="25"/>
    <x v="8"/>
    <s v="Muuga-Laekvere kool"/>
    <s v="mobiiltel"/>
    <x v="41"/>
    <m/>
    <x v="0"/>
    <s v="Administreerimiskulud"/>
    <n v="55"/>
    <x v="0"/>
    <x v="0"/>
    <x v="0"/>
    <x v="0"/>
  </r>
  <r>
    <x v="8"/>
    <x v="65"/>
    <x v="65"/>
    <x v="25"/>
    <x v="8"/>
    <s v="Muuga-Laekvere kool"/>
    <s v="kingitused"/>
    <x v="120"/>
    <m/>
    <x v="0"/>
    <s v="Administreerimiskulud"/>
    <n v="55"/>
    <x v="0"/>
    <x v="0"/>
    <x v="0"/>
    <x v="0"/>
  </r>
  <r>
    <x v="8"/>
    <x v="65"/>
    <x v="65"/>
    <x v="25"/>
    <x v="8"/>
    <s v="Muuga-Laekvere kool"/>
    <s v="esindamine"/>
    <x v="89"/>
    <m/>
    <x v="0"/>
    <s v="Administreerimiskulud"/>
    <n v="55"/>
    <x v="0"/>
    <x v="0"/>
    <x v="0"/>
    <x v="0"/>
  </r>
  <r>
    <x v="8"/>
    <x v="65"/>
    <x v="65"/>
    <x v="25"/>
    <x v="8"/>
    <s v="Muuga-Laekvere kool"/>
    <s v="kuulutused"/>
    <x v="1"/>
    <m/>
    <x v="0"/>
    <s v="Administreerimiskulud"/>
    <n v="55"/>
    <x v="0"/>
    <x v="0"/>
    <x v="0"/>
    <x v="0"/>
  </r>
  <r>
    <x v="8"/>
    <x v="65"/>
    <x v="65"/>
    <x v="25"/>
    <x v="8"/>
    <s v="Muuga-Laekvere kool"/>
    <s v="Muud admin.kulud"/>
    <x v="120"/>
    <m/>
    <x v="0"/>
    <s v="Administreerimiskulud"/>
    <n v="55"/>
    <x v="0"/>
    <x v="0"/>
    <x v="0"/>
    <x v="0"/>
  </r>
  <r>
    <x v="8"/>
    <x v="65"/>
    <x v="65"/>
    <x v="25"/>
    <x v="8"/>
    <s v="Muuga-Laekvere kool"/>
    <s v="koolitused"/>
    <x v="252"/>
    <m/>
    <x v="2"/>
    <s v="Koolituskulud"/>
    <n v="55"/>
    <x v="0"/>
    <x v="0"/>
    <x v="0"/>
    <x v="0"/>
  </r>
  <r>
    <x v="8"/>
    <x v="65"/>
    <x v="65"/>
    <x v="25"/>
    <x v="8"/>
    <s v="Muuga-Laekvere kool"/>
    <s v="isikliku sõiduki kasutamine"/>
    <x v="251"/>
    <m/>
    <x v="3"/>
    <s v="Sõidukite ülalpidamise kulud"/>
    <n v="55"/>
    <x v="0"/>
    <x v="0"/>
    <x v="0"/>
    <x v="0"/>
  </r>
  <r>
    <x v="8"/>
    <x v="65"/>
    <x v="65"/>
    <x v="25"/>
    <x v="8"/>
    <s v="Muuga-Laekvere kool"/>
    <s v="Kooli bussi haldamine"/>
    <x v="40"/>
    <m/>
    <x v="3"/>
    <s v="Sõidukite ülalpidamise kulud"/>
    <n v="55"/>
    <x v="0"/>
    <x v="0"/>
    <x v="0"/>
    <x v="0"/>
  </r>
  <r>
    <x v="8"/>
    <x v="65"/>
    <x v="65"/>
    <x v="25"/>
    <x v="8"/>
    <s v="Muuga-Laekvere kool"/>
    <s v="hooldus ja remont"/>
    <x v="123"/>
    <m/>
    <x v="8"/>
    <s v="Inventari kulud, v.a infotehnoloogia ja kaitseotstarbelised kulud"/>
    <n v="55"/>
    <x v="0"/>
    <x v="0"/>
    <x v="0"/>
    <x v="0"/>
  </r>
  <r>
    <x v="8"/>
    <x v="65"/>
    <x v="65"/>
    <x v="25"/>
    <x v="8"/>
    <s v="Muuga-Laekvere kool"/>
    <s v="muud inventari kulud"/>
    <x v="2"/>
    <m/>
    <x v="8"/>
    <s v="Inventari kulud, v.a infotehnoloogia ja kaitseotstarbelised kulud"/>
    <n v="55"/>
    <x v="0"/>
    <x v="0"/>
    <x v="0"/>
    <x v="0"/>
  </r>
  <r>
    <x v="8"/>
    <x v="65"/>
    <x v="65"/>
    <x v="25"/>
    <x v="8"/>
    <s v="Muuga-Laekvere kool"/>
    <s v="toiduained"/>
    <x v="253"/>
    <s v="Ped."/>
    <x v="30"/>
    <s v="Toiduained ja toitlustusteenused"/>
    <n v="55"/>
    <x v="0"/>
    <x v="0"/>
    <x v="0"/>
    <x v="0"/>
  </r>
  <r>
    <x v="8"/>
    <x v="65"/>
    <x v="65"/>
    <x v="25"/>
    <x v="8"/>
    <s v="Muuga-Laekvere kool"/>
    <s v="esmaabi"/>
    <x v="0"/>
    <m/>
    <x v="9"/>
    <s v="Meditsiinikulud ja hügieenitarbed"/>
    <n v="55"/>
    <x v="0"/>
    <x v="0"/>
    <x v="0"/>
    <x v="0"/>
  </r>
  <r>
    <x v="8"/>
    <x v="65"/>
    <x v="65"/>
    <x v="25"/>
    <x v="8"/>
    <s v="Muuga-Laekvere kool"/>
    <s v="hügieenivahendid"/>
    <x v="20"/>
    <m/>
    <x v="9"/>
    <s v="Meditsiinikulud ja hügieenitarbed"/>
    <n v="55"/>
    <x v="0"/>
    <x v="0"/>
    <x v="0"/>
    <x v="0"/>
  </r>
  <r>
    <x v="8"/>
    <x v="65"/>
    <x v="65"/>
    <x v="25"/>
    <x v="8"/>
    <s v="Muuga-Laekvere kool"/>
    <s v="tervisekontroll"/>
    <x v="1"/>
    <m/>
    <x v="9"/>
    <s v="Meditsiinikulud ja hügieenitarbed"/>
    <n v="55"/>
    <x v="0"/>
    <x v="0"/>
    <x v="0"/>
    <x v="0"/>
  </r>
  <r>
    <x v="8"/>
    <x v="65"/>
    <x v="65"/>
    <x v="25"/>
    <x v="8"/>
    <s v="Muuga-Laekvere kool"/>
    <s v="prillid"/>
    <x v="32"/>
    <m/>
    <x v="9"/>
    <s v="Meditsiinikulud ja hügieenitarbed"/>
    <n v="55"/>
    <x v="0"/>
    <x v="0"/>
    <x v="0"/>
    <x v="0"/>
  </r>
  <r>
    <x v="8"/>
    <x v="65"/>
    <x v="65"/>
    <x v="25"/>
    <x v="8"/>
    <s v="Muuga-Laekvere kool"/>
    <s v="õpikud, töövihikud"/>
    <x v="254"/>
    <m/>
    <x v="31"/>
    <s v="Õppevahendid"/>
    <n v="55"/>
    <x v="0"/>
    <x v="0"/>
    <x v="0"/>
    <x v="0"/>
  </r>
  <r>
    <x v="8"/>
    <x v="65"/>
    <x v="65"/>
    <x v="25"/>
    <x v="8"/>
    <s v="Muuga-Laekvere kool"/>
    <s v="õppematerjalid"/>
    <x v="138"/>
    <m/>
    <x v="31"/>
    <s v="Õppevahendid"/>
    <n v="55"/>
    <x v="0"/>
    <x v="0"/>
    <x v="0"/>
    <x v="0"/>
  </r>
  <r>
    <x v="8"/>
    <x v="65"/>
    <x v="65"/>
    <x v="25"/>
    <x v="8"/>
    <s v="Muuga-Laekvere kool"/>
    <s v="mänguasjad"/>
    <x v="69"/>
    <m/>
    <x v="31"/>
    <s v="Õppevahendid"/>
    <n v="55"/>
    <x v="0"/>
    <x v="0"/>
    <x v="0"/>
    <x v="0"/>
  </r>
  <r>
    <x v="8"/>
    <x v="65"/>
    <x v="65"/>
    <x v="25"/>
    <x v="8"/>
    <s v="Muuga-Laekvere kool"/>
    <s v="ühisüritused"/>
    <x v="20"/>
    <m/>
    <x v="31"/>
    <s v="Õppevahendid"/>
    <n v="55"/>
    <x v="0"/>
    <x v="0"/>
    <x v="0"/>
    <x v="0"/>
  </r>
  <r>
    <x v="8"/>
    <x v="65"/>
    <x v="65"/>
    <x v="25"/>
    <x v="8"/>
    <s v="Muuga-Laekvere kool"/>
    <s v="transport"/>
    <x v="114"/>
    <m/>
    <x v="31"/>
    <s v="Õppevahendid"/>
    <n v="55"/>
    <x v="0"/>
    <x v="0"/>
    <x v="0"/>
    <x v="0"/>
  </r>
  <r>
    <x v="8"/>
    <x v="65"/>
    <x v="65"/>
    <x v="25"/>
    <x v="8"/>
    <s v="Muuga-Laekvere kool"/>
    <s v="ujumine"/>
    <x v="65"/>
    <m/>
    <x v="31"/>
    <s v="Õppevahendid"/>
    <n v="55"/>
    <x v="0"/>
    <x v="0"/>
    <x v="0"/>
    <x v="0"/>
  </r>
  <r>
    <x v="8"/>
    <x v="65"/>
    <x v="65"/>
    <x v="25"/>
    <x v="8"/>
    <s v="Muuga-Laekvere kool"/>
    <s v="etendused, kontserdid"/>
    <x v="120"/>
    <m/>
    <x v="22"/>
    <s v="Kommunikatsiooni-, kultuuri- ja vaba aja sisustamise kulud"/>
    <n v="55"/>
    <x v="0"/>
    <x v="0"/>
    <x v="0"/>
    <x v="0"/>
  </r>
  <r>
    <x v="8"/>
    <x v="65"/>
    <x v="65"/>
    <x v="25"/>
    <x v="8"/>
    <s v="Muuga-Laekvere kool"/>
    <s v="osalustasud"/>
    <x v="0"/>
    <m/>
    <x v="22"/>
    <s v="Kommunikatsiooni-, kultuuri- ja vaba aja sisustamise kulud"/>
    <n v="55"/>
    <x v="0"/>
    <x v="0"/>
    <x v="0"/>
    <x v="0"/>
  </r>
  <r>
    <x v="8"/>
    <x v="65"/>
    <x v="65"/>
    <x v="25"/>
    <x v="8"/>
    <s v="Muuga-Laekvere kool"/>
    <s v="aastapäevad"/>
    <x v="123"/>
    <m/>
    <x v="22"/>
    <s v="Kommunikatsiooni-, kultuuri- ja vaba aja sisustamise kulud"/>
    <n v="55"/>
    <x v="0"/>
    <x v="0"/>
    <x v="0"/>
    <x v="0"/>
  </r>
  <r>
    <x v="8"/>
    <x v="65"/>
    <x v="65"/>
    <x v="25"/>
    <x v="8"/>
    <s v="Muuga-Laekvere kool"/>
    <s v="õpilaste üritused"/>
    <x v="7"/>
    <m/>
    <x v="22"/>
    <s v="Kommunikatsiooni-, kultuuri- ja vaba aja sisustamise kulud"/>
    <n v="55"/>
    <x v="0"/>
    <x v="0"/>
    <x v="0"/>
    <x v="0"/>
  </r>
  <r>
    <x v="8"/>
    <x v="65"/>
    <x v="65"/>
    <x v="25"/>
    <x v="8"/>
    <s v="Muuga-Laekvere kool"/>
    <s v="programmid"/>
    <x v="14"/>
    <m/>
    <x v="5"/>
    <s v="Info- ja kommunikatsioonitehnoliigised kulud"/>
    <n v="55"/>
    <x v="0"/>
    <x v="0"/>
    <x v="0"/>
    <x v="0"/>
  </r>
  <r>
    <x v="8"/>
    <x v="65"/>
    <x v="65"/>
    <x v="25"/>
    <x v="8"/>
    <s v="Muuga-Laekvere kool"/>
    <s v="soetamine"/>
    <x v="2"/>
    <m/>
    <x v="5"/>
    <s v="Info- ja kommunikatsioonitehnoliigised kulud"/>
    <n v="55"/>
    <x v="0"/>
    <x v="0"/>
    <x v="0"/>
    <x v="0"/>
  </r>
  <r>
    <x v="8"/>
    <x v="65"/>
    <x v="65"/>
    <x v="25"/>
    <x v="8"/>
    <s v="Muuga-Laekvere kool"/>
    <s v="andmeside"/>
    <x v="20"/>
    <m/>
    <x v="5"/>
    <s v="Info- ja kommunikatsioonitehnoliigised kulud"/>
    <n v="55"/>
    <x v="0"/>
    <x v="0"/>
    <x v="0"/>
    <x v="0"/>
  </r>
  <r>
    <x v="8"/>
    <x v="65"/>
    <x v="65"/>
    <x v="25"/>
    <x v="8"/>
    <s v="Muuga-Laekvere kool"/>
    <s v="remont ja hooldus"/>
    <x v="32"/>
    <m/>
    <x v="5"/>
    <s v="Info- ja kommunikatsioonitehnoliigised kulud"/>
    <n v="55"/>
    <x v="0"/>
    <x v="0"/>
    <x v="0"/>
    <x v="0"/>
  </r>
  <r>
    <x v="8"/>
    <x v="65"/>
    <x v="65"/>
    <x v="25"/>
    <x v="8"/>
    <s v="Ehitusnõunik"/>
    <s v="Muuga-Laekvere Kooli Laekvere koolimaja katuse vahetus, fassaadi remont"/>
    <x v="255"/>
    <m/>
    <x v="12"/>
    <s v="Rajatiste ja hoonete soetamine ja renoveerimine"/>
    <n v="15"/>
    <x v="3"/>
    <x v="3"/>
    <x v="3"/>
    <x v="2"/>
  </r>
  <r>
    <x v="8"/>
    <x v="65"/>
    <x v="65"/>
    <x v="25"/>
    <x v="8"/>
    <s v="Muuga-Laekvere kool"/>
    <s v="Pedagoogilised koolitused"/>
    <x v="256"/>
    <s v="Ped."/>
    <x v="2"/>
    <s v="Koolituskulud"/>
    <n v="55"/>
    <x v="0"/>
    <x v="0"/>
    <x v="0"/>
    <x v="0"/>
  </r>
  <r>
    <x v="8"/>
    <x v="65"/>
    <x v="65"/>
    <x v="25"/>
    <x v="8"/>
    <s v="Muuga-Laekvere kool"/>
    <s v="Pedagoogilised õppevahendid"/>
    <x v="257"/>
    <s v="Ped."/>
    <x v="31"/>
    <s v="Õppevahendid"/>
    <n v="55"/>
    <x v="0"/>
    <x v="0"/>
    <x v="0"/>
    <x v="0"/>
  </r>
  <r>
    <x v="8"/>
    <x v="66"/>
    <x v="66"/>
    <x v="25"/>
    <x v="8"/>
    <s v="Muuga-Laekvere kool"/>
    <s v="küte"/>
    <x v="258"/>
    <m/>
    <x v="4"/>
    <s v="Kinnistute, hoonete ja ruumide majandamiskulud"/>
    <n v="55"/>
    <x v="0"/>
    <x v="0"/>
    <x v="0"/>
    <x v="0"/>
  </r>
  <r>
    <x v="8"/>
    <x v="66"/>
    <x v="66"/>
    <x v="25"/>
    <x v="8"/>
    <s v="Muuga-Laekvere kool"/>
    <s v="elekter"/>
    <x v="259"/>
    <m/>
    <x v="4"/>
    <s v="Kinnistute, hoonete ja ruumide majandamiskulud"/>
    <n v="55"/>
    <x v="0"/>
    <x v="0"/>
    <x v="0"/>
    <x v="0"/>
  </r>
  <r>
    <x v="8"/>
    <x v="66"/>
    <x v="66"/>
    <x v="25"/>
    <x v="8"/>
    <s v="Muuga-Laekvere kool"/>
    <s v="el.käitlus"/>
    <x v="108"/>
    <m/>
    <x v="4"/>
    <s v="Kinnistute, hoonete ja ruumide majandamiskulud"/>
    <n v="55"/>
    <x v="0"/>
    <x v="0"/>
    <x v="0"/>
    <x v="0"/>
  </r>
  <r>
    <x v="8"/>
    <x v="66"/>
    <x v="66"/>
    <x v="25"/>
    <x v="8"/>
    <s v="Muuga-Laekvere kool"/>
    <s v="korrashoid"/>
    <x v="7"/>
    <m/>
    <x v="4"/>
    <s v="Kinnistute, hoonete ja ruumide majandamiskulud"/>
    <n v="55"/>
    <x v="0"/>
    <x v="0"/>
    <x v="0"/>
    <x v="0"/>
  </r>
  <r>
    <x v="8"/>
    <x v="66"/>
    <x v="66"/>
    <x v="25"/>
    <x v="8"/>
    <s v="Muuga-Laekvere kool"/>
    <s v="prügi"/>
    <x v="2"/>
    <m/>
    <x v="4"/>
    <s v="Kinnistute, hoonete ja ruumide majandamiskulud"/>
    <n v="55"/>
    <x v="0"/>
    <x v="0"/>
    <x v="0"/>
    <x v="0"/>
  </r>
  <r>
    <x v="8"/>
    <x v="66"/>
    <x v="66"/>
    <x v="25"/>
    <x v="8"/>
    <s v="Muuga-Laekvere kool"/>
    <s v="korstnapühkija"/>
    <x v="69"/>
    <m/>
    <x v="4"/>
    <s v="Kinnistute, hoonete ja ruumide majandamiskulud"/>
    <n v="55"/>
    <x v="0"/>
    <x v="0"/>
    <x v="0"/>
    <x v="0"/>
  </r>
  <r>
    <x v="8"/>
    <x v="66"/>
    <x v="66"/>
    <x v="25"/>
    <x v="8"/>
    <s v="Muuga-Laekvere kool"/>
    <s v="vesi kanalisatsioon"/>
    <x v="10"/>
    <m/>
    <x v="4"/>
    <s v="Kinnistute, hoonete ja ruumide majandamiskulud"/>
    <n v="55"/>
    <x v="0"/>
    <x v="0"/>
    <x v="0"/>
    <x v="0"/>
  </r>
  <r>
    <x v="8"/>
    <x v="66"/>
    <x v="66"/>
    <x v="25"/>
    <x v="8"/>
    <s v="Muuga-Laekvere kool"/>
    <s v="rem tööd"/>
    <x v="2"/>
    <m/>
    <x v="4"/>
    <s v="Kinnistute, hoonete ja ruumide majandamiskulud"/>
    <n v="55"/>
    <x v="0"/>
    <x v="0"/>
    <x v="0"/>
    <x v="0"/>
  </r>
  <r>
    <x v="8"/>
    <x v="66"/>
    <x v="66"/>
    <x v="25"/>
    <x v="8"/>
    <s v="Muuga-Laekvere kool"/>
    <s v="kindlustus"/>
    <x v="65"/>
    <m/>
    <x v="4"/>
    <s v="Kinnistute, hoonete ja ruumide majandamiskulud"/>
    <n v="55"/>
    <x v="0"/>
    <x v="0"/>
    <x v="0"/>
    <x v="0"/>
  </r>
  <r>
    <x v="8"/>
    <x v="66"/>
    <x v="66"/>
    <x v="25"/>
    <x v="8"/>
    <s v="Muuga-Laekvere kool"/>
    <s v="Muud kinnistukulud"/>
    <x v="66"/>
    <m/>
    <x v="4"/>
    <s v="Kinnistute, hoonete ja ruumide majandamiskulud"/>
    <n v="55"/>
    <x v="0"/>
    <x v="0"/>
    <x v="0"/>
    <x v="0"/>
  </r>
  <r>
    <x v="8"/>
    <x v="66"/>
    <x v="66"/>
    <x v="25"/>
    <x v="8"/>
    <s v="Muuga-Laekvere kool"/>
    <s v="ohutusvahendite kontroll"/>
    <x v="120"/>
    <m/>
    <x v="4"/>
    <s v="Kinnistute, hoonete ja ruumide majandamiskulud"/>
    <n v="55"/>
    <x v="0"/>
    <x v="0"/>
    <x v="0"/>
    <x v="0"/>
  </r>
  <r>
    <x v="8"/>
    <x v="66"/>
    <x v="66"/>
    <x v="25"/>
    <x v="8"/>
    <s v="Muuga-Laekvere kool"/>
    <s v="büroo"/>
    <x v="108"/>
    <m/>
    <x v="0"/>
    <s v="Administreerimiskulud"/>
    <n v="55"/>
    <x v="0"/>
    <x v="0"/>
    <x v="0"/>
    <x v="0"/>
  </r>
  <r>
    <x v="8"/>
    <x v="66"/>
    <x v="66"/>
    <x v="25"/>
    <x v="8"/>
    <s v="Muuga-Laekvere kool"/>
    <s v="tahm"/>
    <x v="89"/>
    <m/>
    <x v="0"/>
    <s v="Administreerimiskulud"/>
    <n v="55"/>
    <x v="0"/>
    <x v="0"/>
    <x v="0"/>
    <x v="0"/>
  </r>
  <r>
    <x v="8"/>
    <x v="66"/>
    <x v="66"/>
    <x v="25"/>
    <x v="8"/>
    <s v="Muuga-Laekvere kool"/>
    <s v="trükised"/>
    <x v="193"/>
    <m/>
    <x v="0"/>
    <s v="Administreerimiskulud"/>
    <n v="55"/>
    <x v="0"/>
    <x v="0"/>
    <x v="0"/>
    <x v="0"/>
  </r>
  <r>
    <x v="8"/>
    <x v="66"/>
    <x v="66"/>
    <x v="25"/>
    <x v="8"/>
    <s v="Muuga-Laekvere kool"/>
    <s v="post"/>
    <x v="1"/>
    <m/>
    <x v="0"/>
    <s v="Administreerimiskulud"/>
    <n v="55"/>
    <x v="0"/>
    <x v="0"/>
    <x v="0"/>
    <x v="0"/>
  </r>
  <r>
    <x v="8"/>
    <x v="66"/>
    <x v="66"/>
    <x v="25"/>
    <x v="8"/>
    <s v="Muuga-Laekvere kool"/>
    <s v="telefon"/>
    <x v="32"/>
    <m/>
    <x v="0"/>
    <s v="Administreerimiskulud"/>
    <n v="55"/>
    <x v="0"/>
    <x v="0"/>
    <x v="0"/>
    <x v="0"/>
  </r>
  <r>
    <x v="8"/>
    <x v="66"/>
    <x v="66"/>
    <x v="25"/>
    <x v="8"/>
    <s v="Muuga-Laekvere kool"/>
    <s v="mobiiltel"/>
    <x v="69"/>
    <m/>
    <x v="0"/>
    <s v="Administreerimiskulud"/>
    <n v="55"/>
    <x v="0"/>
    <x v="0"/>
    <x v="0"/>
    <x v="0"/>
  </r>
  <r>
    <x v="8"/>
    <x v="66"/>
    <x v="66"/>
    <x v="25"/>
    <x v="8"/>
    <s v="Muuga-Laekvere kool"/>
    <s v="kingitused"/>
    <x v="120"/>
    <m/>
    <x v="0"/>
    <s v="Administreerimiskulud"/>
    <n v="55"/>
    <x v="0"/>
    <x v="0"/>
    <x v="0"/>
    <x v="0"/>
  </r>
  <r>
    <x v="8"/>
    <x v="66"/>
    <x v="66"/>
    <x v="25"/>
    <x v="8"/>
    <s v="Muuga-Laekvere kool"/>
    <s v="esindamine"/>
    <x v="120"/>
    <m/>
    <x v="0"/>
    <s v="Administreerimiskulud"/>
    <n v="55"/>
    <x v="0"/>
    <x v="0"/>
    <x v="0"/>
    <x v="0"/>
  </r>
  <r>
    <x v="8"/>
    <x v="66"/>
    <x v="66"/>
    <x v="25"/>
    <x v="8"/>
    <s v="Muuga-Laekvere kool"/>
    <s v="kuulutused"/>
    <x v="1"/>
    <m/>
    <x v="0"/>
    <s v="Administreerimiskulud"/>
    <n v="55"/>
    <x v="0"/>
    <x v="0"/>
    <x v="0"/>
    <x v="0"/>
  </r>
  <r>
    <x v="8"/>
    <x v="66"/>
    <x v="66"/>
    <x v="25"/>
    <x v="8"/>
    <s v="Muuga-Laekvere kool"/>
    <s v="Muud admin.kulud"/>
    <x v="120"/>
    <m/>
    <x v="0"/>
    <s v="Administreerimiskulud"/>
    <n v="55"/>
    <x v="0"/>
    <x v="0"/>
    <x v="0"/>
    <x v="0"/>
  </r>
  <r>
    <x v="8"/>
    <x v="66"/>
    <x v="66"/>
    <x v="25"/>
    <x v="8"/>
    <s v="Muuga-Laekvere kool"/>
    <s v="koolitused"/>
    <x v="260"/>
    <m/>
    <x v="2"/>
    <s v="Koolituskulud"/>
    <n v="55"/>
    <x v="0"/>
    <x v="0"/>
    <x v="0"/>
    <x v="0"/>
  </r>
  <r>
    <x v="8"/>
    <x v="66"/>
    <x v="66"/>
    <x v="25"/>
    <x v="8"/>
    <s v="Muuga-Laekvere kool"/>
    <s v="isikliku sõiduki kasutamine"/>
    <x v="20"/>
    <m/>
    <x v="3"/>
    <s v="Sõidukite ülalpidamise kulud"/>
    <n v="55"/>
    <x v="0"/>
    <x v="0"/>
    <x v="0"/>
    <x v="0"/>
  </r>
  <r>
    <x v="8"/>
    <x v="66"/>
    <x v="66"/>
    <x v="25"/>
    <x v="8"/>
    <s v="Muuga-Laekvere kool"/>
    <s v="Kooli bussi haldamine"/>
    <x v="40"/>
    <m/>
    <x v="3"/>
    <s v="Sõidukite ülalpidamise kulud"/>
    <n v="55"/>
    <x v="0"/>
    <x v="0"/>
    <x v="0"/>
    <x v="0"/>
  </r>
  <r>
    <x v="8"/>
    <x v="66"/>
    <x v="66"/>
    <x v="25"/>
    <x v="8"/>
    <s v="Muuga-Laekvere kool"/>
    <s v="hooldus ja remont"/>
    <x v="2"/>
    <m/>
    <x v="8"/>
    <s v="Inventari kulud, v.a infotehnoloogia ja kaitseotstarbelised kulud"/>
    <n v="55"/>
    <x v="0"/>
    <x v="0"/>
    <x v="0"/>
    <x v="0"/>
  </r>
  <r>
    <x v="8"/>
    <x v="66"/>
    <x v="66"/>
    <x v="25"/>
    <x v="8"/>
    <s v="Muuga-Laekvere kool"/>
    <s v="muud inventari kulud"/>
    <x v="66"/>
    <m/>
    <x v="8"/>
    <s v="Inventari kulud, v.a infotehnoloogia ja kaitseotstarbelised kulud"/>
    <n v="55"/>
    <x v="0"/>
    <x v="0"/>
    <x v="0"/>
    <x v="0"/>
  </r>
  <r>
    <x v="8"/>
    <x v="66"/>
    <x v="66"/>
    <x v="25"/>
    <x v="8"/>
    <s v="Muuga-Laekvere kool"/>
    <s v="rent"/>
    <x v="32"/>
    <m/>
    <x v="8"/>
    <s v="Inventari kulud, v.a infotehnoloogia ja kaitseotstarbelised kulud"/>
    <n v="55"/>
    <x v="0"/>
    <x v="0"/>
    <x v="0"/>
    <x v="0"/>
  </r>
  <r>
    <x v="8"/>
    <x v="66"/>
    <x v="66"/>
    <x v="25"/>
    <x v="8"/>
    <s v="Muuga-Laekvere kool"/>
    <s v="Toiduained"/>
    <x v="261"/>
    <s v="Ped."/>
    <x v="30"/>
    <s v="Toiduained ja toitlustusteenused"/>
    <n v="55"/>
    <x v="0"/>
    <x v="0"/>
    <x v="0"/>
    <x v="0"/>
  </r>
  <r>
    <x v="8"/>
    <x v="66"/>
    <x v="66"/>
    <x v="25"/>
    <x v="8"/>
    <s v="Muuga-Laekvere kool"/>
    <s v="esmaabi"/>
    <x v="0"/>
    <m/>
    <x v="9"/>
    <s v="Meditsiinikulud ja hügieenitarbed"/>
    <n v="55"/>
    <x v="0"/>
    <x v="0"/>
    <x v="0"/>
    <x v="0"/>
  </r>
  <r>
    <x v="8"/>
    <x v="66"/>
    <x v="66"/>
    <x v="25"/>
    <x v="8"/>
    <s v="Muuga-Laekvere kool"/>
    <s v="hügieenivahendid"/>
    <x v="20"/>
    <m/>
    <x v="9"/>
    <s v="Meditsiinikulud ja hügieenitarbed"/>
    <n v="55"/>
    <x v="0"/>
    <x v="0"/>
    <x v="0"/>
    <x v="0"/>
  </r>
  <r>
    <x v="8"/>
    <x v="66"/>
    <x v="66"/>
    <x v="25"/>
    <x v="8"/>
    <s v="Muuga-Laekvere kool"/>
    <s v="tervisekontroll"/>
    <x v="1"/>
    <m/>
    <x v="9"/>
    <s v="Meditsiinikulud ja hügieenitarbed"/>
    <n v="55"/>
    <x v="0"/>
    <x v="0"/>
    <x v="0"/>
    <x v="0"/>
  </r>
  <r>
    <x v="8"/>
    <x v="66"/>
    <x v="66"/>
    <x v="25"/>
    <x v="8"/>
    <s v="Muuga-Laekvere kool"/>
    <s v="prillid"/>
    <x v="32"/>
    <m/>
    <x v="9"/>
    <s v="Meditsiinikulud ja hügieenitarbed"/>
    <n v="55"/>
    <x v="0"/>
    <x v="0"/>
    <x v="0"/>
    <x v="0"/>
  </r>
  <r>
    <x v="8"/>
    <x v="66"/>
    <x v="66"/>
    <x v="25"/>
    <x v="8"/>
    <s v="Muuga-Laekvere kool"/>
    <s v="õpikud, töövihikud"/>
    <x v="262"/>
    <m/>
    <x v="31"/>
    <s v="Õppevahendid"/>
    <n v="55"/>
    <x v="0"/>
    <x v="0"/>
    <x v="0"/>
    <x v="0"/>
  </r>
  <r>
    <x v="8"/>
    <x v="66"/>
    <x v="66"/>
    <x v="25"/>
    <x v="8"/>
    <s v="Muuga-Laekvere kool"/>
    <s v="õppematerjalid"/>
    <x v="2"/>
    <m/>
    <x v="31"/>
    <s v="Õppevahendid"/>
    <n v="55"/>
    <x v="0"/>
    <x v="0"/>
    <x v="0"/>
    <x v="0"/>
  </r>
  <r>
    <x v="8"/>
    <x v="66"/>
    <x v="66"/>
    <x v="25"/>
    <x v="8"/>
    <s v="Muuga-Laekvere kool"/>
    <s v="ühisüritused"/>
    <x v="2"/>
    <m/>
    <x v="31"/>
    <s v="Õppevahendid"/>
    <n v="55"/>
    <x v="0"/>
    <x v="0"/>
    <x v="0"/>
    <x v="0"/>
  </r>
  <r>
    <x v="8"/>
    <x v="66"/>
    <x v="66"/>
    <x v="25"/>
    <x v="8"/>
    <s v="Muuga-Laekvere kool"/>
    <s v="transport"/>
    <x v="113"/>
    <m/>
    <x v="31"/>
    <s v="Õppevahendid"/>
    <n v="55"/>
    <x v="0"/>
    <x v="0"/>
    <x v="0"/>
    <x v="0"/>
  </r>
  <r>
    <x v="8"/>
    <x v="66"/>
    <x v="66"/>
    <x v="25"/>
    <x v="8"/>
    <s v="Muuga-Laekvere kool"/>
    <s v="ujumine"/>
    <x v="146"/>
    <m/>
    <x v="31"/>
    <s v="Õppevahendid"/>
    <n v="55"/>
    <x v="0"/>
    <x v="0"/>
    <x v="0"/>
    <x v="0"/>
  </r>
  <r>
    <x v="8"/>
    <x v="66"/>
    <x v="66"/>
    <x v="25"/>
    <x v="8"/>
    <s v="Muuga-Laekvere kool"/>
    <s v="etendused, kontserdid"/>
    <x v="187"/>
    <m/>
    <x v="22"/>
    <s v="Kommunikatsiooni-, kultuuri- ja vaba aja sisustamise kulud"/>
    <n v="55"/>
    <x v="0"/>
    <x v="0"/>
    <x v="0"/>
    <x v="0"/>
  </r>
  <r>
    <x v="8"/>
    <x v="66"/>
    <x v="66"/>
    <x v="25"/>
    <x v="8"/>
    <s v="Muuga-Laekvere kool"/>
    <s v="osalustasud"/>
    <x v="32"/>
    <m/>
    <x v="22"/>
    <s v="Kommunikatsiooni-, kultuuri- ja vaba aja sisustamise kulud"/>
    <n v="55"/>
    <x v="0"/>
    <x v="0"/>
    <x v="0"/>
    <x v="0"/>
  </r>
  <r>
    <x v="8"/>
    <x v="66"/>
    <x v="66"/>
    <x v="25"/>
    <x v="8"/>
    <s v="Muuga-Laekvere kool"/>
    <s v="õpilaste üritused, autasud"/>
    <x v="263"/>
    <m/>
    <x v="22"/>
    <s v="Kommunikatsiooni-, kultuuri- ja vaba aja sisustamise kulud"/>
    <n v="55"/>
    <x v="0"/>
    <x v="0"/>
    <x v="0"/>
    <x v="0"/>
  </r>
  <r>
    <x v="8"/>
    <x v="66"/>
    <x v="66"/>
    <x v="25"/>
    <x v="8"/>
    <s v="Muuga-Laekvere kool"/>
    <s v="programmid"/>
    <x v="14"/>
    <m/>
    <x v="5"/>
    <s v="Info- ja kommunikatsioonitehnoliigised kulud"/>
    <n v="55"/>
    <x v="0"/>
    <x v="0"/>
    <x v="0"/>
    <x v="0"/>
  </r>
  <r>
    <x v="8"/>
    <x v="66"/>
    <x v="66"/>
    <x v="25"/>
    <x v="8"/>
    <s v="Muuga-Laekvere kool"/>
    <s v="soetamine"/>
    <x v="2"/>
    <m/>
    <x v="5"/>
    <s v="Info- ja kommunikatsioonitehnoliigised kulud"/>
    <n v="55"/>
    <x v="0"/>
    <x v="0"/>
    <x v="0"/>
    <x v="0"/>
  </r>
  <r>
    <x v="8"/>
    <x v="66"/>
    <x v="66"/>
    <x v="25"/>
    <x v="8"/>
    <s v="Muuga-Laekvere kool"/>
    <s v="andmeside"/>
    <x v="66"/>
    <m/>
    <x v="5"/>
    <s v="Info- ja kommunikatsioonitehnoliigised kulud"/>
    <n v="55"/>
    <x v="0"/>
    <x v="0"/>
    <x v="0"/>
    <x v="0"/>
  </r>
  <r>
    <x v="8"/>
    <x v="66"/>
    <x v="66"/>
    <x v="25"/>
    <x v="8"/>
    <s v="Muuga-Laekvere kool"/>
    <s v="remont ja hooldus"/>
    <x v="32"/>
    <m/>
    <x v="5"/>
    <s v="Info- ja kommunikatsioonitehnoliigised kulud"/>
    <n v="55"/>
    <x v="0"/>
    <x v="0"/>
    <x v="0"/>
    <x v="0"/>
  </r>
  <r>
    <x v="8"/>
    <x v="66"/>
    <x v="66"/>
    <x v="25"/>
    <x v="8"/>
    <s v="Muuga-Laekvere kool"/>
    <s v="rent"/>
    <x v="2"/>
    <m/>
    <x v="5"/>
    <s v="Info- ja kommunikatsioonitehnoliigised kulud"/>
    <n v="55"/>
    <x v="0"/>
    <x v="0"/>
    <x v="0"/>
    <x v="0"/>
  </r>
  <r>
    <x v="8"/>
    <x v="66"/>
    <x v="66"/>
    <x v="25"/>
    <x v="8"/>
    <s v="Muuga-Laekvere kool"/>
    <s v="Pedagoogilised koolitused"/>
    <x v="264"/>
    <s v="Ped."/>
    <x v="2"/>
    <s v="Koolituskulud"/>
    <n v="55"/>
    <x v="0"/>
    <x v="0"/>
    <x v="0"/>
    <x v="0"/>
  </r>
  <r>
    <x v="8"/>
    <x v="66"/>
    <x v="66"/>
    <x v="25"/>
    <x v="8"/>
    <s v="Muuga-Laekvere kool"/>
    <s v="Pedagoogilised õppevahendid"/>
    <x v="265"/>
    <s v="Ped."/>
    <x v="31"/>
    <s v="Õppevahendid"/>
    <n v="55"/>
    <x v="0"/>
    <x v="0"/>
    <x v="0"/>
    <x v="0"/>
  </r>
  <r>
    <x v="8"/>
    <x v="67"/>
    <x v="67"/>
    <x v="25"/>
    <x v="8"/>
    <s v="Ferdinand von Wrangelli nim Roela Lasteaed-Põhikool"/>
    <s v="telefonid ja internet"/>
    <x v="266"/>
    <s v="95 x 12"/>
    <x v="0"/>
    <s v="Administreerimiskulud"/>
    <n v="55"/>
    <x v="0"/>
    <x v="0"/>
    <x v="0"/>
    <x v="0"/>
  </r>
  <r>
    <x v="8"/>
    <x v="67"/>
    <x v="67"/>
    <x v="25"/>
    <x v="8"/>
    <s v="Ferdinand von Wrangelli nim Roela Lasteaed-Põhikool"/>
    <s v="postikulu, kuulutused"/>
    <x v="1"/>
    <m/>
    <x v="0"/>
    <s v="Administreerimiskulud"/>
    <n v="55"/>
    <x v="0"/>
    <x v="0"/>
    <x v="0"/>
    <x v="0"/>
  </r>
  <r>
    <x v="8"/>
    <x v="67"/>
    <x v="67"/>
    <x v="25"/>
    <x v="8"/>
    <s v="Ferdinand von Wrangelli nim Roela Lasteaed-Põhikool"/>
    <s v="tahmakassetid (värviline, õp.tuba, kantselei, direktor, LA)"/>
    <x v="132"/>
    <m/>
    <x v="0"/>
    <s v="Administreerimiskulud"/>
    <n v="55"/>
    <x v="0"/>
    <x v="0"/>
    <x v="0"/>
    <x v="0"/>
  </r>
  <r>
    <x v="8"/>
    <x v="67"/>
    <x v="67"/>
    <x v="25"/>
    <x v="8"/>
    <s v="Ferdinand von Wrangelli nim Roela Lasteaed-Põhikool"/>
    <s v="veebimajutus"/>
    <x v="267"/>
    <m/>
    <x v="0"/>
    <s v="Administreerimiskulud"/>
    <n v="55"/>
    <x v="0"/>
    <x v="0"/>
    <x v="0"/>
    <x v="0"/>
  </r>
  <r>
    <x v="8"/>
    <x v="67"/>
    <x v="67"/>
    <x v="25"/>
    <x v="8"/>
    <s v="Ferdinand von Wrangelli nim Roela Lasteaed-Põhikool"/>
    <s v="kantseleitarbed (kalendrid, pastapl., liim jne)"/>
    <x v="41"/>
    <m/>
    <x v="0"/>
    <s v="Administreerimiskulud"/>
    <n v="55"/>
    <x v="0"/>
    <x v="0"/>
    <x v="0"/>
    <x v="0"/>
  </r>
  <r>
    <x v="8"/>
    <x v="67"/>
    <x v="67"/>
    <x v="25"/>
    <x v="8"/>
    <s v="Ferdinand von Wrangelli nim Roela Lasteaed-Põhikool"/>
    <s v="printeripaber"/>
    <x v="240"/>
    <s v="20 karpi"/>
    <x v="0"/>
    <s v="Administreerimiskulud"/>
    <n v="55"/>
    <x v="0"/>
    <x v="0"/>
    <x v="0"/>
    <x v="0"/>
  </r>
  <r>
    <x v="8"/>
    <x v="67"/>
    <x v="67"/>
    <x v="25"/>
    <x v="8"/>
    <s v="Ferdinand von Wrangelli nim Roela Lasteaed-Põhikool"/>
    <s v="külalised"/>
    <x v="0"/>
    <m/>
    <x v="0"/>
    <s v="Administreerimiskulud"/>
    <n v="55"/>
    <x v="0"/>
    <x v="0"/>
    <x v="0"/>
    <x v="0"/>
  </r>
  <r>
    <x v="8"/>
    <x v="67"/>
    <x v="67"/>
    <x v="25"/>
    <x v="8"/>
    <s v="Ferdinand von Wrangelli nim Roela Lasteaed-Põhikool"/>
    <s v="koolituste plaan"/>
    <x v="268"/>
    <m/>
    <x v="2"/>
    <s v="Koolituskulud"/>
    <n v="55"/>
    <x v="0"/>
    <x v="0"/>
    <x v="0"/>
    <x v="0"/>
  </r>
  <r>
    <x v="8"/>
    <x v="67"/>
    <x v="67"/>
    <x v="25"/>
    <x v="8"/>
    <s v="Ferdinand von Wrangelli nim Roela Lasteaed-Põhikool"/>
    <s v="bussi liikluskindlustus"/>
    <x v="269"/>
    <m/>
    <x v="3"/>
    <s v="Sõidukite ülalpidamise kulud"/>
    <n v="55"/>
    <x v="0"/>
    <x v="0"/>
    <x v="0"/>
    <x v="0"/>
  </r>
  <r>
    <x v="8"/>
    <x v="67"/>
    <x v="67"/>
    <x v="25"/>
    <x v="8"/>
    <s v="Ferdinand von Wrangelli nim Roela Lasteaed-Põhikool"/>
    <s v="kütus"/>
    <x v="270"/>
    <m/>
    <x v="3"/>
    <s v="Sõidukite ülalpidamise kulud"/>
    <n v="55"/>
    <x v="0"/>
    <x v="0"/>
    <x v="0"/>
    <x v="0"/>
  </r>
  <r>
    <x v="8"/>
    <x v="67"/>
    <x v="67"/>
    <x v="25"/>
    <x v="8"/>
    <s v="Ferdinand von Wrangelli nim Roela Lasteaed-Põhikool"/>
    <s v="remont ja hooldus"/>
    <x v="14"/>
    <m/>
    <x v="3"/>
    <s v="Sõidukite ülalpidamise kulud"/>
    <n v="55"/>
    <x v="0"/>
    <x v="0"/>
    <x v="0"/>
    <x v="0"/>
  </r>
  <r>
    <x v="8"/>
    <x v="67"/>
    <x v="67"/>
    <x v="25"/>
    <x v="8"/>
    <s v="Ferdinand von Wrangelli nim Roela Lasteaed-Põhikool"/>
    <s v="isikliku sõduauto kasutus"/>
    <x v="271"/>
    <s v="V. Klemmer (10 x 64)"/>
    <x v="3"/>
    <s v="Sõidukite ülalpidamise kulud"/>
    <n v="55"/>
    <x v="0"/>
    <x v="0"/>
    <x v="0"/>
    <x v="0"/>
  </r>
  <r>
    <x v="8"/>
    <x v="67"/>
    <x v="67"/>
    <x v="25"/>
    <x v="8"/>
    <s v="Ferdinand von Wrangelli nim Roela Lasteaed-Põhikool"/>
    <s v="isikliku sõduauto kasutus"/>
    <x v="271"/>
    <s v="M. Mirt (10 x 64)"/>
    <x v="3"/>
    <s v="Sõidukite ülalpidamise kulud"/>
    <n v="55"/>
    <x v="0"/>
    <x v="0"/>
    <x v="0"/>
    <x v="0"/>
  </r>
  <r>
    <x v="8"/>
    <x v="67"/>
    <x v="67"/>
    <x v="25"/>
    <x v="8"/>
    <s v="Ferdinand von Wrangelli nim Roela Lasteaed-Põhikool"/>
    <s v="isikliku sõduauto kasutus"/>
    <x v="271"/>
    <s v="H. Supper (10 x 64)"/>
    <x v="3"/>
    <s v="Sõidukite ülalpidamise kulud"/>
    <n v="55"/>
    <x v="0"/>
    <x v="0"/>
    <x v="0"/>
    <x v="0"/>
  </r>
  <r>
    <x v="8"/>
    <x v="67"/>
    <x v="67"/>
    <x v="25"/>
    <x v="8"/>
    <s v="Ferdinand von Wrangelli nim Roela Lasteaed-Põhikool"/>
    <s v="isikliku sõduauto kasutus"/>
    <x v="271"/>
    <s v="U. Kruusimägi (10 x 64)"/>
    <x v="3"/>
    <s v="Sõidukite ülalpidamise kulud"/>
    <n v="55"/>
    <x v="0"/>
    <x v="0"/>
    <x v="0"/>
    <x v="0"/>
  </r>
  <r>
    <x v="8"/>
    <x v="67"/>
    <x v="67"/>
    <x v="25"/>
    <x v="8"/>
    <s v="Ferdinand von Wrangelli nim Roela Lasteaed-Põhikool"/>
    <s v="isikliku sõduauto kasutus"/>
    <x v="222"/>
    <s v="S. Kalme (11 x 64)"/>
    <x v="3"/>
    <s v="Sõidukite ülalpidamise kulud"/>
    <n v="55"/>
    <x v="0"/>
    <x v="0"/>
    <x v="0"/>
    <x v="0"/>
  </r>
  <r>
    <x v="8"/>
    <x v="67"/>
    <x v="67"/>
    <x v="25"/>
    <x v="8"/>
    <s v="Ferdinand von Wrangelli nim Roela Lasteaed-Põhikool"/>
    <s v="klaverihäälestamine"/>
    <x v="41"/>
    <s v=" klaverit"/>
    <x v="8"/>
    <s v="Inventari kulud, v.a infotehnoloogia ja kaitseotstarbelised kulud"/>
    <n v="55"/>
    <x v="0"/>
    <x v="0"/>
    <x v="0"/>
    <x v="0"/>
  </r>
  <r>
    <x v="8"/>
    <x v="67"/>
    <x v="67"/>
    <x v="25"/>
    <x v="8"/>
    <s v="Ferdinand von Wrangelli nim Roela Lasteaed-Põhikool"/>
    <s v="seadmete remondid"/>
    <x v="41"/>
    <m/>
    <x v="8"/>
    <s v="Inventari kulud, v.a infotehnoloogia ja kaitseotstarbelised kulud"/>
    <n v="55"/>
    <x v="0"/>
    <x v="0"/>
    <x v="0"/>
    <x v="0"/>
  </r>
  <r>
    <x v="8"/>
    <x v="67"/>
    <x v="67"/>
    <x v="25"/>
    <x v="8"/>
    <s v="Ferdinand von Wrangelli nim Roela Lasteaed-Põhikool"/>
    <s v="ekraan + projektor(1 tk)"/>
    <x v="14"/>
    <s v="aula"/>
    <x v="8"/>
    <s v="Inventari kulud, v.a infotehnoloogia ja kaitseotstarbelised kulud"/>
    <n v="55"/>
    <x v="0"/>
    <x v="0"/>
    <x v="0"/>
    <x v="0"/>
  </r>
  <r>
    <x v="8"/>
    <x v="67"/>
    <x v="67"/>
    <x v="25"/>
    <x v="8"/>
    <s v="Ferdinand von Wrangelli nim Roela Lasteaed-Põhikool"/>
    <s v="toiduained  "/>
    <x v="272"/>
    <m/>
    <x v="30"/>
    <s v="Toiduained ja toitlustusteenused"/>
    <n v="55"/>
    <x v="0"/>
    <x v="0"/>
    <x v="0"/>
    <x v="0"/>
  </r>
  <r>
    <x v="8"/>
    <x v="67"/>
    <x v="67"/>
    <x v="25"/>
    <x v="8"/>
    <s v="Ferdinand von Wrangelli nim Roela Lasteaed-Põhikool"/>
    <s v="töötervishoiuarst"/>
    <x v="120"/>
    <s v="3 töötajat"/>
    <x v="9"/>
    <s v="Meditsiinikulud ja hügieenitarbed"/>
    <n v="55"/>
    <x v="0"/>
    <x v="0"/>
    <x v="0"/>
    <x v="0"/>
  </r>
  <r>
    <x v="8"/>
    <x v="67"/>
    <x v="67"/>
    <x v="25"/>
    <x v="8"/>
    <s v="Ferdinand von Wrangelli nim Roela Lasteaed-Põhikool"/>
    <s v="plaastrid, sidemed jne"/>
    <x v="0"/>
    <m/>
    <x v="9"/>
    <s v="Meditsiinikulud ja hügieenitarbed"/>
    <n v="55"/>
    <x v="0"/>
    <x v="0"/>
    <x v="0"/>
    <x v="0"/>
  </r>
  <r>
    <x v="8"/>
    <x v="67"/>
    <x v="67"/>
    <x v="25"/>
    <x v="8"/>
    <s v="Ferdinand von Wrangelli nim Roela Lasteaed-Põhikool"/>
    <s v="õpikud"/>
    <x v="41"/>
    <m/>
    <x v="31"/>
    <s v="Õppevahendid"/>
    <n v="55"/>
    <x v="0"/>
    <x v="0"/>
    <x v="0"/>
    <x v="0"/>
  </r>
  <r>
    <x v="8"/>
    <x v="67"/>
    <x v="67"/>
    <x v="25"/>
    <x v="8"/>
    <s v="Ferdinand von Wrangelli nim Roela Lasteaed-Põhikool"/>
    <s v="töövihikud"/>
    <x v="273"/>
    <s v="tellimislehti pole veel"/>
    <x v="31"/>
    <s v="Õppevahendid"/>
    <n v="55"/>
    <x v="0"/>
    <x v="0"/>
    <x v="0"/>
    <x v="0"/>
  </r>
  <r>
    <x v="8"/>
    <x v="67"/>
    <x v="67"/>
    <x v="25"/>
    <x v="8"/>
    <s v="Ferdinand von Wrangelli nim Roela Lasteaed-Põhikool"/>
    <s v="õpetajate tööraamatud, CD"/>
    <x v="0"/>
    <m/>
    <x v="31"/>
    <s v="Õppevahendid"/>
    <n v="55"/>
    <x v="0"/>
    <x v="0"/>
    <x v="0"/>
    <x v="0"/>
  </r>
  <r>
    <x v="8"/>
    <x v="67"/>
    <x v="67"/>
    <x v="25"/>
    <x v="8"/>
    <s v="Ferdinand von Wrangelli nim Roela Lasteaed-Põhikool"/>
    <s v="Õppevahendid"/>
    <x v="2"/>
    <s v="värvil.paber,joonistuspaber,värvid,mänguasjad"/>
    <x v="31"/>
    <s v="Õppevahendid"/>
    <n v="55"/>
    <x v="0"/>
    <x v="0"/>
    <x v="0"/>
    <x v="0"/>
  </r>
  <r>
    <x v="8"/>
    <x v="67"/>
    <x v="67"/>
    <x v="25"/>
    <x v="8"/>
    <s v="Ferdinand von Wrangelli nim Roela Lasteaed-Põhikool"/>
    <s v="sporditarbed"/>
    <x v="2"/>
    <s v="pallid, kõrgushüppe postid, tõkked"/>
    <x v="31"/>
    <s v="Õppevahendid"/>
    <n v="55"/>
    <x v="0"/>
    <x v="0"/>
    <x v="0"/>
    <x v="0"/>
  </r>
  <r>
    <x v="8"/>
    <x v="67"/>
    <x v="67"/>
    <x v="25"/>
    <x v="8"/>
    <s v="Ferdinand von Wrangelli nim Roela Lasteaed-Põhikool"/>
    <s v="poiste tööõpetus"/>
    <x v="0"/>
    <s v="kruvid, naelad, vineerisaelehed,liivapaber"/>
    <x v="31"/>
    <s v="Õppevahendid"/>
    <n v="55"/>
    <x v="0"/>
    <x v="0"/>
    <x v="0"/>
    <x v="0"/>
  </r>
  <r>
    <x v="8"/>
    <x v="67"/>
    <x v="67"/>
    <x v="25"/>
    <x v="8"/>
    <s v="Ferdinand von Wrangelli nim Roela Lasteaed-Põhikool"/>
    <s v="kodundus"/>
    <x v="41"/>
    <s v="käsitöövahendid, toiduained"/>
    <x v="31"/>
    <s v="Õppevahendid"/>
    <n v="55"/>
    <x v="0"/>
    <x v="0"/>
    <x v="0"/>
    <x v="0"/>
  </r>
  <r>
    <x v="8"/>
    <x v="67"/>
    <x v="67"/>
    <x v="25"/>
    <x v="8"/>
    <s v="Ferdinand von Wrangelli nim Roela Lasteaed-Põhikool"/>
    <s v="õppeköök"/>
    <x v="41"/>
    <s v="köögi tarvikud (pannid, kausid, noad)"/>
    <x v="31"/>
    <s v="Õppevahendid"/>
    <n v="55"/>
    <x v="0"/>
    <x v="0"/>
    <x v="0"/>
    <x v="0"/>
  </r>
  <r>
    <x v="8"/>
    <x v="67"/>
    <x v="67"/>
    <x v="25"/>
    <x v="8"/>
    <s v="Ferdinand von Wrangelli nim Roela Lasteaed-Põhikool"/>
    <s v="ATV bensiin suusaradade hoolduseks ja korrashoid"/>
    <x v="120"/>
    <m/>
    <x v="31"/>
    <s v="Õppevahendid"/>
    <n v="55"/>
    <x v="0"/>
    <x v="0"/>
    <x v="0"/>
    <x v="0"/>
  </r>
  <r>
    <x v="8"/>
    <x v="67"/>
    <x v="67"/>
    <x v="25"/>
    <x v="8"/>
    <s v="Ferdinand von Wrangelli nim Roela Lasteaed-Põhikool"/>
    <s v="lõpetamine (kingitused lõpetajatele)"/>
    <x v="120"/>
    <s v="kool + LA"/>
    <x v="22"/>
    <s v="Kommunikatsiooni-, kultuuri- ja vaba aja sisustamise kulud"/>
    <n v="55"/>
    <x v="0"/>
    <x v="0"/>
    <x v="0"/>
    <x v="0"/>
  </r>
  <r>
    <x v="8"/>
    <x v="67"/>
    <x v="67"/>
    <x v="25"/>
    <x v="8"/>
    <s v="Ferdinand von Wrangelli nim Roela Lasteaed-Põhikool"/>
    <s v="kooli logoga meened kingitusteks"/>
    <x v="120"/>
    <m/>
    <x v="22"/>
    <s v="Kommunikatsiooni-, kultuuri- ja vaba aja sisustamise kulud"/>
    <n v="55"/>
    <x v="0"/>
    <x v="0"/>
    <x v="0"/>
    <x v="0"/>
  </r>
  <r>
    <x v="8"/>
    <x v="67"/>
    <x v="67"/>
    <x v="25"/>
    <x v="8"/>
    <s v="Ferdinand von Wrangelli nim Roela Lasteaed-Põhikool"/>
    <s v="õpilaste premeerimine saavutuste puhul"/>
    <x v="120"/>
    <m/>
    <x v="22"/>
    <s v="Kommunikatsiooni-, kultuuri- ja vaba aja sisustamise kulud"/>
    <n v="55"/>
    <x v="0"/>
    <x v="0"/>
    <x v="0"/>
    <x v="0"/>
  </r>
  <r>
    <x v="8"/>
    <x v="67"/>
    <x v="67"/>
    <x v="25"/>
    <x v="8"/>
    <s v="Ferdinand von Wrangelli nim Roela Lasteaed-Põhikool"/>
    <s v="lilled ürituste dekoreerimiseks"/>
    <x v="41"/>
    <m/>
    <x v="22"/>
    <s v="Kommunikatsiooni-, kultuuri- ja vaba aja sisustamise kulud"/>
    <n v="55"/>
    <x v="0"/>
    <x v="0"/>
    <x v="0"/>
    <x v="0"/>
  </r>
  <r>
    <x v="8"/>
    <x v="67"/>
    <x v="67"/>
    <x v="25"/>
    <x v="8"/>
    <s v="Ferdinand von Wrangelli nim Roela Lasteaed-Põhikool"/>
    <s v="spordipäevade auhinnad"/>
    <x v="0"/>
    <m/>
    <x v="22"/>
    <s v="Kommunikatsiooni-, kultuuri- ja vaba aja sisustamise kulud"/>
    <n v="55"/>
    <x v="0"/>
    <x v="0"/>
    <x v="0"/>
    <x v="0"/>
  </r>
  <r>
    <x v="8"/>
    <x v="67"/>
    <x v="67"/>
    <x v="25"/>
    <x v="8"/>
    <s v="Ferdinand von Wrangelli nim Roela Lasteaed-Põhikool"/>
    <s v="õppeekskursioon õpetajatele"/>
    <x v="66"/>
    <m/>
    <x v="22"/>
    <s v="Kommunikatsiooni-, kultuuri- ja vaba aja sisustamise kulud"/>
    <n v="55"/>
    <x v="0"/>
    <x v="0"/>
    <x v="0"/>
    <x v="0"/>
  </r>
  <r>
    <x v="8"/>
    <x v="67"/>
    <x v="67"/>
    <x v="25"/>
    <x v="8"/>
    <s v="Ferdinand von Wrangelli nim Roela Lasteaed-Põhikool"/>
    <s v="küte"/>
    <x v="274"/>
    <m/>
    <x v="4"/>
    <s v="Kinnistute, hoonete ja ruumide majandamiskulud"/>
    <n v="55"/>
    <x v="0"/>
    <x v="0"/>
    <x v="0"/>
    <x v="0"/>
  </r>
  <r>
    <x v="8"/>
    <x v="67"/>
    <x v="67"/>
    <x v="25"/>
    <x v="8"/>
    <s v="Ferdinand von Wrangelli nim Roela Lasteaed-Põhikool"/>
    <s v="elekter"/>
    <x v="134"/>
    <m/>
    <x v="4"/>
    <s v="Kinnistute, hoonete ja ruumide majandamiskulud"/>
    <n v="55"/>
    <x v="0"/>
    <x v="0"/>
    <x v="0"/>
    <x v="0"/>
  </r>
  <r>
    <x v="8"/>
    <x v="67"/>
    <x v="67"/>
    <x v="25"/>
    <x v="8"/>
    <s v="Ferdinand von Wrangelli nim Roela Lasteaed-Põhikool"/>
    <s v="vesi + kanalisatsioon + san tehnilised tööd"/>
    <x v="114"/>
    <m/>
    <x v="4"/>
    <s v="Kinnistute, hoonete ja ruumide majandamiskulud"/>
    <n v="55"/>
    <x v="0"/>
    <x v="0"/>
    <x v="0"/>
    <x v="0"/>
  </r>
  <r>
    <x v="8"/>
    <x v="67"/>
    <x v="67"/>
    <x v="25"/>
    <x v="8"/>
    <s v="Ferdinand von Wrangelli nim Roela Lasteaed-Põhikool"/>
    <s v="prügi"/>
    <x v="275"/>
    <s v="14 x 20,50 + 12 x16,80 (konteineri laenutus)"/>
    <x v="4"/>
    <s v="Kinnistute, hoonete ja ruumide majandamiskulud"/>
    <n v="55"/>
    <x v="0"/>
    <x v="0"/>
    <x v="0"/>
    <x v="0"/>
  </r>
  <r>
    <x v="8"/>
    <x v="67"/>
    <x v="67"/>
    <x v="25"/>
    <x v="8"/>
    <s v="Ferdinand von Wrangelli nim Roela Lasteaed-Põhikool"/>
    <s v="valvesignalisatsioon"/>
    <x v="195"/>
    <s v="4 x 153.40 + materjalid + G4S (200.-)"/>
    <x v="4"/>
    <s v="Kinnistute, hoonete ja ruumide majandamiskulud"/>
    <n v="55"/>
    <x v="0"/>
    <x v="0"/>
    <x v="0"/>
    <x v="0"/>
  </r>
  <r>
    <x v="8"/>
    <x v="67"/>
    <x v="67"/>
    <x v="25"/>
    <x v="8"/>
    <s v="Ferdinand von Wrangelli nim Roela Lasteaed-Põhikool"/>
    <s v="el.käiduleping"/>
    <x v="146"/>
    <s v="48 x 12 + materjalid"/>
    <x v="4"/>
    <s v="Kinnistute, hoonete ja ruumide majandamiskulud"/>
    <n v="55"/>
    <x v="0"/>
    <x v="0"/>
    <x v="0"/>
    <x v="0"/>
  </r>
  <r>
    <x v="8"/>
    <x v="67"/>
    <x v="67"/>
    <x v="25"/>
    <x v="8"/>
    <s v="Ferdinand von Wrangelli nim Roela Lasteaed-Põhikool"/>
    <s v="söökla ventilatsiooni puhastus"/>
    <x v="187"/>
    <s v="1 kord aastas kohustuslik"/>
    <x v="4"/>
    <s v="Kinnistute, hoonete ja ruumide majandamiskulud"/>
    <n v="55"/>
    <x v="0"/>
    <x v="0"/>
    <x v="0"/>
    <x v="0"/>
  </r>
  <r>
    <x v="8"/>
    <x v="67"/>
    <x v="67"/>
    <x v="25"/>
    <x v="8"/>
    <s v="Ferdinand von Wrangelli nim Roela Lasteaed-Põhikool"/>
    <s v="söökla uhteproovid, vee analüüsid"/>
    <x v="276"/>
    <s v="2 x 53"/>
    <x v="4"/>
    <s v="Kinnistute, hoonete ja ruumide majandamiskulud"/>
    <n v="55"/>
    <x v="0"/>
    <x v="0"/>
    <x v="0"/>
    <x v="0"/>
  </r>
  <r>
    <x v="8"/>
    <x v="67"/>
    <x v="67"/>
    <x v="25"/>
    <x v="8"/>
    <s v="Ferdinand von Wrangelli nim Roela Lasteaed-Põhikool"/>
    <s v="söökla kahjuritõrje"/>
    <x v="277"/>
    <s v="4 x 23.01"/>
    <x v="4"/>
    <s v="Kinnistute, hoonete ja ruumide majandamiskulud"/>
    <n v="55"/>
    <x v="0"/>
    <x v="0"/>
    <x v="0"/>
    <x v="0"/>
  </r>
  <r>
    <x v="8"/>
    <x v="67"/>
    <x v="67"/>
    <x v="25"/>
    <x v="8"/>
    <s v="Ferdinand von Wrangelli nim Roela Lasteaed-Põhikool"/>
    <s v="tulekustutite kontroll"/>
    <x v="278"/>
    <s v="23 x 4,90"/>
    <x v="4"/>
    <s v="Kinnistute, hoonete ja ruumide majandamiskulud"/>
    <n v="55"/>
    <x v="0"/>
    <x v="0"/>
    <x v="0"/>
    <x v="0"/>
  </r>
  <r>
    <x v="8"/>
    <x v="67"/>
    <x v="67"/>
    <x v="25"/>
    <x v="8"/>
    <s v="Ferdinand von Wrangelli nim Roela Lasteaed-Põhikool"/>
    <s v="korrashoiuvahendid"/>
    <x v="138"/>
    <s v="WC paber, puhastusvahendid jne"/>
    <x v="4"/>
    <s v="Kinnistute, hoonete ja ruumide majandamiskulud"/>
    <n v="55"/>
    <x v="0"/>
    <x v="0"/>
    <x v="0"/>
    <x v="0"/>
  </r>
  <r>
    <x v="8"/>
    <x v="67"/>
    <x v="67"/>
    <x v="25"/>
    <x v="8"/>
    <s v="Ferdinand von Wrangelli nim Roela Lasteaed-Põhikool"/>
    <s v="pisiremont (pahtel, värv jne)"/>
    <x v="98"/>
    <m/>
    <x v="4"/>
    <s v="Kinnistute, hoonete ja ruumide majandamiskulud"/>
    <n v="55"/>
    <x v="0"/>
    <x v="0"/>
    <x v="0"/>
    <x v="0"/>
  </r>
  <r>
    <x v="8"/>
    <x v="67"/>
    <x v="67"/>
    <x v="25"/>
    <x v="8"/>
    <s v="Ferdinand von Wrangelli nim Roela Lasteaed-Põhikool"/>
    <s v="e-kool"/>
    <x v="108"/>
    <s v="12 x 33,33"/>
    <x v="5"/>
    <s v="Info- ja kommunikatsioonitehnoliigised kulud"/>
    <n v="55"/>
    <x v="0"/>
    <x v="0"/>
    <x v="0"/>
    <x v="0"/>
  </r>
  <r>
    <x v="8"/>
    <x v="67"/>
    <x v="67"/>
    <x v="25"/>
    <x v="8"/>
    <s v="Ferdinand von Wrangelli nim Roela Lasteaed-Põhikool"/>
    <s v="arvutiprogrammid, hooldused"/>
    <x v="89"/>
    <s v="viiruse tõrje"/>
    <x v="5"/>
    <s v="Info- ja kommunikatsioonitehnoliigised kulud"/>
    <n v="55"/>
    <x v="0"/>
    <x v="0"/>
    <x v="0"/>
    <x v="0"/>
  </r>
  <r>
    <x v="8"/>
    <x v="67"/>
    <x v="67"/>
    <x v="25"/>
    <x v="8"/>
    <s v="Ferdinand von Wrangelli nim Roela Lasteaed-Põhikool"/>
    <s v="haridusserver"/>
    <x v="279"/>
    <m/>
    <x v="5"/>
    <s v="Info- ja kommunikatsioonitehnoliigised kulud"/>
    <n v="55"/>
    <x v="0"/>
    <x v="0"/>
    <x v="0"/>
    <x v="0"/>
  </r>
  <r>
    <x v="8"/>
    <x v="67"/>
    <x v="67"/>
    <x v="25"/>
    <x v="8"/>
    <s v="Ferdinand von Wrangelli nim Roela Lasteaed-Põhikool"/>
    <s v="sülearvuti (2 tk)"/>
    <x v="14"/>
    <s v="õpetajatele vanade asendamiseks"/>
    <x v="5"/>
    <s v="Info- ja kommunikatsioonitehnoliigised kulud"/>
    <n v="55"/>
    <x v="0"/>
    <x v="0"/>
    <x v="0"/>
    <x v="0"/>
  </r>
  <r>
    <x v="8"/>
    <x v="67"/>
    <x v="67"/>
    <x v="25"/>
    <x v="8"/>
    <s v="Ehitusnõunik"/>
    <s v="Roela kool-küttesüsteem ja fassaad"/>
    <x v="280"/>
    <m/>
    <x v="12"/>
    <s v="Rajatiste ja hoonete soetamine ja renoveerimine"/>
    <n v="15"/>
    <x v="3"/>
    <x v="3"/>
    <x v="3"/>
    <x v="2"/>
  </r>
  <r>
    <x v="8"/>
    <x v="67"/>
    <x v="67"/>
    <x v="25"/>
    <x v="8"/>
    <s v="Roela kool"/>
    <s v="Signalisatsioon ühendada (LA, r/k, kool)"/>
    <x v="281"/>
    <s v="LA ja r/k signal. puudub"/>
    <x v="4"/>
    <s v="Kinnistute, hoonete ja ruumide majandamiskulud"/>
    <n v="55"/>
    <x v="0"/>
    <x v="0"/>
    <x v="0"/>
    <x v="0"/>
  </r>
  <r>
    <x v="8"/>
    <x v="67"/>
    <x v="67"/>
    <x v="25"/>
    <x v="8"/>
    <s v="Roela kool"/>
    <s v="Kooli ja LA juubel (40/45)"/>
    <x v="282"/>
    <s v="Esinejad, toitlustamine, meened"/>
    <x v="22"/>
    <s v="Kommunikatsiooni-, kultuuri- ja vaba aja sisustamise kulud"/>
    <n v="55"/>
    <x v="0"/>
    <x v="0"/>
    <x v="0"/>
    <x v="0"/>
  </r>
  <r>
    <x v="8"/>
    <x v="67"/>
    <x v="67"/>
    <x v="25"/>
    <x v="8"/>
    <s v="Roela kool"/>
    <s v="1. klassi ujumise transport (19 x 40.-)"/>
    <x v="220"/>
    <s v="õppekavas ette nähtud"/>
    <x v="1"/>
    <s v="Mitmesugused majanduskulud"/>
    <n v="55"/>
    <x v="0"/>
    <x v="0"/>
    <x v="0"/>
    <x v="0"/>
  </r>
  <r>
    <x v="8"/>
    <x v="67"/>
    <x v="67"/>
    <x v="25"/>
    <x v="8"/>
    <s v="Ferdinand von Wrangelli nim Roela Lasteaed-Põhikool"/>
    <s v="Pedagoogilised koolitused"/>
    <x v="97"/>
    <s v="Ped."/>
    <x v="2"/>
    <s v="Koolituskulud"/>
    <n v="55"/>
    <x v="0"/>
    <x v="0"/>
    <x v="0"/>
    <x v="0"/>
  </r>
  <r>
    <x v="8"/>
    <x v="67"/>
    <x v="67"/>
    <x v="25"/>
    <x v="8"/>
    <s v="Ferdinand von Wrangelli nim Roela Lasteaed-Põhikool"/>
    <s v="Pedagoogilised õppevahendid"/>
    <x v="283"/>
    <s v="Ped."/>
    <x v="31"/>
    <s v="Õppevahendid"/>
    <n v="55"/>
    <x v="0"/>
    <x v="0"/>
    <x v="0"/>
    <x v="0"/>
  </r>
  <r>
    <x v="8"/>
    <x v="68"/>
    <x v="68"/>
    <x v="25"/>
    <x v="8"/>
    <s v="Ehitusnõunik"/>
    <s v="Tudu Kooli küttesüsteemi üleviimine pelletküttele"/>
    <x v="284"/>
    <m/>
    <x v="12"/>
    <s v="Rajatiste ja hoonete soetamine ja renoveerimine"/>
    <n v="15"/>
    <x v="3"/>
    <x v="3"/>
    <x v="3"/>
    <x v="2"/>
  </r>
  <r>
    <x v="8"/>
    <x v="68"/>
    <x v="68"/>
    <x v="25"/>
    <x v="8"/>
    <s v="Tudu Põhikool"/>
    <s v="telefonid ja internet"/>
    <x v="146"/>
    <s v="EMT 200; lauatel+neti=600"/>
    <x v="0"/>
    <s v="Administreerimiskulud"/>
    <n v="55"/>
    <x v="0"/>
    <x v="0"/>
    <x v="0"/>
    <x v="0"/>
  </r>
  <r>
    <x v="8"/>
    <x v="68"/>
    <x v="68"/>
    <x v="25"/>
    <x v="8"/>
    <s v="Tudu Põhikool"/>
    <s v="postikulu"/>
    <x v="1"/>
    <m/>
    <x v="0"/>
    <s v="Administreerimiskulud"/>
    <n v="55"/>
    <x v="0"/>
    <x v="0"/>
    <x v="0"/>
    <x v="0"/>
  </r>
  <r>
    <x v="8"/>
    <x v="68"/>
    <x v="68"/>
    <x v="25"/>
    <x v="8"/>
    <s v="Tudu Põhikool"/>
    <s v="printeritahm ja tint"/>
    <x v="41"/>
    <m/>
    <x v="0"/>
    <s v="Administreerimiskulud"/>
    <n v="55"/>
    <x v="0"/>
    <x v="0"/>
    <x v="0"/>
    <x v="0"/>
  </r>
  <r>
    <x v="8"/>
    <x v="68"/>
    <x v="68"/>
    <x v="25"/>
    <x v="8"/>
    <s v="Tudu Põhikool"/>
    <s v="kantseleitarbed"/>
    <x v="41"/>
    <s v="paber, kladed, pliiatsid jne"/>
    <x v="0"/>
    <s v="Administreerimiskulud"/>
    <n v="55"/>
    <x v="0"/>
    <x v="0"/>
    <x v="0"/>
    <x v="0"/>
  </r>
  <r>
    <x v="8"/>
    <x v="68"/>
    <x v="68"/>
    <x v="25"/>
    <x v="8"/>
    <s v="Tudu Põhikool"/>
    <s v="kuulutused"/>
    <x v="1"/>
    <m/>
    <x v="0"/>
    <s v="Administreerimiskulud"/>
    <n v="55"/>
    <x v="0"/>
    <x v="0"/>
    <x v="0"/>
    <x v="0"/>
  </r>
  <r>
    <x v="8"/>
    <x v="68"/>
    <x v="68"/>
    <x v="25"/>
    <x v="8"/>
    <s v="Tudu Põhikool"/>
    <s v="ajakirjanduse tellimine"/>
    <x v="285"/>
    <s v="ajalehed"/>
    <x v="0"/>
    <s v="Administreerimiskulud"/>
    <n v="55"/>
    <x v="0"/>
    <x v="0"/>
    <x v="0"/>
    <x v="0"/>
  </r>
  <r>
    <x v="8"/>
    <x v="68"/>
    <x v="68"/>
    <x v="25"/>
    <x v="8"/>
    <s v="Tudu Põhikool"/>
    <s v="erivajadustega laste õpet"/>
    <x v="41"/>
    <m/>
    <x v="2"/>
    <s v="Koolituskulud"/>
    <n v="55"/>
    <x v="0"/>
    <x v="0"/>
    <x v="0"/>
    <x v="0"/>
  </r>
  <r>
    <x v="8"/>
    <x v="68"/>
    <x v="68"/>
    <x v="25"/>
    <x v="8"/>
    <s v="Tudu Põhikool"/>
    <s v="robootika ainetundides"/>
    <x v="0"/>
    <m/>
    <x v="2"/>
    <s v="Koolituskulud"/>
    <n v="55"/>
    <x v="0"/>
    <x v="0"/>
    <x v="0"/>
    <x v="0"/>
  </r>
  <r>
    <x v="8"/>
    <x v="68"/>
    <x v="68"/>
    <x v="25"/>
    <x v="8"/>
    <s v="Tudu Põhikool"/>
    <s v="enesekehtestamine"/>
    <x v="32"/>
    <m/>
    <x v="2"/>
    <s v="Koolituskulud"/>
    <n v="55"/>
    <x v="0"/>
    <x v="0"/>
    <x v="0"/>
    <x v="0"/>
  </r>
  <r>
    <x v="8"/>
    <x v="68"/>
    <x v="68"/>
    <x v="25"/>
    <x v="8"/>
    <s v="Tudu Põhikool"/>
    <s v="kindlustus"/>
    <x v="286"/>
    <m/>
    <x v="3"/>
    <s v="Sõidukite ülalpidamise kulud"/>
    <n v="55"/>
    <x v="0"/>
    <x v="0"/>
    <x v="0"/>
    <x v="0"/>
  </r>
  <r>
    <x v="8"/>
    <x v="68"/>
    <x v="68"/>
    <x v="25"/>
    <x v="8"/>
    <s v="Tudu Põhikool"/>
    <s v="hooldus"/>
    <x v="2"/>
    <m/>
    <x v="3"/>
    <s v="Sõidukite ülalpidamise kulud"/>
    <n v="55"/>
    <x v="0"/>
    <x v="0"/>
    <x v="0"/>
    <x v="0"/>
  </r>
  <r>
    <x v="8"/>
    <x v="68"/>
    <x v="68"/>
    <x v="25"/>
    <x v="8"/>
    <s v="Tudu Põhikool"/>
    <s v="kütus"/>
    <x v="22"/>
    <m/>
    <x v="3"/>
    <s v="Sõidukite ülalpidamise kulud"/>
    <n v="55"/>
    <x v="0"/>
    <x v="0"/>
    <x v="0"/>
    <x v="0"/>
  </r>
  <r>
    <x v="8"/>
    <x v="68"/>
    <x v="68"/>
    <x v="25"/>
    <x v="8"/>
    <s v="Tudu Põhikool"/>
    <s v="autohüvitised"/>
    <x v="41"/>
    <m/>
    <x v="3"/>
    <s v="Sõidukite ülalpidamise kulud"/>
    <n v="55"/>
    <x v="0"/>
    <x v="0"/>
    <x v="0"/>
    <x v="0"/>
  </r>
  <r>
    <x v="8"/>
    <x v="68"/>
    <x v="68"/>
    <x v="25"/>
    <x v="8"/>
    <s v="Tudu Põhikool"/>
    <s v="liising"/>
    <x v="287"/>
    <m/>
    <x v="3"/>
    <s v="Sõidukite ülalpidamise kulud"/>
    <n v="55"/>
    <x v="0"/>
    <x v="0"/>
    <x v="0"/>
    <x v="0"/>
  </r>
  <r>
    <x v="8"/>
    <x v="68"/>
    <x v="68"/>
    <x v="25"/>
    <x v="8"/>
    <s v="Tudu Põhikool"/>
    <s v="rehvivahetus"/>
    <x v="0"/>
    <m/>
    <x v="3"/>
    <s v="Sõidukite ülalpidamise kulud"/>
    <n v="55"/>
    <x v="0"/>
    <x v="0"/>
    <x v="0"/>
    <x v="0"/>
  </r>
  <r>
    <x v="8"/>
    <x v="68"/>
    <x v="68"/>
    <x v="25"/>
    <x v="8"/>
    <s v="Tudu Põhikool"/>
    <s v="robootika õppevah"/>
    <x v="129"/>
    <m/>
    <x v="31"/>
    <s v="Õppevahendid"/>
    <n v="55"/>
    <x v="0"/>
    <x v="0"/>
    <x v="0"/>
    <x v="0"/>
  </r>
  <r>
    <x v="8"/>
    <x v="68"/>
    <x v="68"/>
    <x v="25"/>
    <x v="8"/>
    <s v="Tudu Põhikool"/>
    <s v="muruniiduk"/>
    <x v="89"/>
    <m/>
    <x v="8"/>
    <s v="Inventari kulud, v.a infotehnoloogia ja kaitseotstarbelised kulud"/>
    <n v="55"/>
    <x v="0"/>
    <x v="0"/>
    <x v="0"/>
    <x v="0"/>
  </r>
  <r>
    <x v="8"/>
    <x v="68"/>
    <x v="68"/>
    <x v="25"/>
    <x v="8"/>
    <s v="Tudu Põhikool"/>
    <s v="köögikombain"/>
    <x v="120"/>
    <m/>
    <x v="8"/>
    <s v="Inventari kulud, v.a infotehnoloogia ja kaitseotstarbelised kulud"/>
    <n v="55"/>
    <x v="0"/>
    <x v="0"/>
    <x v="0"/>
    <x v="0"/>
  </r>
  <r>
    <x v="8"/>
    <x v="68"/>
    <x v="68"/>
    <x v="25"/>
    <x v="8"/>
    <s v="Tudu Põhikool"/>
    <s v="tolmuimeja"/>
    <x v="0"/>
    <m/>
    <x v="8"/>
    <s v="Inventari kulud, v.a infotehnoloogia ja kaitseotstarbelised kulud"/>
    <n v="55"/>
    <x v="0"/>
    <x v="0"/>
    <x v="0"/>
    <x v="0"/>
  </r>
  <r>
    <x v="8"/>
    <x v="68"/>
    <x v="68"/>
    <x v="25"/>
    <x v="8"/>
    <s v="Tudu Põhikool"/>
    <s v="kool"/>
    <x v="288"/>
    <s v="Ped."/>
    <x v="30"/>
    <s v="Toiduained ja toitlustusteenused"/>
    <n v="55"/>
    <x v="0"/>
    <x v="0"/>
    <x v="0"/>
    <x v="0"/>
  </r>
  <r>
    <x v="8"/>
    <x v="68"/>
    <x v="68"/>
    <x v="25"/>
    <x v="8"/>
    <s v="Tudu Põhikool"/>
    <s v="tervisekontroll"/>
    <x v="1"/>
    <m/>
    <x v="9"/>
    <s v="Meditsiinikulud ja hügieenitarbed"/>
    <n v="55"/>
    <x v="0"/>
    <x v="0"/>
    <x v="0"/>
    <x v="0"/>
  </r>
  <r>
    <x v="8"/>
    <x v="68"/>
    <x v="68"/>
    <x v="25"/>
    <x v="8"/>
    <s v="Tudu Põhikool"/>
    <s v="esmaabi kapp"/>
    <x v="0"/>
    <m/>
    <x v="9"/>
    <s v="Meditsiinikulud ja hügieenitarbed"/>
    <n v="55"/>
    <x v="0"/>
    <x v="0"/>
    <x v="0"/>
    <x v="0"/>
  </r>
  <r>
    <x v="8"/>
    <x v="68"/>
    <x v="68"/>
    <x v="25"/>
    <x v="8"/>
    <s v="Tudu Põhikool"/>
    <s v="õpikud sh etunni mälupulgad õpet"/>
    <x v="132"/>
    <m/>
    <x v="31"/>
    <s v="Õppevahendid"/>
    <n v="55"/>
    <x v="0"/>
    <x v="0"/>
    <x v="0"/>
    <x v="0"/>
  </r>
  <r>
    <x v="8"/>
    <x v="68"/>
    <x v="68"/>
    <x v="25"/>
    <x v="8"/>
    <s v="Tudu Põhikool"/>
    <s v="töövihikud"/>
    <x v="108"/>
    <m/>
    <x v="31"/>
    <s v="Õppevahendid"/>
    <n v="55"/>
    <x v="0"/>
    <x v="0"/>
    <x v="0"/>
    <x v="0"/>
  </r>
  <r>
    <x v="8"/>
    <x v="68"/>
    <x v="68"/>
    <x v="25"/>
    <x v="8"/>
    <s v="Tudu Põhikool"/>
    <s v="tehnoloogia, kodund õppev"/>
    <x v="32"/>
    <m/>
    <x v="31"/>
    <s v="Õppevahendid"/>
    <n v="55"/>
    <x v="0"/>
    <x v="0"/>
    <x v="0"/>
    <x v="0"/>
  </r>
  <r>
    <x v="8"/>
    <x v="68"/>
    <x v="68"/>
    <x v="25"/>
    <x v="8"/>
    <s v="Tudu Põhikool"/>
    <s v="eriped teenus"/>
    <x v="65"/>
    <m/>
    <x v="31"/>
    <s v="Õppevahendid"/>
    <n v="55"/>
    <x v="0"/>
    <x v="0"/>
    <x v="0"/>
    <x v="0"/>
  </r>
  <r>
    <x v="8"/>
    <x v="68"/>
    <x v="68"/>
    <x v="25"/>
    <x v="8"/>
    <s v="Tudu Põhikool"/>
    <s v="paber, värvid jm"/>
    <x v="0"/>
    <m/>
    <x v="31"/>
    <s v="Õppevahendid"/>
    <n v="55"/>
    <x v="0"/>
    <x v="0"/>
    <x v="0"/>
    <x v="0"/>
  </r>
  <r>
    <x v="8"/>
    <x v="68"/>
    <x v="68"/>
    <x v="25"/>
    <x v="8"/>
    <s v="Tudu Põhikool"/>
    <s v="vastlapäev"/>
    <x v="289"/>
    <m/>
    <x v="22"/>
    <s v="Kommunikatsiooni-, kultuuri- ja vaba aja sisustamise kulud"/>
    <n v="55"/>
    <x v="0"/>
    <x v="0"/>
    <x v="0"/>
    <x v="0"/>
  </r>
  <r>
    <x v="8"/>
    <x v="68"/>
    <x v="68"/>
    <x v="25"/>
    <x v="8"/>
    <s v="Tudu Põhikool"/>
    <s v="EV aastpäev"/>
    <x v="279"/>
    <m/>
    <x v="22"/>
    <s v="Kommunikatsiooni-, kultuuri- ja vaba aja sisustamise kulud"/>
    <n v="55"/>
    <x v="0"/>
    <x v="0"/>
    <x v="0"/>
    <x v="0"/>
  </r>
  <r>
    <x v="8"/>
    <x v="68"/>
    <x v="68"/>
    <x v="25"/>
    <x v="8"/>
    <s v="Tudu Põhikool"/>
    <s v="etenduse dekor"/>
    <x v="290"/>
    <m/>
    <x v="22"/>
    <s v="Kommunikatsiooni-, kultuuri- ja vaba aja sisustamise kulud"/>
    <n v="55"/>
    <x v="0"/>
    <x v="0"/>
    <x v="0"/>
    <x v="0"/>
  </r>
  <r>
    <x v="8"/>
    <x v="68"/>
    <x v="68"/>
    <x v="25"/>
    <x v="8"/>
    <s v="Tudu Põhikool"/>
    <s v="jõuluvana"/>
    <x v="237"/>
    <m/>
    <x v="22"/>
    <s v="Kommunikatsiooni-, kultuuri- ja vaba aja sisustamise kulud"/>
    <n v="55"/>
    <x v="0"/>
    <x v="0"/>
    <x v="0"/>
    <x v="0"/>
  </r>
  <r>
    <x v="8"/>
    <x v="68"/>
    <x v="68"/>
    <x v="25"/>
    <x v="8"/>
    <s v="Tudu Põhikool"/>
    <s v="isadepäev, emadepäev"/>
    <x v="1"/>
    <m/>
    <x v="22"/>
    <s v="Kommunikatsiooni-, kultuuri- ja vaba aja sisustamise kulud"/>
    <n v="55"/>
    <x v="0"/>
    <x v="0"/>
    <x v="0"/>
    <x v="0"/>
  </r>
  <r>
    <x v="8"/>
    <x v="68"/>
    <x v="68"/>
    <x v="25"/>
    <x v="8"/>
    <s v="Tudu Põhikool"/>
    <s v="ekskursioonid, õppepäevad"/>
    <x v="2"/>
    <m/>
    <x v="22"/>
    <s v="Kommunikatsiooni-, kultuuri- ja vaba aja sisustamise kulud"/>
    <n v="55"/>
    <x v="0"/>
    <x v="0"/>
    <x v="0"/>
    <x v="0"/>
  </r>
  <r>
    <x v="8"/>
    <x v="68"/>
    <x v="68"/>
    <x v="25"/>
    <x v="8"/>
    <s v="Tudu Põhikool"/>
    <s v="õa lõpetamine"/>
    <x v="13"/>
    <m/>
    <x v="22"/>
    <s v="Kommunikatsiooni-, kultuuri- ja vaba aja sisustamise kulud"/>
    <n v="55"/>
    <x v="0"/>
    <x v="0"/>
    <x v="0"/>
    <x v="0"/>
  </r>
  <r>
    <x v="8"/>
    <x v="68"/>
    <x v="68"/>
    <x v="25"/>
    <x v="8"/>
    <s v="Tudu Põhikool"/>
    <s v="õpetajate päev "/>
    <x v="279"/>
    <m/>
    <x v="22"/>
    <s v="Kommunikatsiooni-, kultuuri- ja vaba aja sisustamise kulud"/>
    <n v="55"/>
    <x v="0"/>
    <x v="0"/>
    <x v="0"/>
    <x v="0"/>
  </r>
  <r>
    <x v="8"/>
    <x v="68"/>
    <x v="68"/>
    <x v="25"/>
    <x v="8"/>
    <s v="Tudu Põhikool"/>
    <s v="Tudu hariduselu 170 tähist"/>
    <x v="41"/>
    <m/>
    <x v="22"/>
    <s v="Kommunikatsiooni-, kultuuri- ja vaba aja sisustamise kulud"/>
    <n v="55"/>
    <x v="0"/>
    <x v="0"/>
    <x v="0"/>
    <x v="0"/>
  </r>
  <r>
    <x v="8"/>
    <x v="68"/>
    <x v="68"/>
    <x v="25"/>
    <x v="8"/>
    <s v="Tudu Põhikool"/>
    <s v="küte"/>
    <x v="134"/>
    <m/>
    <x v="4"/>
    <s v="Kinnistute, hoonete ja ruumide majandamiskulud"/>
    <n v="55"/>
    <x v="0"/>
    <x v="0"/>
    <x v="0"/>
    <x v="0"/>
  </r>
  <r>
    <x v="8"/>
    <x v="68"/>
    <x v="68"/>
    <x v="25"/>
    <x v="8"/>
    <s v="Tudu Põhikool"/>
    <s v="elekter"/>
    <x v="270"/>
    <m/>
    <x v="4"/>
    <s v="Kinnistute, hoonete ja ruumide majandamiskulud"/>
    <n v="55"/>
    <x v="0"/>
    <x v="0"/>
    <x v="0"/>
    <x v="0"/>
  </r>
  <r>
    <x v="8"/>
    <x v="68"/>
    <x v="68"/>
    <x v="25"/>
    <x v="8"/>
    <s v="Tudu Põhikool"/>
    <s v="korrashoiuvahendid"/>
    <x v="32"/>
    <m/>
    <x v="4"/>
    <s v="Kinnistute, hoonete ja ruumide majandamiskulud"/>
    <n v="55"/>
    <x v="0"/>
    <x v="0"/>
    <x v="0"/>
    <x v="0"/>
  </r>
  <r>
    <x v="8"/>
    <x v="68"/>
    <x v="68"/>
    <x v="25"/>
    <x v="8"/>
    <s v="Tudu Põhikool"/>
    <s v="aknapesuteenus"/>
    <x v="2"/>
    <m/>
    <x v="4"/>
    <s v="Kinnistute, hoonete ja ruumide majandamiskulud"/>
    <n v="55"/>
    <x v="0"/>
    <x v="0"/>
    <x v="0"/>
    <x v="0"/>
  </r>
  <r>
    <x v="8"/>
    <x v="68"/>
    <x v="68"/>
    <x v="25"/>
    <x v="8"/>
    <s v="Tudu Põhikool"/>
    <s v="prügi"/>
    <x v="108"/>
    <m/>
    <x v="4"/>
    <s v="Kinnistute, hoonete ja ruumide majandamiskulud"/>
    <n v="55"/>
    <x v="0"/>
    <x v="0"/>
    <x v="0"/>
    <x v="0"/>
  </r>
  <r>
    <x v="8"/>
    <x v="68"/>
    <x v="68"/>
    <x v="25"/>
    <x v="8"/>
    <s v="Tudu Põhikool"/>
    <s v="elektritööd"/>
    <x v="20"/>
    <m/>
    <x v="4"/>
    <s v="Kinnistute, hoonete ja ruumide majandamiskulud"/>
    <n v="55"/>
    <x v="0"/>
    <x v="0"/>
    <x v="0"/>
    <x v="0"/>
  </r>
  <r>
    <x v="8"/>
    <x v="68"/>
    <x v="68"/>
    <x v="25"/>
    <x v="8"/>
    <s v="Tudu Põhikool"/>
    <s v="korstnapühkimine"/>
    <x v="41"/>
    <m/>
    <x v="4"/>
    <s v="Kinnistute, hoonete ja ruumide majandamiskulud"/>
    <n v="55"/>
    <x v="0"/>
    <x v="0"/>
    <x v="0"/>
    <x v="0"/>
  </r>
  <r>
    <x v="8"/>
    <x v="68"/>
    <x v="68"/>
    <x v="25"/>
    <x v="8"/>
    <s v="Tudu Põhikool"/>
    <s v="vee analüüsid"/>
    <x v="191"/>
    <m/>
    <x v="4"/>
    <s v="Kinnistute, hoonete ja ruumide majandamiskulud"/>
    <n v="55"/>
    <x v="0"/>
    <x v="0"/>
    <x v="0"/>
    <x v="0"/>
  </r>
  <r>
    <x v="8"/>
    <x v="68"/>
    <x v="68"/>
    <x v="25"/>
    <x v="8"/>
    <s v="Tudu Põhikool"/>
    <s v="vesi, kanalisatsioon"/>
    <x v="97"/>
    <m/>
    <x v="4"/>
    <s v="Kinnistute, hoonete ja ruumide majandamiskulud"/>
    <n v="55"/>
    <x v="0"/>
    <x v="0"/>
    <x v="0"/>
    <x v="0"/>
  </r>
  <r>
    <x v="8"/>
    <x v="68"/>
    <x v="68"/>
    <x v="25"/>
    <x v="8"/>
    <s v="Tudu Põhikool"/>
    <s v="jooksev remont"/>
    <x v="20"/>
    <m/>
    <x v="4"/>
    <s v="Kinnistute, hoonete ja ruumide majandamiskulud"/>
    <n v="55"/>
    <x v="0"/>
    <x v="0"/>
    <x v="0"/>
    <x v="0"/>
  </r>
  <r>
    <x v="8"/>
    <x v="68"/>
    <x v="68"/>
    <x v="25"/>
    <x v="8"/>
    <s v="Tudu Põhikool"/>
    <s v="riigi sümboolika"/>
    <x v="120"/>
    <m/>
    <x v="4"/>
    <s v="Kinnistute, hoonete ja ruumide majandamiskulud"/>
    <n v="55"/>
    <x v="0"/>
    <x v="0"/>
    <x v="0"/>
    <x v="0"/>
  </r>
  <r>
    <x v="8"/>
    <x v="68"/>
    <x v="68"/>
    <x v="25"/>
    <x v="8"/>
    <s v="Tudu Põhikool"/>
    <s v="kooliaed(seemned, istikud)"/>
    <x v="120"/>
    <m/>
    <x v="4"/>
    <s v="Kinnistute, hoonete ja ruumide majandamiskulud"/>
    <n v="55"/>
    <x v="0"/>
    <x v="0"/>
    <x v="0"/>
    <x v="0"/>
  </r>
  <r>
    <x v="8"/>
    <x v="68"/>
    <x v="68"/>
    <x v="25"/>
    <x v="8"/>
    <s v="Tudu Põhikool"/>
    <s v="avariivalgustus"/>
    <x v="41"/>
    <m/>
    <x v="4"/>
    <s v="Kinnistute, hoonete ja ruumide majandamiskulud"/>
    <n v="55"/>
    <x v="0"/>
    <x v="0"/>
    <x v="0"/>
    <x v="0"/>
  </r>
  <r>
    <x v="8"/>
    <x v="68"/>
    <x v="68"/>
    <x v="25"/>
    <x v="8"/>
    <s v="Tudu Põhikool"/>
    <s v="ATS hooldus"/>
    <x v="2"/>
    <m/>
    <x v="4"/>
    <s v="Kinnistute, hoonete ja ruumide majandamiskulud"/>
    <n v="55"/>
    <x v="0"/>
    <x v="0"/>
    <x v="0"/>
    <x v="0"/>
  </r>
  <r>
    <x v="8"/>
    <x v="68"/>
    <x v="68"/>
    <x v="25"/>
    <x v="8"/>
    <s v="Tudu Põhikool"/>
    <s v="arvutiprogrammid, hooldused"/>
    <x v="38"/>
    <m/>
    <x v="5"/>
    <s v="Info- ja kommunikatsioonitehnoliigised kulud"/>
    <n v="55"/>
    <x v="0"/>
    <x v="0"/>
    <x v="0"/>
    <x v="0"/>
  </r>
  <r>
    <x v="8"/>
    <x v="68"/>
    <x v="68"/>
    <x v="25"/>
    <x v="8"/>
    <s v="Tudu Põhikool"/>
    <s v="IT-tarvikud"/>
    <x v="120"/>
    <m/>
    <x v="5"/>
    <s v="Info- ja kommunikatsioonitehnoliigised kulud"/>
    <n v="55"/>
    <x v="0"/>
    <x v="0"/>
    <x v="0"/>
    <x v="0"/>
  </r>
  <r>
    <x v="8"/>
    <x v="68"/>
    <x v="68"/>
    <x v="25"/>
    <x v="8"/>
    <s v="Tudu Põhikool"/>
    <s v="koopiamasin"/>
    <x v="0"/>
    <m/>
    <x v="5"/>
    <s v="Info- ja kommunikatsioonitehnoliigised kulud"/>
    <n v="55"/>
    <x v="0"/>
    <x v="0"/>
    <x v="0"/>
    <x v="0"/>
  </r>
  <r>
    <x v="8"/>
    <x v="68"/>
    <x v="68"/>
    <x v="25"/>
    <x v="8"/>
    <s v="Tudu Põhikool"/>
    <s v="Pedagoogilised koolitused"/>
    <x v="41"/>
    <s v="Ped."/>
    <x v="2"/>
    <s v="Koolituskulud"/>
    <n v="55"/>
    <x v="0"/>
    <x v="0"/>
    <x v="0"/>
    <x v="0"/>
  </r>
  <r>
    <x v="8"/>
    <x v="68"/>
    <x v="68"/>
    <x v="25"/>
    <x v="8"/>
    <s v="Tudu Põhikool"/>
    <s v="Pedagoogilised õppevahendid"/>
    <x v="291"/>
    <s v="Ped."/>
    <x v="31"/>
    <s v="Õppevahendid"/>
    <n v="55"/>
    <x v="0"/>
    <x v="0"/>
    <x v="0"/>
    <x v="0"/>
  </r>
  <r>
    <x v="8"/>
    <x v="69"/>
    <x v="69"/>
    <x v="25"/>
    <x v="8"/>
    <s v="Vinni-Pajusti Gümnaasium"/>
    <s v="telefonid ja internet "/>
    <x v="292"/>
    <s v="Telia Ettevõted, internet ja telefonid"/>
    <x v="0"/>
    <s v="Administreerimiskulud"/>
    <n v="55"/>
    <x v="0"/>
    <x v="0"/>
    <x v="0"/>
    <x v="0"/>
  </r>
  <r>
    <x v="8"/>
    <x v="69"/>
    <x v="69"/>
    <x v="25"/>
    <x v="8"/>
    <s v="Vinni-Pajusti Gümnaasium"/>
    <s v="mobiilside"/>
    <x v="103"/>
    <s v="Telia "/>
    <x v="0"/>
    <s v="Administreerimiskulud"/>
    <n v="55"/>
    <x v="0"/>
    <x v="0"/>
    <x v="0"/>
    <x v="0"/>
  </r>
  <r>
    <x v="8"/>
    <x v="69"/>
    <x v="69"/>
    <x v="25"/>
    <x v="8"/>
    <s v="Vinni-Pajusti Gümnaasium"/>
    <s v="postikulu"/>
    <x v="89"/>
    <s v="aruanded jne "/>
    <x v="0"/>
    <s v="Administreerimiskulud"/>
    <n v="55"/>
    <x v="0"/>
    <x v="0"/>
    <x v="0"/>
    <x v="0"/>
  </r>
  <r>
    <x v="8"/>
    <x v="69"/>
    <x v="69"/>
    <x v="25"/>
    <x v="8"/>
    <s v="Vinni-Pajusti Gümnaasium"/>
    <s v="ajalehed ja muu teabekirjandus"/>
    <x v="263"/>
    <s v="päevaleht,õpetajate leht,virumaa teataja"/>
    <x v="0"/>
    <s v="Administreerimiskulud"/>
    <n v="55"/>
    <x v="0"/>
    <x v="0"/>
    <x v="0"/>
    <x v="0"/>
  </r>
  <r>
    <x v="8"/>
    <x v="69"/>
    <x v="69"/>
    <x v="25"/>
    <x v="8"/>
    <s v="Vinni-Pajusti Gümnaasium"/>
    <s v="raamatukogutarvikud"/>
    <x v="110"/>
    <s v="Deltmar(rmtk programm), raamatukile"/>
    <x v="0"/>
    <s v="Administreerimiskulud"/>
    <n v="55"/>
    <x v="0"/>
    <x v="0"/>
    <x v="0"/>
    <x v="0"/>
  </r>
  <r>
    <x v="8"/>
    <x v="69"/>
    <x v="69"/>
    <x v="25"/>
    <x v="8"/>
    <s v="Vinni-Pajusti Gümnaasium"/>
    <s v="veebimajutus"/>
    <x v="293"/>
    <s v="andmesidevõrk 110 x 12"/>
    <x v="0"/>
    <s v="Administreerimiskulud"/>
    <n v="55"/>
    <x v="0"/>
    <x v="0"/>
    <x v="0"/>
    <x v="0"/>
  </r>
  <r>
    <x v="8"/>
    <x v="69"/>
    <x v="69"/>
    <x v="25"/>
    <x v="8"/>
    <s v="Vinni-Pajusti Gümnaasium"/>
    <s v="kuulutused"/>
    <x v="81"/>
    <s v="kaastunne, tööpakkumine"/>
    <x v="0"/>
    <s v="Administreerimiskulud"/>
    <n v="55"/>
    <x v="0"/>
    <x v="0"/>
    <x v="0"/>
    <x v="0"/>
  </r>
  <r>
    <x v="8"/>
    <x v="69"/>
    <x v="69"/>
    <x v="25"/>
    <x v="8"/>
    <s v="Vinni-Pajusti Gümnaasium"/>
    <s v="kantseleikaup"/>
    <x v="114"/>
    <s v="paljundused, paber, pliiats jne"/>
    <x v="0"/>
    <s v="Administreerimiskulud"/>
    <n v="55"/>
    <x v="0"/>
    <x v="0"/>
    <x v="0"/>
    <x v="0"/>
  </r>
  <r>
    <x v="8"/>
    <x v="69"/>
    <x v="69"/>
    <x v="25"/>
    <x v="8"/>
    <s v="Vinni-Pajusti Gümnaasium"/>
    <s v="eKool"/>
    <x v="18"/>
    <s v="eKool 80 x 12"/>
    <x v="0"/>
    <s v="Administreerimiskulud"/>
    <n v="55"/>
    <x v="0"/>
    <x v="0"/>
    <x v="0"/>
    <x v="0"/>
  </r>
  <r>
    <x v="8"/>
    <x v="69"/>
    <x v="69"/>
    <x v="25"/>
    <x v="8"/>
    <s v="Vinni-Pajusti Gümnaasium"/>
    <s v="televisioon"/>
    <x v="120"/>
    <s v="kaabel TV, Telia"/>
    <x v="0"/>
    <s v="Administreerimiskulud"/>
    <n v="55"/>
    <x v="0"/>
    <x v="0"/>
    <x v="0"/>
    <x v="0"/>
  </r>
  <r>
    <x v="8"/>
    <x v="69"/>
    <x v="69"/>
    <x v="25"/>
    <x v="8"/>
    <s v="Vinni-Pajusti Gümnaasium"/>
    <s v="koolituste plaan"/>
    <x v="146"/>
    <s v="lisatud eraldi dokumendina"/>
    <x v="2"/>
    <s v="Koolituskulud"/>
    <n v="55"/>
    <x v="0"/>
    <x v="0"/>
    <x v="0"/>
    <x v="0"/>
  </r>
  <r>
    <x v="8"/>
    <x v="69"/>
    <x v="69"/>
    <x v="25"/>
    <x v="8"/>
    <s v="Vinni-Pajusti Gümnaasium"/>
    <s v="Kütus ja isikliku sõiduauto komp."/>
    <x v="147"/>
    <s v="Kallaste 135,Albert 185,buss 200 x 12 kuud"/>
    <x v="3"/>
    <s v="Sõidukite ülalpidamise kulud"/>
    <n v="55"/>
    <x v="0"/>
    <x v="0"/>
    <x v="0"/>
    <x v="0"/>
  </r>
  <r>
    <x v="8"/>
    <x v="69"/>
    <x v="69"/>
    <x v="25"/>
    <x v="8"/>
    <s v="Vinni-Pajusti Gümnaasium"/>
    <s v="remont+liising"/>
    <x v="294"/>
    <s v="Kallaste 249,Albert 220,buss 420x12 kuud "/>
    <x v="3"/>
    <s v="Sõidukite ülalpidamise kulud"/>
    <n v="55"/>
    <x v="0"/>
    <x v="0"/>
    <x v="0"/>
    <x v="0"/>
  </r>
  <r>
    <x v="8"/>
    <x v="69"/>
    <x v="69"/>
    <x v="25"/>
    <x v="8"/>
    <s v="Vinni-Pajusti Gümnaasium"/>
    <s v="kindlustus"/>
    <x v="76"/>
    <s v="liiklus+kasko 3 autot"/>
    <x v="3"/>
    <s v="Sõidukite ülalpidamise kulud"/>
    <n v="55"/>
    <x v="0"/>
    <x v="0"/>
    <x v="0"/>
    <x v="0"/>
  </r>
  <r>
    <x v="8"/>
    <x v="69"/>
    <x v="69"/>
    <x v="25"/>
    <x v="8"/>
    <s v="Vinni-Pajusti Gümnaasium"/>
    <s v="autohüvitus(toiger,reimets)"/>
    <x v="245"/>
    <s v="(40+150)x10kuud"/>
    <x v="3"/>
    <s v="Sõidukite ülalpidamise kulud"/>
    <n v="55"/>
    <x v="0"/>
    <x v="0"/>
    <x v="0"/>
    <x v="0"/>
  </r>
  <r>
    <x v="8"/>
    <x v="69"/>
    <x v="69"/>
    <x v="25"/>
    <x v="8"/>
    <s v="Vinni-Pajusti Gümnaasium"/>
    <s v="tehn.hoole"/>
    <x v="195"/>
    <s v="3 autot"/>
    <x v="3"/>
    <s v="Sõidukite ülalpidamise kulud"/>
    <n v="55"/>
    <x v="0"/>
    <x v="0"/>
    <x v="0"/>
    <x v="0"/>
  </r>
  <r>
    <x v="8"/>
    <x v="69"/>
    <x v="69"/>
    <x v="25"/>
    <x v="8"/>
    <s v="Vinni-Pajusti Gümnaasium"/>
    <s v="remonditööd ja hooldus"/>
    <x v="22"/>
    <m/>
    <x v="8"/>
    <s v="Inventari kulud, v.a infotehnoloogia ja kaitseotstarbelised kulud"/>
    <n v="55"/>
    <x v="0"/>
    <x v="0"/>
    <x v="0"/>
    <x v="0"/>
  </r>
  <r>
    <x v="8"/>
    <x v="69"/>
    <x v="69"/>
    <x v="25"/>
    <x v="8"/>
    <s v="Vinni-Pajusti Gümnaasium"/>
    <s v="esmaabi vahendid,korral.med"/>
    <x v="10"/>
    <s v="med.tõend, vaktsineerimised,esmaabi vahendid"/>
    <x v="9"/>
    <s v="Meditsiinikulud ja hügieenitarbed"/>
    <n v="55"/>
    <x v="0"/>
    <x v="0"/>
    <x v="0"/>
    <x v="0"/>
  </r>
  <r>
    <x v="8"/>
    <x v="69"/>
    <x v="69"/>
    <x v="25"/>
    <x v="8"/>
    <s v="Vinni-Pajusti Gümnaasium"/>
    <s v="õpik,töövihik,mänguasjad jm"/>
    <x v="295"/>
    <m/>
    <x v="31"/>
    <s v="Õppevahendid"/>
    <n v="55"/>
    <x v="0"/>
    <x v="0"/>
    <x v="0"/>
    <x v="0"/>
  </r>
  <r>
    <x v="8"/>
    <x v="69"/>
    <x v="69"/>
    <x v="25"/>
    <x v="8"/>
    <s v="Vinni-Pajusti Gümnaasium"/>
    <s v="paljunduspaber"/>
    <x v="99"/>
    <m/>
    <x v="31"/>
    <s v="Õppevahendid"/>
    <n v="55"/>
    <x v="0"/>
    <x v="0"/>
    <x v="0"/>
    <x v="0"/>
  </r>
  <r>
    <x v="8"/>
    <x v="69"/>
    <x v="69"/>
    <x v="25"/>
    <x v="8"/>
    <s v="Vinni-Pajusti Gümnaasium"/>
    <s v="õppetransport"/>
    <x v="152"/>
    <m/>
    <x v="31"/>
    <s v="Õppevahendid"/>
    <n v="55"/>
    <x v="0"/>
    <x v="0"/>
    <x v="0"/>
    <x v="0"/>
  </r>
  <r>
    <x v="8"/>
    <x v="69"/>
    <x v="69"/>
    <x v="25"/>
    <x v="8"/>
    <s v="Vinni-Pajusti Gümnaasium"/>
    <s v="mälumängud,spordivõistlused jm"/>
    <x v="157"/>
    <m/>
    <x v="22"/>
    <s v="Kommunikatsiooni-, kultuuri- ja vaba aja sisustamise kulud"/>
    <n v="55"/>
    <x v="0"/>
    <x v="0"/>
    <x v="0"/>
    <x v="0"/>
  </r>
  <r>
    <x v="8"/>
    <x v="69"/>
    <x v="69"/>
    <x v="25"/>
    <x v="8"/>
    <s v="Vinni-Pajusti Gümnaasium"/>
    <s v="meened"/>
    <x v="40"/>
    <m/>
    <x v="22"/>
    <s v="Kommunikatsiooni-, kultuuri- ja vaba aja sisustamise kulud"/>
    <n v="55"/>
    <x v="0"/>
    <x v="0"/>
    <x v="0"/>
    <x v="0"/>
  </r>
  <r>
    <x v="8"/>
    <x v="69"/>
    <x v="69"/>
    <x v="25"/>
    <x v="8"/>
    <s v="Vinni-Pajusti Gümnaasium"/>
    <s v="küte"/>
    <x v="296"/>
    <s v="1200 MWH x ???"/>
    <x v="4"/>
    <s v="Kinnistute, hoonete ja ruumide majandamiskulud"/>
    <n v="55"/>
    <x v="0"/>
    <x v="0"/>
    <x v="0"/>
    <x v="0"/>
  </r>
  <r>
    <x v="8"/>
    <x v="69"/>
    <x v="69"/>
    <x v="25"/>
    <x v="8"/>
    <s v="Vinni-Pajusti Gümnaasium"/>
    <s v="elekter"/>
    <x v="297"/>
    <s v="24000 Kwa x"/>
    <x v="4"/>
    <s v="Kinnistute, hoonete ja ruumide majandamiskulud"/>
    <n v="55"/>
    <x v="0"/>
    <x v="0"/>
    <x v="0"/>
    <x v="0"/>
  </r>
  <r>
    <x v="8"/>
    <x v="69"/>
    <x v="69"/>
    <x v="25"/>
    <x v="8"/>
    <s v="Vinni-Pajusti Gümnaasium"/>
    <s v="vesi- ja kanalisatsioon"/>
    <x v="294"/>
    <s v="aasta tarbimine 2800m3 x ???"/>
    <x v="4"/>
    <s v="Kinnistute, hoonete ja ruumide majandamiskulud"/>
    <n v="55"/>
    <x v="0"/>
    <x v="0"/>
    <x v="0"/>
    <x v="0"/>
  </r>
  <r>
    <x v="8"/>
    <x v="69"/>
    <x v="69"/>
    <x v="25"/>
    <x v="8"/>
    <s v="Vinni-Pajusti Gümnaasium"/>
    <s v="korrashoiuvahendid"/>
    <x v="44"/>
    <s v="puh.vahendid, paber jne"/>
    <x v="4"/>
    <s v="Kinnistute, hoonete ja ruumide majandamiskulud"/>
    <n v="55"/>
    <x v="0"/>
    <x v="0"/>
    <x v="0"/>
    <x v="0"/>
  </r>
  <r>
    <x v="8"/>
    <x v="69"/>
    <x v="69"/>
    <x v="25"/>
    <x v="8"/>
    <s v="Vinni-Pajusti Gümnaasium"/>
    <s v="prügivedu"/>
    <x v="195"/>
    <m/>
    <x v="4"/>
    <s v="Kinnistute, hoonete ja ruumide majandamiskulud"/>
    <n v="55"/>
    <x v="0"/>
    <x v="0"/>
    <x v="0"/>
    <x v="0"/>
  </r>
  <r>
    <x v="8"/>
    <x v="69"/>
    <x v="69"/>
    <x v="25"/>
    <x v="8"/>
    <s v="Vinni-Pajusti Gümnaasium"/>
    <s v="Lindström vaipade pesu"/>
    <x v="298"/>
    <m/>
    <x v="4"/>
    <s v="Kinnistute, hoonete ja ruumide majandamiskulud"/>
    <n v="55"/>
    <x v="0"/>
    <x v="0"/>
    <x v="0"/>
    <x v="0"/>
  </r>
  <r>
    <x v="8"/>
    <x v="69"/>
    <x v="69"/>
    <x v="25"/>
    <x v="8"/>
    <s v="Vinni-Pajusti Gümnaasium"/>
    <s v="ATS hooldus"/>
    <x v="299"/>
    <s v="KEK Elekter"/>
    <x v="4"/>
    <s v="Kinnistute, hoonete ja ruumide majandamiskulud"/>
    <n v="55"/>
    <x v="0"/>
    <x v="0"/>
    <x v="0"/>
    <x v="0"/>
  </r>
  <r>
    <x v="8"/>
    <x v="69"/>
    <x v="69"/>
    <x v="25"/>
    <x v="8"/>
    <s v="Vinni-Pajusti Gümnaasium"/>
    <s v="KH ENERGIA KONSULT"/>
    <x v="300"/>
    <m/>
    <x v="4"/>
    <s v="Kinnistute, hoonete ja ruumide majandamiskulud"/>
    <n v="55"/>
    <x v="0"/>
    <x v="0"/>
    <x v="0"/>
    <x v="0"/>
  </r>
  <r>
    <x v="8"/>
    <x v="69"/>
    <x v="69"/>
    <x v="25"/>
    <x v="8"/>
    <s v="Vinni-Pajusti Gümnaasium"/>
    <s v="G4S AS"/>
    <x v="301"/>
    <m/>
    <x v="4"/>
    <s v="Kinnistute, hoonete ja ruumide majandamiskulud"/>
    <n v="55"/>
    <x v="0"/>
    <x v="0"/>
    <x v="0"/>
    <x v="0"/>
  </r>
  <r>
    <x v="8"/>
    <x v="69"/>
    <x v="69"/>
    <x v="25"/>
    <x v="8"/>
    <s v="Vinni-Pajusti Gümnaasium"/>
    <s v="USS Securiry"/>
    <x v="302"/>
    <m/>
    <x v="4"/>
    <s v="Kinnistute, hoonete ja ruumide majandamiskulud"/>
    <n v="55"/>
    <x v="0"/>
    <x v="0"/>
    <x v="0"/>
    <x v="0"/>
  </r>
  <r>
    <x v="8"/>
    <x v="69"/>
    <x v="69"/>
    <x v="25"/>
    <x v="8"/>
    <s v="Vinni-Pajusti Gümnaasium"/>
    <s v="Rentokil-kahjuritõrjeteenus"/>
    <x v="34"/>
    <m/>
    <x v="4"/>
    <s v="Kinnistute, hoonete ja ruumide majandamiskulud"/>
    <n v="55"/>
    <x v="0"/>
    <x v="0"/>
    <x v="0"/>
    <x v="0"/>
  </r>
  <r>
    <x v="8"/>
    <x v="69"/>
    <x v="69"/>
    <x v="25"/>
    <x v="8"/>
    <s v="Vinni-Pajusti Gümnaasium"/>
    <s v="ventilatsiooni hooldus"/>
    <x v="28"/>
    <s v="hooldus+filtrid"/>
    <x v="4"/>
    <s v="Kinnistute, hoonete ja ruumide majandamiskulud"/>
    <n v="55"/>
    <x v="0"/>
    <x v="0"/>
    <x v="0"/>
    <x v="0"/>
  </r>
  <r>
    <x v="8"/>
    <x v="69"/>
    <x v="69"/>
    <x v="25"/>
    <x v="8"/>
    <s v="Vinni-Pajusti Gümnaasium"/>
    <s v="remont"/>
    <x v="44"/>
    <s v="pisiremont(san.remont)"/>
    <x v="4"/>
    <s v="Kinnistute, hoonete ja ruumide majandamiskulud"/>
    <n v="55"/>
    <x v="0"/>
    <x v="0"/>
    <x v="0"/>
    <x v="0"/>
  </r>
  <r>
    <x v="8"/>
    <x v="69"/>
    <x v="69"/>
    <x v="25"/>
    <x v="8"/>
    <s v="Vinni-Pajusti Gümnaasium"/>
    <s v="arvutite värskendus(mälu,kõvaketad"/>
    <x v="7"/>
    <m/>
    <x v="5"/>
    <s v="Info- ja kommunikatsioonitehnoliigised kulud"/>
    <n v="55"/>
    <x v="0"/>
    <x v="0"/>
    <x v="0"/>
    <x v="0"/>
  </r>
  <r>
    <x v="8"/>
    <x v="69"/>
    <x v="69"/>
    <x v="25"/>
    <x v="8"/>
    <s v="Vinni-Pajusti Gümnaasium"/>
    <s v="tarkvara litsensid"/>
    <x v="28"/>
    <m/>
    <x v="5"/>
    <s v="Info- ja kommunikatsioonitehnoliigised kulud"/>
    <n v="55"/>
    <x v="0"/>
    <x v="0"/>
    <x v="0"/>
    <x v="0"/>
  </r>
  <r>
    <x v="8"/>
    <x v="69"/>
    <x v="69"/>
    <x v="25"/>
    <x v="8"/>
    <s v="Vinni-Pajusti Gümnaasium"/>
    <s v="Vinni-Pajusti Gümnaasiumi küttesüsteemi rekonstrueerimine"/>
    <x v="303"/>
    <m/>
    <x v="12"/>
    <s v="Rajatiste ja hoonete soetamine ja renoveerimine"/>
    <n v="15"/>
    <x v="3"/>
    <x v="3"/>
    <x v="3"/>
    <x v="2"/>
  </r>
  <r>
    <x v="8"/>
    <x v="69"/>
    <x v="69"/>
    <x v="25"/>
    <x v="8"/>
    <s v="Vinni-Pajusti Gümnaasium"/>
    <s v="Toiduained"/>
    <x v="304"/>
    <s v="Ped."/>
    <x v="30"/>
    <s v="Toiduained ja toitlustusteenused"/>
    <n v="55"/>
    <x v="0"/>
    <x v="0"/>
    <x v="0"/>
    <x v="0"/>
  </r>
  <r>
    <x v="8"/>
    <x v="69"/>
    <x v="69"/>
    <x v="25"/>
    <x v="8"/>
    <s v="Vinni-Pajusti Gümnaasium"/>
    <s v="Spordiinventaar"/>
    <x v="44"/>
    <s v="Matid on vanad ja vajavad vahetamist ning uuendamist,"/>
    <x v="8"/>
    <s v="Inventari kulud, v.a infotehnoloogia ja kaitseotstarbelised kulud"/>
    <n v="55"/>
    <x v="0"/>
    <x v="0"/>
    <x v="0"/>
    <x v="0"/>
  </r>
  <r>
    <x v="8"/>
    <x v="69"/>
    <x v="69"/>
    <x v="25"/>
    <x v="8"/>
    <s v="Vinni-Pajusti Gümnaasium"/>
    <s v="Projektorid"/>
    <x v="28"/>
    <s v="5 projektorit vajavad vahetamist"/>
    <x v="8"/>
    <s v="Inventari kulud, v.a infotehnoloogia ja kaitseotstarbelised kulud"/>
    <n v="55"/>
    <x v="0"/>
    <x v="0"/>
    <x v="0"/>
    <x v="0"/>
  </r>
  <r>
    <x v="8"/>
    <x v="69"/>
    <x v="69"/>
    <x v="25"/>
    <x v="8"/>
    <s v="Vinni-Pajusti Gümnaasium"/>
    <s v="Võrguseadmed"/>
    <x v="14"/>
    <s v="Sisevõrgu korrastamine ja uuendamine"/>
    <x v="5"/>
    <s v="Info- ja kommunikatsioonitehnoliigised kulud"/>
    <n v="55"/>
    <x v="0"/>
    <x v="0"/>
    <x v="0"/>
    <x v="0"/>
  </r>
  <r>
    <x v="8"/>
    <x v="69"/>
    <x v="69"/>
    <x v="25"/>
    <x v="8"/>
    <s v="Vinni-Pajusti Gümnaasium"/>
    <s v="Klassimööbel"/>
    <x v="305"/>
    <s v="Õppevahendite hoiustamise kapid (6 klassi)"/>
    <x v="8"/>
    <s v="Inventari kulud, v.a infotehnoloogia ja kaitseotstarbelised kulud"/>
    <n v="55"/>
    <x v="0"/>
    <x v="0"/>
    <x v="0"/>
    <x v="0"/>
  </r>
  <r>
    <x v="8"/>
    <x v="69"/>
    <x v="69"/>
    <x v="25"/>
    <x v="8"/>
    <s v="Vinni-Pajusti Gümnaasium"/>
    <s v="Arvutipargi uuendus"/>
    <x v="28"/>
    <s v="Vananevad arvutid vajavad uuendust ja vahetamist "/>
    <x v="5"/>
    <s v="Info- ja kommunikatsioonitehnoliigised kulud"/>
    <n v="55"/>
    <x v="0"/>
    <x v="0"/>
    <x v="0"/>
    <x v="0"/>
  </r>
  <r>
    <x v="8"/>
    <x v="69"/>
    <x v="69"/>
    <x v="25"/>
    <x v="8"/>
    <s v="Vinni-Pajusti Gümnaasium"/>
    <s v="Valveseadmed"/>
    <x v="14"/>
    <s v="Valveseadmete korrastamine ja uuendamine"/>
    <x v="4"/>
    <s v="Kinnistute, hoonete ja ruumide majandamiskulud"/>
    <n v="55"/>
    <x v="0"/>
    <x v="0"/>
    <x v="0"/>
    <x v="0"/>
  </r>
  <r>
    <x v="8"/>
    <x v="69"/>
    <x v="69"/>
    <x v="25"/>
    <x v="8"/>
    <s v="Vinni-Pajusti Gümnaasium"/>
    <s v="Infotabloo"/>
    <x v="125"/>
    <s v="Info edastamine õpilastele, õpetajatele ja vanematele"/>
    <x v="8"/>
    <s v="Inventari kulud, v.a infotehnoloogia ja kaitseotstarbelised kulud"/>
    <n v="55"/>
    <x v="0"/>
    <x v="0"/>
    <x v="0"/>
    <x v="0"/>
  </r>
  <r>
    <x v="8"/>
    <x v="69"/>
    <x v="69"/>
    <x v="25"/>
    <x v="8"/>
    <s v="Vinni-Pajusti Gümnaasium"/>
    <s v="Pedagoogilised koolitused"/>
    <x v="306"/>
    <s v="Ped."/>
    <x v="2"/>
    <s v="Koolituskulud"/>
    <n v="55"/>
    <x v="0"/>
    <x v="0"/>
    <x v="0"/>
    <x v="0"/>
  </r>
  <r>
    <x v="8"/>
    <x v="69"/>
    <x v="69"/>
    <x v="25"/>
    <x v="8"/>
    <s v="Vinni-Pajusti Gümnaasium"/>
    <s v="Pedagoogilised õppevahendid"/>
    <x v="307"/>
    <s v="Ped."/>
    <x v="31"/>
    <s v="Õppevahendid"/>
    <n v="55"/>
    <x v="0"/>
    <x v="0"/>
    <x v="0"/>
    <x v="0"/>
  </r>
  <r>
    <x v="8"/>
    <x v="70"/>
    <x v="64"/>
    <x v="25"/>
    <x v="8"/>
    <s v="Haridusnõunik"/>
    <s v="Kohatasud "/>
    <x v="308"/>
    <s v="põhikool"/>
    <x v="31"/>
    <s v="Õppevahendid"/>
    <n v="55"/>
    <x v="0"/>
    <x v="0"/>
    <x v="0"/>
    <x v="0"/>
  </r>
  <r>
    <x v="8"/>
    <x v="70"/>
    <x v="64"/>
    <x v="25"/>
    <x v="8"/>
    <s v="Haridusnõunik"/>
    <s v="Tulud haridustegevusest kohatasud"/>
    <x v="309"/>
    <s v="s.h põhikool"/>
    <x v="32"/>
    <s v="Õpilaskoht"/>
    <n v="32"/>
    <x v="9"/>
    <x v="11"/>
    <x v="14"/>
    <x v="1"/>
  </r>
  <r>
    <x v="8"/>
    <x v="70"/>
    <x v="64"/>
    <x v="25"/>
    <x v="8"/>
    <s v="Haridusnõunik"/>
    <s v="Tulud haridustegevusest kohatasud"/>
    <x v="310"/>
    <s v="s.h õpilaskodu"/>
    <x v="32"/>
    <s v="Õpilaskoht"/>
    <n v="32"/>
    <x v="9"/>
    <x v="11"/>
    <x v="14"/>
    <x v="1"/>
  </r>
  <r>
    <x v="8"/>
    <x v="71"/>
    <x v="70"/>
    <x v="25"/>
    <x v="8"/>
    <s v="Põlula kool"/>
    <s v="kontoritarbed"/>
    <x v="2"/>
    <m/>
    <x v="0"/>
    <s v="Administreerimiskulud"/>
    <n v="55"/>
    <x v="0"/>
    <x v="0"/>
    <x v="0"/>
    <x v="0"/>
  </r>
  <r>
    <x v="8"/>
    <x v="71"/>
    <x v="70"/>
    <x v="25"/>
    <x v="8"/>
    <s v="Põlula kool"/>
    <s v="koolitused"/>
    <x v="106"/>
    <m/>
    <x v="2"/>
    <s v="Koolituskulud"/>
    <n v="55"/>
    <x v="0"/>
    <x v="0"/>
    <x v="0"/>
    <x v="0"/>
  </r>
  <r>
    <x v="8"/>
    <x v="71"/>
    <x v="70"/>
    <x v="25"/>
    <x v="8"/>
    <s v="Põlula kool"/>
    <s v="Pedagoogilised koolitused"/>
    <x v="41"/>
    <s v="Ped."/>
    <x v="2"/>
    <s v="Koolituskulud"/>
    <n v="55"/>
    <x v="0"/>
    <x v="0"/>
    <x v="0"/>
    <x v="0"/>
  </r>
  <r>
    <x v="8"/>
    <x v="71"/>
    <x v="70"/>
    <x v="25"/>
    <x v="8"/>
    <s v="Põlula kool"/>
    <s v="isikliku auto kasutus"/>
    <x v="311"/>
    <m/>
    <x v="3"/>
    <s v="Sõidukite ülalpidamise kulud"/>
    <n v="55"/>
    <x v="0"/>
    <x v="0"/>
    <x v="0"/>
    <x v="0"/>
  </r>
  <r>
    <x v="8"/>
    <x v="71"/>
    <x v="70"/>
    <x v="25"/>
    <x v="8"/>
    <s v="Põlula kool"/>
    <s v="autopargi hooldus"/>
    <x v="0"/>
    <m/>
    <x v="3"/>
    <s v="Sõidukite ülalpidamise kulud"/>
    <n v="55"/>
    <x v="0"/>
    <x v="0"/>
    <x v="0"/>
    <x v="0"/>
  </r>
  <r>
    <x v="8"/>
    <x v="71"/>
    <x v="70"/>
    <x v="25"/>
    <x v="8"/>
    <s v="Põlula kool"/>
    <s v="muud ettenägematud kulud 200 eurot"/>
    <x v="41"/>
    <m/>
    <x v="8"/>
    <s v="Inventari kulud, v.a infotehnoloogia ja kaitseotstarbelised kulud"/>
    <n v="55"/>
    <x v="0"/>
    <x v="0"/>
    <x v="0"/>
    <x v="0"/>
  </r>
  <r>
    <x v="8"/>
    <x v="71"/>
    <x v="70"/>
    <x v="25"/>
    <x v="8"/>
    <s v="Põlula kool"/>
    <s v="nõudepesumasina hooldus 200 eurot"/>
    <x v="41"/>
    <m/>
    <x v="8"/>
    <s v="Inventari kulud, v.a infotehnoloogia ja kaitseotstarbelised kulud"/>
    <n v="55"/>
    <x v="0"/>
    <x v="0"/>
    <x v="0"/>
    <x v="0"/>
  </r>
  <r>
    <x v="8"/>
    <x v="71"/>
    <x v="70"/>
    <x v="25"/>
    <x v="8"/>
    <s v="Põlula kool"/>
    <s v="aiakäru soetus tk.1 100 eurot"/>
    <x v="0"/>
    <m/>
    <x v="8"/>
    <s v="Inventari kulud, v.a infotehnoloogia ja kaitseotstarbelised kulud"/>
    <n v="55"/>
    <x v="0"/>
    <x v="0"/>
    <x v="0"/>
    <x v="0"/>
  </r>
  <r>
    <x v="8"/>
    <x v="71"/>
    <x v="70"/>
    <x v="25"/>
    <x v="8"/>
    <s v="Põlula kool"/>
    <s v="murutrimmeri remont 100 eurot"/>
    <x v="0"/>
    <m/>
    <x v="8"/>
    <s v="Inventari kulud, v.a infotehnoloogia ja kaitseotstarbelised kulud"/>
    <n v="55"/>
    <x v="0"/>
    <x v="0"/>
    <x v="0"/>
    <x v="0"/>
  </r>
  <r>
    <x v="8"/>
    <x v="71"/>
    <x v="70"/>
    <x v="25"/>
    <x v="8"/>
    <s v="Põlula kool"/>
    <s v="Toiduained"/>
    <x v="312"/>
    <m/>
    <x v="30"/>
    <s v="Toiduained ja toitlustusteenused"/>
    <n v="55"/>
    <x v="0"/>
    <x v="0"/>
    <x v="0"/>
    <x v="0"/>
  </r>
  <r>
    <x v="8"/>
    <x v="71"/>
    <x v="70"/>
    <x v="25"/>
    <x v="8"/>
    <s v="Põlula kool"/>
    <s v="Toiduained"/>
    <x v="313"/>
    <s v="Ped."/>
    <x v="30"/>
    <s v="Toiduained ja toitlustusteenused"/>
    <n v="55"/>
    <x v="0"/>
    <x v="0"/>
    <x v="0"/>
    <x v="0"/>
  </r>
  <r>
    <x v="8"/>
    <x v="71"/>
    <x v="70"/>
    <x v="25"/>
    <x v="8"/>
    <s v="Põlula kool"/>
    <s v="esmaabivahendid 100 eurot"/>
    <x v="0"/>
    <m/>
    <x v="9"/>
    <s v="Meditsiinikulud ja hügieenitarbed"/>
    <n v="55"/>
    <x v="0"/>
    <x v="0"/>
    <x v="0"/>
    <x v="0"/>
  </r>
  <r>
    <x v="8"/>
    <x v="71"/>
    <x v="70"/>
    <x v="25"/>
    <x v="8"/>
    <s v="Põlula kool"/>
    <s v="muud õppevahendid 300 eurot"/>
    <x v="32"/>
    <m/>
    <x v="31"/>
    <s v="Õppevahendid"/>
    <n v="55"/>
    <x v="0"/>
    <x v="0"/>
    <x v="0"/>
    <x v="0"/>
  </r>
  <r>
    <x v="8"/>
    <x v="71"/>
    <x v="70"/>
    <x v="25"/>
    <x v="8"/>
    <s v="Põlula kool"/>
    <s v="värvitoonerid tk.3 300 eurot"/>
    <x v="32"/>
    <m/>
    <x v="0"/>
    <s v="Administreerimiskulud"/>
    <n v="55"/>
    <x v="0"/>
    <x v="0"/>
    <x v="0"/>
    <x v="0"/>
  </r>
  <r>
    <x v="8"/>
    <x v="71"/>
    <x v="70"/>
    <x v="25"/>
    <x v="8"/>
    <s v="Põlula kool"/>
    <s v="tavatoonerid tk. 5  400 eurot"/>
    <x v="108"/>
    <m/>
    <x v="0"/>
    <s v="Administreerimiskulud"/>
    <n v="55"/>
    <x v="0"/>
    <x v="0"/>
    <x v="0"/>
    <x v="0"/>
  </r>
  <r>
    <x v="8"/>
    <x v="71"/>
    <x v="70"/>
    <x v="25"/>
    <x v="8"/>
    <s v="Põlula kool"/>
    <s v="tööõpetuse abivahendid- 500 eurot"/>
    <x v="2"/>
    <m/>
    <x v="31"/>
    <s v="Õppevahendid"/>
    <n v="55"/>
    <x v="0"/>
    <x v="0"/>
    <x v="0"/>
    <x v="0"/>
  </r>
  <r>
    <x v="8"/>
    <x v="71"/>
    <x v="70"/>
    <x v="25"/>
    <x v="8"/>
    <s v="Põlula kool"/>
    <s v="õpikud, töövihikud  300 eurot"/>
    <x v="32"/>
    <m/>
    <x v="31"/>
    <s v="Õppevahendid"/>
    <n v="55"/>
    <x v="0"/>
    <x v="0"/>
    <x v="0"/>
    <x v="0"/>
  </r>
  <r>
    <x v="8"/>
    <x v="71"/>
    <x v="70"/>
    <x v="25"/>
    <x v="8"/>
    <s v="Põlula kool"/>
    <s v="koopiapaber 100 eurot, värviline paber 100 eurot, kunstitarbed 600 eurot"/>
    <x v="146"/>
    <m/>
    <x v="31"/>
    <s v="Õppevahendid"/>
    <n v="55"/>
    <x v="0"/>
    <x v="0"/>
    <x v="0"/>
    <x v="0"/>
  </r>
  <r>
    <x v="8"/>
    <x v="71"/>
    <x v="70"/>
    <x v="25"/>
    <x v="8"/>
    <s v="Põlula kool"/>
    <s v="Ürituste transport"/>
    <x v="14"/>
    <m/>
    <x v="22"/>
    <s v="Kommunikatsiooni-, kultuuri- ja vaba aja sisustamise kulud"/>
    <n v="55"/>
    <x v="0"/>
    <x v="0"/>
    <x v="0"/>
    <x v="0"/>
  </r>
  <r>
    <x v="8"/>
    <x v="71"/>
    <x v="70"/>
    <x v="25"/>
    <x v="8"/>
    <s v="Põlula kool"/>
    <s v="hoonete kindlustus"/>
    <x v="20"/>
    <m/>
    <x v="4"/>
    <s v="Kinnistute, hoonete ja ruumide majandamiskulud"/>
    <n v="55"/>
    <x v="0"/>
    <x v="0"/>
    <x v="0"/>
    <x v="0"/>
  </r>
  <r>
    <x v="8"/>
    <x v="71"/>
    <x v="70"/>
    <x v="25"/>
    <x v="8"/>
    <s v="Põlula kool"/>
    <s v="majanduskaup kooli ja sööklasse"/>
    <x v="123"/>
    <m/>
    <x v="4"/>
    <s v="Kinnistute, hoonete ja ruumide majandamiskulud"/>
    <n v="55"/>
    <x v="0"/>
    <x v="0"/>
    <x v="0"/>
    <x v="0"/>
  </r>
  <r>
    <x v="8"/>
    <x v="71"/>
    <x v="70"/>
    <x v="25"/>
    <x v="8"/>
    <s v="Põlula kool"/>
    <s v="elekter"/>
    <x v="314"/>
    <m/>
    <x v="4"/>
    <s v="Kinnistute, hoonete ja ruumide majandamiskulud"/>
    <n v="55"/>
    <x v="0"/>
    <x v="0"/>
    <x v="0"/>
    <x v="0"/>
  </r>
  <r>
    <x v="8"/>
    <x v="71"/>
    <x v="70"/>
    <x v="25"/>
    <x v="8"/>
    <s v="Põlula kool"/>
    <s v="valvesignalisatsioon"/>
    <x v="10"/>
    <m/>
    <x v="4"/>
    <s v="Kinnistute, hoonete ja ruumide majandamiskulud"/>
    <n v="55"/>
    <x v="0"/>
    <x v="0"/>
    <x v="0"/>
    <x v="0"/>
  </r>
  <r>
    <x v="8"/>
    <x v="71"/>
    <x v="70"/>
    <x v="25"/>
    <x v="8"/>
    <s v="Põlula kool"/>
    <s v="prügi vedu"/>
    <x v="20"/>
    <m/>
    <x v="4"/>
    <s v="Kinnistute, hoonete ja ruumide majandamiskulud"/>
    <n v="55"/>
    <x v="0"/>
    <x v="0"/>
    <x v="0"/>
    <x v="0"/>
  </r>
  <r>
    <x v="8"/>
    <x v="71"/>
    <x v="70"/>
    <x v="25"/>
    <x v="8"/>
    <s v="Põlula kool"/>
    <s v="laboratoorsed analüüsid"/>
    <x v="2"/>
    <m/>
    <x v="4"/>
    <s v="Kinnistute, hoonete ja ruumide majandamiskulud"/>
    <n v="55"/>
    <x v="0"/>
    <x v="0"/>
    <x v="0"/>
    <x v="0"/>
  </r>
  <r>
    <x v="8"/>
    <x v="71"/>
    <x v="70"/>
    <x v="25"/>
    <x v="8"/>
    <s v="Põlula kool"/>
    <s v="käiduteenus"/>
    <x v="2"/>
    <m/>
    <x v="4"/>
    <s v="Kinnistute, hoonete ja ruumide majandamiskulud"/>
    <n v="55"/>
    <x v="0"/>
    <x v="0"/>
    <x v="0"/>
    <x v="0"/>
  </r>
  <r>
    <x v="8"/>
    <x v="71"/>
    <x v="70"/>
    <x v="25"/>
    <x v="8"/>
    <s v="Põlula kool"/>
    <s v="IT alased hooldustööd"/>
    <x v="28"/>
    <m/>
    <x v="5"/>
    <s v="Info- ja kommunikatsioonitehnoliigised kulud"/>
    <n v="55"/>
    <x v="0"/>
    <x v="0"/>
    <x v="0"/>
    <x v="0"/>
  </r>
  <r>
    <x v="8"/>
    <x v="71"/>
    <x v="70"/>
    <x v="25"/>
    <x v="8"/>
    <s v="Põlula kool"/>
    <s v="Pedagoogilised õppevahendid"/>
    <x v="315"/>
    <s v="Ped."/>
    <x v="31"/>
    <s v="Õppevahendid"/>
    <n v="55"/>
    <x v="0"/>
    <x v="0"/>
    <x v="0"/>
    <x v="0"/>
  </r>
  <r>
    <x v="8"/>
    <x v="72"/>
    <x v="64"/>
    <x v="26"/>
    <x v="8"/>
    <s v="Haridusnõunik"/>
    <s v="Kohatasud "/>
    <x v="316"/>
    <s v="gümnaasium"/>
    <x v="31"/>
    <s v="Õppevahendid"/>
    <n v="55"/>
    <x v="0"/>
    <x v="0"/>
    <x v="0"/>
    <x v="0"/>
  </r>
  <r>
    <x v="8"/>
    <x v="72"/>
    <x v="64"/>
    <x v="26"/>
    <x v="8"/>
    <s v="Haridusnõunik"/>
    <s v="Tulud haridustegevusest kohatasud"/>
    <x v="317"/>
    <s v="s.h gümnaasium"/>
    <x v="32"/>
    <s v="Õpilaskoht"/>
    <n v="32"/>
    <x v="9"/>
    <x v="11"/>
    <x v="14"/>
    <x v="1"/>
  </r>
  <r>
    <x v="8"/>
    <x v="73"/>
    <x v="71"/>
    <x v="27"/>
    <x v="8"/>
    <s v="Haridusnõunik"/>
    <s v="huvitegevuse kompensatsioon lastevanematele"/>
    <x v="69"/>
    <m/>
    <x v="31"/>
    <s v="Õppevahendid"/>
    <n v="55"/>
    <x v="0"/>
    <x v="0"/>
    <x v="0"/>
    <x v="0"/>
  </r>
  <r>
    <x v="8"/>
    <x v="73"/>
    <x v="71"/>
    <x v="27"/>
    <x v="8"/>
    <s v="Haridusnõunik"/>
    <s v="arvlemine muusikakoolidega"/>
    <x v="295"/>
    <m/>
    <x v="31"/>
    <s v="Õppevahendid"/>
    <n v="55"/>
    <x v="0"/>
    <x v="0"/>
    <x v="0"/>
    <x v="0"/>
  </r>
  <r>
    <x v="8"/>
    <x v="73"/>
    <x v="71"/>
    <x v="27"/>
    <x v="8"/>
    <s v="Haridusnõunik"/>
    <s v="huvitegevusinventari soetus, arenguprojektid jms"/>
    <x v="152"/>
    <m/>
    <x v="1"/>
    <s v="Mitmesugused majanduskulud"/>
    <n v="55"/>
    <x v="0"/>
    <x v="0"/>
    <x v="0"/>
    <x v="0"/>
  </r>
  <r>
    <x v="8"/>
    <x v="73"/>
    <x v="71"/>
    <x v="27"/>
    <x v="8"/>
    <s v="Haridusnõunik"/>
    <s v="Huvihariduse ja - tegevuse toetus"/>
    <x v="318"/>
    <s v="toetusfond"/>
    <x v="15"/>
    <s v="Toetusfond"/>
    <n v="35201"/>
    <x v="4"/>
    <x v="4"/>
    <x v="5"/>
    <x v="1"/>
  </r>
  <r>
    <x v="8"/>
    <x v="73"/>
    <x v="71"/>
    <x v="27"/>
    <x v="8"/>
    <s v="Vallavalitsus"/>
    <s v="Lasteaedade ja koolide õues õppetingimuste loomine"/>
    <x v="44"/>
    <m/>
    <x v="12"/>
    <s v="Rajatiste ja hoonete soetamine ja renoveerimine"/>
    <n v="15"/>
    <x v="3"/>
    <x v="3"/>
    <x v="3"/>
    <x v="2"/>
  </r>
  <r>
    <x v="8"/>
    <x v="73"/>
    <x v="71"/>
    <x v="27"/>
    <x v="8"/>
    <s v="Noorsoo- ja spordinõunik"/>
    <s v="Transport(buss)"/>
    <x v="74"/>
    <s v="huviharidus-ujumistreeningud Vinni Spordikompleksis 2020. - Tudu, Roela, V-Jaagupi, Pajusti, Vinni lapsed 7-26 a."/>
    <x v="1"/>
    <s v="Mitmesugused majanduskulud"/>
    <n v="55"/>
    <x v="0"/>
    <x v="0"/>
    <x v="0"/>
    <x v="0"/>
  </r>
  <r>
    <x v="8"/>
    <x v="73"/>
    <x v="71"/>
    <x v="27"/>
    <x v="8"/>
    <s v="Noorsoo- ja spordinõunik"/>
    <s v="Ujula kasutus"/>
    <x v="319"/>
    <s v="huviharidus-ujumistreeningud Vinni Spordikompleksis 2020. - Tudu, Roela, V-Jaagupi, Pajusti, Vinni lapsed 7-26 a."/>
    <x v="1"/>
    <s v="Mitmesugused majanduskulud"/>
    <n v="55"/>
    <x v="0"/>
    <x v="0"/>
    <x v="0"/>
    <x v="0"/>
  </r>
  <r>
    <x v="8"/>
    <x v="73"/>
    <x v="71"/>
    <x v="27"/>
    <x v="8"/>
    <s v="Noorsoo- ja spordinõunik"/>
    <s v="Transport(buss)"/>
    <x v="320"/>
    <s v="huviharidus-ujumistreeningud Vinni Spordikompleksis 2020. - Laekvere, Muuga lapsed 7-26a."/>
    <x v="1"/>
    <s v="Mitmesugused majanduskulud"/>
    <n v="55"/>
    <x v="0"/>
    <x v="0"/>
    <x v="0"/>
    <x v="0"/>
  </r>
  <r>
    <x v="8"/>
    <x v="73"/>
    <x v="71"/>
    <x v="27"/>
    <x v="8"/>
    <s v="Noorsoo- ja spordinõunik"/>
    <s v="Ujula kasutus"/>
    <x v="321"/>
    <s v="huviharidus-ujumistreeningud Vinni Spordikompleksis 2020. - Laekvere, Muuga lapsed 7-26a."/>
    <x v="1"/>
    <s v="Mitmesugused majanduskulud"/>
    <n v="55"/>
    <x v="0"/>
    <x v="0"/>
    <x v="0"/>
    <x v="0"/>
  </r>
  <r>
    <x v="8"/>
    <x v="74"/>
    <x v="72"/>
    <x v="28"/>
    <x v="8"/>
    <s v="Teede- ja ühistranspordinõunik"/>
    <s v="Liising "/>
    <x v="322"/>
    <s v="12x3096"/>
    <x v="3"/>
    <s v="Sõidukite ülalpidamise kulud"/>
    <n v="55"/>
    <x v="0"/>
    <x v="0"/>
    <x v="0"/>
    <x v="0"/>
  </r>
  <r>
    <x v="8"/>
    <x v="74"/>
    <x v="72"/>
    <x v="28"/>
    <x v="8"/>
    <s v="Teede- ja ühistranspordinõunik"/>
    <s v="Kasko ja liikluskindlustus"/>
    <x v="323"/>
    <s v="2600+450 käesoleval aastal"/>
    <x v="3"/>
    <s v="Sõidukite ülalpidamise kulud"/>
    <n v="55"/>
    <x v="0"/>
    <x v="0"/>
    <x v="0"/>
    <x v="0"/>
  </r>
  <r>
    <x v="8"/>
    <x v="74"/>
    <x v="72"/>
    <x v="28"/>
    <x v="8"/>
    <s v="Teede- ja ühistranspordinõunik"/>
    <s v="Remont ja hooldus"/>
    <x v="123"/>
    <m/>
    <x v="3"/>
    <s v="Sõidukite ülalpidamise kulud"/>
    <n v="55"/>
    <x v="0"/>
    <x v="0"/>
    <x v="0"/>
    <x v="0"/>
  </r>
  <r>
    <x v="8"/>
    <x v="74"/>
    <x v="72"/>
    <x v="28"/>
    <x v="8"/>
    <s v="Teede- ja ühistranspordinõunik"/>
    <s v="Navigaatori või tahvelarvuti soetamine"/>
    <x v="32"/>
    <s v="On olnud plaanis, aga pole sellel aastal tehtud"/>
    <x v="8"/>
    <s v="Inventari kulud, v.a infotehnoloogia ja kaitseotstarbelised kulud"/>
    <n v="55"/>
    <x v="0"/>
    <x v="0"/>
    <x v="0"/>
    <x v="0"/>
  </r>
  <r>
    <x v="8"/>
    <x v="74"/>
    <x v="72"/>
    <x v="28"/>
    <x v="8"/>
    <s v="Teede- ja ühistranspordinõunik"/>
    <s v="Tervise- ja spordiarendamise hüvitis"/>
    <x v="108"/>
    <m/>
    <x v="1"/>
    <s v="Mitmesugused majanduskulud"/>
    <n v="55"/>
    <x v="0"/>
    <x v="0"/>
    <x v="0"/>
    <x v="0"/>
  </r>
  <r>
    <x v="8"/>
    <x v="74"/>
    <x v="72"/>
    <x v="28"/>
    <x v="8"/>
    <s v="Teede- ja ühistranspordinõunik"/>
    <s v="Sideteenused"/>
    <x v="11"/>
    <s v="bussijuhi mobiil"/>
    <x v="0"/>
    <s v="Administreerimiskulud"/>
    <n v="55"/>
    <x v="0"/>
    <x v="0"/>
    <x v="0"/>
    <x v="0"/>
  </r>
  <r>
    <x v="8"/>
    <x v="74"/>
    <x v="72"/>
    <x v="28"/>
    <x v="8"/>
    <s v="Teede- ja ühistranspordinõunik"/>
    <s v="Õpilastranspot Põlula ja VPG (RTX Lines OÜ leping)"/>
    <x v="45"/>
    <m/>
    <x v="33"/>
    <s v="Õppetoetused"/>
    <n v="413"/>
    <x v="10"/>
    <x v="1"/>
    <x v="15"/>
    <x v="0"/>
  </r>
  <r>
    <x v="8"/>
    <x v="74"/>
    <x v="72"/>
    <x v="28"/>
    <x v="8"/>
    <s v="Teede- ja ühistranspordinõunik"/>
    <s v="Õpilastranspot Põlula ja VPG (TA Bussid leping)"/>
    <x v="324"/>
    <m/>
    <x v="33"/>
    <s v="Õppetoetused"/>
    <n v="413"/>
    <x v="10"/>
    <x v="1"/>
    <x v="15"/>
    <x v="0"/>
  </r>
  <r>
    <x v="8"/>
    <x v="74"/>
    <x v="72"/>
    <x v="28"/>
    <x v="8"/>
    <s v="Teede- ja ühistranspordinõunik"/>
    <s v="Õpilastransport Muuga ja Laekvere (MK Reis leping)"/>
    <x v="325"/>
    <m/>
    <x v="33"/>
    <s v="Õppetoetused"/>
    <n v="413"/>
    <x v="10"/>
    <x v="1"/>
    <x v="15"/>
    <x v="0"/>
  </r>
  <r>
    <x v="8"/>
    <x v="74"/>
    <x v="72"/>
    <x v="28"/>
    <x v="8"/>
    <s v="Teede- ja ühistranspordinõunik"/>
    <s v="Kütus"/>
    <x v="258"/>
    <s v="50000km*36l/100le*1,3eur/l"/>
    <x v="3"/>
    <s v="Sõidukite ülalpidamise kulud"/>
    <n v="55"/>
    <x v="0"/>
    <x v="0"/>
    <x v="0"/>
    <x v="0"/>
  </r>
  <r>
    <x v="8"/>
    <x v="75"/>
    <x v="73"/>
    <x v="29"/>
    <x v="8"/>
    <s v="Roela Õpilaskodu"/>
    <s v="telefon, internet"/>
    <x v="326"/>
    <s v="internet 46 x 12 = 552"/>
    <x v="0"/>
    <s v="Administreerimiskulud"/>
    <n v="55"/>
    <x v="0"/>
    <x v="0"/>
    <x v="0"/>
    <x v="0"/>
  </r>
  <r>
    <x v="8"/>
    <x v="75"/>
    <x v="73"/>
    <x v="29"/>
    <x v="8"/>
    <s v="Roela Õpilaskodu"/>
    <s v="mobiili kuulimiit 20 eurot"/>
    <x v="27"/>
    <s v="20 x 12"/>
    <x v="0"/>
    <s v="Administreerimiskulud"/>
    <n v="55"/>
    <x v="0"/>
    <x v="0"/>
    <x v="0"/>
    <x v="0"/>
  </r>
  <r>
    <x v="8"/>
    <x v="75"/>
    <x v="73"/>
    <x v="29"/>
    <x v="8"/>
    <s v="Roela Õpilaskodu"/>
    <s v="printeri tahm"/>
    <x v="1"/>
    <m/>
    <x v="0"/>
    <s v="Administreerimiskulud"/>
    <n v="55"/>
    <x v="0"/>
    <x v="0"/>
    <x v="0"/>
    <x v="0"/>
  </r>
  <r>
    <x v="8"/>
    <x v="75"/>
    <x v="73"/>
    <x v="29"/>
    <x v="8"/>
    <s v="Roela Õpilaskodu"/>
    <s v="kalendrid, paber jne"/>
    <x v="1"/>
    <m/>
    <x v="0"/>
    <s v="Administreerimiskulud"/>
    <n v="55"/>
    <x v="0"/>
    <x v="0"/>
    <x v="0"/>
    <x v="0"/>
  </r>
  <r>
    <x v="8"/>
    <x v="75"/>
    <x v="73"/>
    <x v="29"/>
    <x v="8"/>
    <s v="Roela Õpilaskodu"/>
    <s v="seadmete remont"/>
    <x v="41"/>
    <s v="pesukuivati, pesumasin"/>
    <x v="8"/>
    <s v="Inventari kulud, v.a infotehnoloogia ja kaitseotstarbelised kulud"/>
    <n v="55"/>
    <x v="0"/>
    <x v="0"/>
    <x v="0"/>
    <x v="0"/>
  </r>
  <r>
    <x v="8"/>
    <x v="75"/>
    <x v="73"/>
    <x v="29"/>
    <x v="8"/>
    <s v="Roela Õpilaskodu"/>
    <s v="isikliku sõiduauto kasutus"/>
    <x v="327"/>
    <s v="32 x 11 (Tiina Alavere)"/>
    <x v="3"/>
    <s v="Sõidukite ülalpidamise kulud"/>
    <n v="55"/>
    <x v="0"/>
    <x v="0"/>
    <x v="0"/>
    <x v="0"/>
  </r>
  <r>
    <x v="8"/>
    <x v="75"/>
    <x v="73"/>
    <x v="29"/>
    <x v="8"/>
    <s v="Roela Õpilaskodu"/>
    <s v="voodikast 9 tk"/>
    <x v="2"/>
    <m/>
    <x v="8"/>
    <s v="Inventari kulud, v.a infotehnoloogia ja kaitseotstarbelised kulud"/>
    <n v="55"/>
    <x v="0"/>
    <x v="0"/>
    <x v="0"/>
    <x v="0"/>
  </r>
  <r>
    <x v="8"/>
    <x v="75"/>
    <x v="73"/>
    <x v="29"/>
    <x v="8"/>
    <s v="Roela Õpilaskodu"/>
    <s v="köögitaburet 12 tk"/>
    <x v="89"/>
    <m/>
    <x v="8"/>
    <s v="Inventari kulud, v.a infotehnoloogia ja kaitseotstarbelised kulud"/>
    <n v="55"/>
    <x v="0"/>
    <x v="0"/>
    <x v="0"/>
    <x v="0"/>
  </r>
  <r>
    <x v="8"/>
    <x v="75"/>
    <x v="73"/>
    <x v="29"/>
    <x v="8"/>
    <s v="Roela Õpilaskodu"/>
    <s v="televiisor 1 tk"/>
    <x v="20"/>
    <m/>
    <x v="8"/>
    <s v="Inventari kulud, v.a infotehnoloogia ja kaitseotstarbelised kulud"/>
    <n v="55"/>
    <x v="0"/>
    <x v="0"/>
    <x v="0"/>
    <x v="0"/>
  </r>
  <r>
    <x v="8"/>
    <x v="75"/>
    <x v="73"/>
    <x v="29"/>
    <x v="8"/>
    <s v="Roela Õpilaskodu"/>
    <s v="toiduained"/>
    <x v="126"/>
    <m/>
    <x v="30"/>
    <s v="Toiduained ja toitlustusteenused"/>
    <n v="55"/>
    <x v="0"/>
    <x v="0"/>
    <x v="0"/>
    <x v="0"/>
  </r>
  <r>
    <x v="8"/>
    <x v="75"/>
    <x v="73"/>
    <x v="29"/>
    <x v="8"/>
    <s v="Roela Õpilaskodu"/>
    <s v="ravimid"/>
    <x v="120"/>
    <m/>
    <x v="9"/>
    <s v="Meditsiinikulud ja hügieenitarbed"/>
    <n v="55"/>
    <x v="0"/>
    <x v="0"/>
    <x v="0"/>
    <x v="0"/>
  </r>
  <r>
    <x v="8"/>
    <x v="75"/>
    <x v="73"/>
    <x v="29"/>
    <x v="8"/>
    <s v="Roela Õpilaskodu"/>
    <s v="vihikud, pliiatsid, värvid jne"/>
    <x v="120"/>
    <m/>
    <x v="31"/>
    <s v="Õppevahendid"/>
    <n v="55"/>
    <x v="0"/>
    <x v="0"/>
    <x v="0"/>
    <x v="0"/>
  </r>
  <r>
    <x v="8"/>
    <x v="75"/>
    <x v="73"/>
    <x v="29"/>
    <x v="8"/>
    <s v="Roela Õpilaskodu"/>
    <s v="mängud"/>
    <x v="120"/>
    <m/>
    <x v="31"/>
    <s v="Õppevahendid"/>
    <n v="55"/>
    <x v="0"/>
    <x v="0"/>
    <x v="0"/>
    <x v="0"/>
  </r>
  <r>
    <x v="8"/>
    <x v="75"/>
    <x v="73"/>
    <x v="29"/>
    <x v="8"/>
    <s v="Roela Õpilaskodu"/>
    <s v="väljasõidud"/>
    <x v="41"/>
    <m/>
    <x v="22"/>
    <s v="Kommunikatsiooni-, kultuuri- ja vaba aja sisustamise kulud"/>
    <n v="55"/>
    <x v="0"/>
    <x v="0"/>
    <x v="0"/>
    <x v="0"/>
  </r>
  <r>
    <x v="8"/>
    <x v="75"/>
    <x v="73"/>
    <x v="29"/>
    <x v="8"/>
    <s v="Roela Õpilaskodu"/>
    <s v="üritused"/>
    <x v="41"/>
    <m/>
    <x v="22"/>
    <s v="Kommunikatsiooni-, kultuuri- ja vaba aja sisustamise kulud"/>
    <n v="55"/>
    <x v="0"/>
    <x v="0"/>
    <x v="0"/>
    <x v="0"/>
  </r>
  <r>
    <x v="8"/>
    <x v="75"/>
    <x v="73"/>
    <x v="29"/>
    <x v="8"/>
    <s v="Roela Õpilaskodu"/>
    <s v="küte"/>
    <x v="328"/>
    <m/>
    <x v="4"/>
    <s v="Kinnistute, hoonete ja ruumide majandamiskulud"/>
    <n v="55"/>
    <x v="0"/>
    <x v="0"/>
    <x v="0"/>
    <x v="0"/>
  </r>
  <r>
    <x v="8"/>
    <x v="75"/>
    <x v="73"/>
    <x v="29"/>
    <x v="8"/>
    <s v="Roela Õpilaskodu"/>
    <s v="elekter"/>
    <x v="14"/>
    <m/>
    <x v="4"/>
    <s v="Kinnistute, hoonete ja ruumide majandamiskulud"/>
    <n v="55"/>
    <x v="0"/>
    <x v="0"/>
    <x v="0"/>
    <x v="0"/>
  </r>
  <r>
    <x v="8"/>
    <x v="75"/>
    <x v="73"/>
    <x v="29"/>
    <x v="8"/>
    <s v="Roela Õpilaskodu"/>
    <s v="vesi- ja kanalisatsioon"/>
    <x v="108"/>
    <m/>
    <x v="4"/>
    <s v="Kinnistute, hoonete ja ruumide majandamiskulud"/>
    <n v="55"/>
    <x v="0"/>
    <x v="0"/>
    <x v="0"/>
    <x v="0"/>
  </r>
  <r>
    <x v="8"/>
    <x v="75"/>
    <x v="73"/>
    <x v="29"/>
    <x v="8"/>
    <s v="Roela Õpilaskodu"/>
    <s v="prügi"/>
    <x v="329"/>
    <m/>
    <x v="4"/>
    <s v="Kinnistute, hoonete ja ruumide majandamiskulud"/>
    <n v="55"/>
    <x v="0"/>
    <x v="0"/>
    <x v="0"/>
    <x v="0"/>
  </r>
  <r>
    <x v="8"/>
    <x v="75"/>
    <x v="73"/>
    <x v="29"/>
    <x v="8"/>
    <s v="Roela Õpilaskodu"/>
    <s v="korrashoiuvahendid"/>
    <x v="108"/>
    <m/>
    <x v="4"/>
    <s v="Kinnistute, hoonete ja ruumide majandamiskulud"/>
    <n v="55"/>
    <x v="0"/>
    <x v="0"/>
    <x v="0"/>
    <x v="0"/>
  </r>
  <r>
    <x v="8"/>
    <x v="76"/>
    <x v="28"/>
    <x v="30"/>
    <x v="7"/>
    <s v="Haridusnõunik"/>
    <s v="Valla hariduskapitali taastamine"/>
    <x v="97"/>
    <s v="(1*350.- + 3*125.-- 5*75.- )"/>
    <x v="22"/>
    <s v="Kommunikatsiooni-, kultuuri- ja vaba aja sisustamise kulud"/>
    <n v="55"/>
    <x v="0"/>
    <x v="0"/>
    <x v="0"/>
    <x v="0"/>
  </r>
  <r>
    <x v="8"/>
    <x v="76"/>
    <x v="28"/>
    <x v="30"/>
    <x v="7"/>
    <s v="Haridusnõunik"/>
    <s v="Õpilaste ja õpetajate vastuvõtt"/>
    <x v="22"/>
    <s v="150 inimest: tänukirjad, meened, fotod, lilled, esinejad, suupisted"/>
    <x v="22"/>
    <s v="Kommunikatsiooni-, kultuuri- ja vaba aja sisustamise kulud"/>
    <n v="55"/>
    <x v="0"/>
    <x v="0"/>
    <x v="0"/>
    <x v="0"/>
  </r>
  <r>
    <x v="8"/>
    <x v="76"/>
    <x v="28"/>
    <x v="30"/>
    <x v="7"/>
    <s v="Haridusnõunik"/>
    <s v="Õppeaasta lõpetamine"/>
    <x v="40"/>
    <s v="Lilled , meened( 75 LA+31 PK +14 G+õpetajad)"/>
    <x v="22"/>
    <s v="Kommunikatsiooni-, kultuuri- ja vaba aja sisustamise kulud"/>
    <n v="55"/>
    <x v="0"/>
    <x v="0"/>
    <x v="0"/>
    <x v="0"/>
  </r>
  <r>
    <x v="8"/>
    <x v="76"/>
    <x v="28"/>
    <x v="30"/>
    <x v="7"/>
    <s v="Haridusnõunik"/>
    <s v="Õppeaasta alustamine"/>
    <x v="14"/>
    <s v="lilled 11 maja+ meened 1.klassile(75)"/>
    <x v="22"/>
    <s v="Kommunikatsiooni-, kultuuri- ja vaba aja sisustamise kulud"/>
    <n v="55"/>
    <x v="0"/>
    <x v="0"/>
    <x v="0"/>
    <x v="0"/>
  </r>
  <r>
    <x v="8"/>
    <x v="76"/>
    <x v="28"/>
    <x v="30"/>
    <x v="7"/>
    <s v="Haridusnõunik"/>
    <s v="Õpetajatepäev"/>
    <x v="147"/>
    <s v="üritus 175-le inimesele( kontsert, teater vms., transport, lilled, suupisted)"/>
    <x v="22"/>
    <s v="Kommunikatsiooni-, kultuuri- ja vaba aja sisustamise kulud"/>
    <n v="55"/>
    <x v="0"/>
    <x v="0"/>
    <x v="0"/>
    <x v="0"/>
  </r>
  <r>
    <x v="8"/>
    <x v="76"/>
    <x v="28"/>
    <x v="30"/>
    <x v="7"/>
    <s v="Haridusnõunik"/>
    <s v="Muud haridusüritused"/>
    <x v="45"/>
    <s v="valla laste- ja noortepäev, haridusasutuste taidluspäevad jm ülevallalised üritused vastavalt kokkulepitud kultuurikavale"/>
    <x v="22"/>
    <s v="Kommunikatsiooni-, kultuuri- ja vaba aja sisustamise kulud"/>
    <n v="55"/>
    <x v="0"/>
    <x v="0"/>
    <x v="0"/>
    <x v="0"/>
  </r>
  <r>
    <x v="8"/>
    <x v="77"/>
    <x v="74"/>
    <x v="30"/>
    <x v="8"/>
    <s v="Haridusnõunik"/>
    <s v="LVHJ lähetused+  3 töötaja koolitused"/>
    <x v="123"/>
    <m/>
    <x v="2"/>
    <s v="Koolituskulud"/>
    <n v="55"/>
    <x v="0"/>
    <x v="0"/>
    <x v="0"/>
    <x v="0"/>
  </r>
  <r>
    <x v="8"/>
    <x v="77"/>
    <x v="74"/>
    <x v="30"/>
    <x v="8"/>
    <s v="Haridusnõunik"/>
    <s v="Isikliku sõiduauto komp."/>
    <x v="330"/>
    <s v="(300+250+250) 2*10 kuud 1 *11 kuud"/>
    <x v="3"/>
    <s v="Sõidukite ülalpidamise kulud"/>
    <n v="55"/>
    <x v="0"/>
    <x v="0"/>
    <x v="0"/>
    <x v="0"/>
  </r>
  <r>
    <x v="8"/>
    <x v="77"/>
    <x v="74"/>
    <x v="30"/>
    <x v="8"/>
    <s v="Haridusnõunik"/>
    <s v="eripedagoogi töövahendid"/>
    <x v="14"/>
    <m/>
    <x v="31"/>
    <s v="Õppevahendid"/>
    <n v="55"/>
    <x v="0"/>
    <x v="0"/>
    <x v="0"/>
    <x v="0"/>
  </r>
  <r>
    <x v="8"/>
    <x v="77"/>
    <x v="74"/>
    <x v="30"/>
    <x v="8"/>
    <s v="Haridusnõunik"/>
    <s v="laualambid jms alushariduse spets"/>
    <x v="32"/>
    <m/>
    <x v="8"/>
    <s v="Inventari kulud, v.a infotehnoloogia ja kaitseotstarbelised kulud"/>
    <n v="55"/>
    <x v="0"/>
    <x v="0"/>
    <x v="0"/>
    <x v="0"/>
  </r>
  <r>
    <x v="8"/>
    <x v="77"/>
    <x v="74"/>
    <x v="30"/>
    <x v="8"/>
    <s v="Haridusnõunik"/>
    <s v="Sideteenused"/>
    <x v="25"/>
    <m/>
    <x v="0"/>
    <s v="Administreerimiskulud"/>
    <n v="55"/>
    <x v="0"/>
    <x v="0"/>
    <x v="0"/>
    <x v="0"/>
  </r>
  <r>
    <x v="8"/>
    <x v="78"/>
    <x v="75"/>
    <x v="30"/>
    <x v="8"/>
    <s v="Haridusnõunik"/>
    <s v="Õpetajate ühiskoolitused"/>
    <x v="44"/>
    <s v="koolivaheaegadel kõikidele valla õpetajatele korraldatud koolitused(4) "/>
    <x v="2"/>
    <s v="Koolituskulud"/>
    <n v="55"/>
    <x v="0"/>
    <x v="0"/>
    <x v="0"/>
    <x v="0"/>
  </r>
  <r>
    <x v="8"/>
    <x v="78"/>
    <x v="75"/>
    <x v="30"/>
    <x v="8"/>
    <s v="Haridusnõunik"/>
    <s v="lastevanemate koolitused"/>
    <x v="44"/>
    <m/>
    <x v="2"/>
    <s v="Koolituskulud"/>
    <n v="55"/>
    <x v="0"/>
    <x v="0"/>
    <x v="0"/>
    <x v="0"/>
  </r>
  <r>
    <x v="9"/>
    <x v="79"/>
    <x v="76"/>
    <x v="31"/>
    <x v="9"/>
    <s v="Sotsiaalosakond"/>
    <s v="Vähihaigete Liit"/>
    <x v="32"/>
    <m/>
    <x v="29"/>
    <s v="Sihtotstarbelised eraldised jooksvateks kuludeks"/>
    <n v="4500"/>
    <x v="1"/>
    <x v="1"/>
    <x v="11"/>
    <x v="0"/>
  </r>
  <r>
    <x v="9"/>
    <x v="79"/>
    <x v="76"/>
    <x v="31"/>
    <x v="9"/>
    <s v="Sotsiaalosakond"/>
    <s v="Lääne-Virumaa Sclerosis Multipleksi Ühing"/>
    <x v="66"/>
    <m/>
    <x v="29"/>
    <s v="Sihtotstarbelised eraldised jooksvateks kuludeks"/>
    <n v="4500"/>
    <x v="1"/>
    <x v="1"/>
    <x v="11"/>
    <x v="0"/>
  </r>
  <r>
    <x v="9"/>
    <x v="79"/>
    <x v="76"/>
    <x v="31"/>
    <x v="9"/>
    <s v="Sotsiaalosakond"/>
    <s v="Lääne Virumaa Kurtide Ühing"/>
    <x v="89"/>
    <m/>
    <x v="29"/>
    <s v="Sihtotstarbelised eraldised jooksvateks kuludeks"/>
    <n v="4500"/>
    <x v="1"/>
    <x v="1"/>
    <x v="11"/>
    <x v="0"/>
  </r>
  <r>
    <x v="9"/>
    <x v="79"/>
    <x v="76"/>
    <x v="31"/>
    <x v="9"/>
    <s v="Sotsiaalosakond"/>
    <s v="MTÜ Õendus-hoolduskeskus Loojang"/>
    <x v="147"/>
    <m/>
    <x v="29"/>
    <s v="Sihtotstarbelised eraldised jooksvateks kuludeks"/>
    <n v="4500"/>
    <x v="1"/>
    <x v="1"/>
    <x v="11"/>
    <x v="0"/>
  </r>
  <r>
    <x v="9"/>
    <x v="80"/>
    <x v="77"/>
    <x v="32"/>
    <x v="9"/>
    <s v="Sotsiaalosakond"/>
    <s v="Lääne-Virumaa Puuetega Inimeste Koda"/>
    <x v="10"/>
    <m/>
    <x v="29"/>
    <s v="Sihtotstarbelised eraldised jooksvateks kuludeks"/>
    <n v="4500"/>
    <x v="1"/>
    <x v="1"/>
    <x v="11"/>
    <x v="0"/>
  </r>
  <r>
    <x v="9"/>
    <x v="80"/>
    <x v="77"/>
    <x v="32"/>
    <x v="9"/>
    <s v="Sotsiaalosakond"/>
    <s v="MTÜ Johanna osalemine"/>
    <x v="158"/>
    <m/>
    <x v="25"/>
    <s v="Sihtotstarbelised eraldised põhivara soetamiseks muudele residentidele"/>
    <n v="4502"/>
    <x v="1"/>
    <x v="9"/>
    <x v="12"/>
    <x v="2"/>
  </r>
  <r>
    <x v="9"/>
    <x v="80"/>
    <x v="77"/>
    <x v="32"/>
    <x v="9"/>
    <s v="Sotsiaalosakond"/>
    <s v="MTÜ Johanna projektid"/>
    <x v="14"/>
    <m/>
    <x v="29"/>
    <s v="Sihtotstarbelised eraldised jooksvateks kuludeks"/>
    <n v="4500"/>
    <x v="1"/>
    <x v="1"/>
    <x v="11"/>
    <x v="0"/>
  </r>
  <r>
    <x v="9"/>
    <x v="80"/>
    <x v="77"/>
    <x v="32"/>
    <x v="9"/>
    <s v="Sotsiaalosakond"/>
    <s v="MTÜ Johanna tegevustoetus"/>
    <x v="331"/>
    <m/>
    <x v="29"/>
    <s v="Sihtotstarbelised eraldised jooksvateks kuludeks"/>
    <n v="4500"/>
    <x v="1"/>
    <x v="1"/>
    <x v="11"/>
    <x v="0"/>
  </r>
  <r>
    <x v="9"/>
    <x v="80"/>
    <x v="77"/>
    <x v="32"/>
    <x v="9"/>
    <s v="Sotsiaalosakond"/>
    <s v="Maakonna projekt Erivajadustega inimeste tugiteenused osal"/>
    <x v="332"/>
    <m/>
    <x v="34"/>
    <s v="Töötasud"/>
    <n v="50"/>
    <x v="11"/>
    <x v="0"/>
    <x v="16"/>
    <x v="0"/>
  </r>
  <r>
    <x v="9"/>
    <x v="80"/>
    <x v="77"/>
    <x v="32"/>
    <x v="9"/>
    <s v="Sotsiaalosakond"/>
    <s v="Maakonna projekt Erivajadustega inimeste tugiteenused osal"/>
    <x v="333"/>
    <m/>
    <x v="3"/>
    <s v="Sõidukite ülalpidamise kulud"/>
    <n v="55"/>
    <x v="0"/>
    <x v="0"/>
    <x v="0"/>
    <x v="0"/>
  </r>
  <r>
    <x v="9"/>
    <x v="81"/>
    <x v="78"/>
    <x v="33"/>
    <x v="9"/>
    <s v="Sotsiaalosakond"/>
    <s v="Toetus ravimitele, abivah.,proteesid"/>
    <x v="294"/>
    <m/>
    <x v="35"/>
    <s v="Proteesid, ortopeedilised ja muud abivahendid puuetega inimestele"/>
    <n v="413"/>
    <x v="10"/>
    <x v="1"/>
    <x v="15"/>
    <x v="0"/>
  </r>
  <r>
    <x v="9"/>
    <x v="82"/>
    <x v="79"/>
    <x v="33"/>
    <x v="9"/>
    <s v="Sotsiaalosakond"/>
    <s v="Invatranspordis osalemine/teenus"/>
    <x v="334"/>
    <s v="sh. Laekvere eakate seltsing Meenutuse transpordi kulud"/>
    <x v="36"/>
    <s v="Muud toetused puuetega inimestele ja nende hooldajatele"/>
    <n v="413"/>
    <x v="10"/>
    <x v="1"/>
    <x v="15"/>
    <x v="0"/>
  </r>
  <r>
    <x v="9"/>
    <x v="83"/>
    <x v="80"/>
    <x v="33"/>
    <x v="9"/>
    <s v="Sotsiaalosakond"/>
    <s v="Puuetega täiskanvanute hooldaja toetus"/>
    <x v="335"/>
    <m/>
    <x v="37"/>
    <s v="Puudega inimese hooldaja toetus"/>
    <n v="413"/>
    <x v="10"/>
    <x v="1"/>
    <x v="15"/>
    <x v="0"/>
  </r>
  <r>
    <x v="9"/>
    <x v="83"/>
    <x v="80"/>
    <x v="33"/>
    <x v="9"/>
    <s v="Sotsiaalosakond"/>
    <s v="Puuetega inimeste eest makstav sotsiaalmaks"/>
    <x v="336"/>
    <m/>
    <x v="38"/>
    <s v="Erijuhtudel riigi poolt makstavad maksud"/>
    <n v="413"/>
    <x v="10"/>
    <x v="1"/>
    <x v="15"/>
    <x v="0"/>
  </r>
  <r>
    <x v="9"/>
    <x v="84"/>
    <x v="81"/>
    <x v="33"/>
    <x v="9"/>
    <s v="Sotsiaalosakond"/>
    <s v="Täiendavad toetused (ujumine, ühiselamu)"/>
    <x v="331"/>
    <m/>
    <x v="39"/>
    <s v="Sotsiaalteenused"/>
    <n v="55"/>
    <x v="0"/>
    <x v="0"/>
    <x v="0"/>
    <x v="0"/>
  </r>
  <r>
    <x v="9"/>
    <x v="84"/>
    <x v="81"/>
    <x v="33"/>
    <x v="9"/>
    <s v="Sotsiaalosakond"/>
    <s v="Sõidukulude kompenseerimise toetus"/>
    <x v="40"/>
    <m/>
    <x v="36"/>
    <s v="Muud toetused puuetega inimestele ja nende hooldajatele"/>
    <n v="413"/>
    <x v="10"/>
    <x v="1"/>
    <x v="15"/>
    <x v="0"/>
  </r>
  <r>
    <x v="9"/>
    <x v="84"/>
    <x v="81"/>
    <x v="33"/>
    <x v="9"/>
    <s v="Sotsiaalosakond"/>
    <s v="Viipekeele tõlk"/>
    <x v="146"/>
    <m/>
    <x v="36"/>
    <s v="Muud toetused puuetega inimestele ja nende hooldajatele"/>
    <n v="413"/>
    <x v="10"/>
    <x v="1"/>
    <x v="15"/>
    <x v="0"/>
  </r>
  <r>
    <x v="9"/>
    <x v="84"/>
    <x v="81"/>
    <x v="33"/>
    <x v="9"/>
    <s v="Sotsiaalosakond"/>
    <s v="Muud toetused (juhtkoera toit)"/>
    <x v="32"/>
    <m/>
    <x v="36"/>
    <s v="Muud toetused puuetega inimestele ja nende hooldajatele"/>
    <n v="413"/>
    <x v="10"/>
    <x v="1"/>
    <x v="15"/>
    <x v="0"/>
  </r>
  <r>
    <x v="9"/>
    <x v="84"/>
    <x v="81"/>
    <x v="33"/>
    <x v="9"/>
    <s v="Sotsiaalosakond"/>
    <s v="Muud toetused (ühekordsed)"/>
    <x v="147"/>
    <m/>
    <x v="36"/>
    <s v="Muud toetused puuetega inimestele ja nende hooldajatele"/>
    <n v="413"/>
    <x v="10"/>
    <x v="1"/>
    <x v="15"/>
    <x v="0"/>
  </r>
  <r>
    <x v="9"/>
    <x v="84"/>
    <x v="81"/>
    <x v="33"/>
    <x v="9"/>
    <s v="Sotsiaalosakond"/>
    <s v="Tõlgiteenus"/>
    <x v="14"/>
    <m/>
    <x v="39"/>
    <s v="Sotsiaalteenused"/>
    <n v="55"/>
    <x v="0"/>
    <x v="0"/>
    <x v="0"/>
    <x v="0"/>
  </r>
  <r>
    <x v="9"/>
    <x v="84"/>
    <x v="81"/>
    <x v="33"/>
    <x v="9"/>
    <s v="Sotsiaalosakond"/>
    <s v="Projekt &quot;Puuetega in. Kodude kohandamine&quot;"/>
    <x v="22"/>
    <m/>
    <x v="4"/>
    <s v="Kinnistute, hoonete ja ruumide majandamiskulud"/>
    <n v="55"/>
    <x v="0"/>
    <x v="0"/>
    <x v="0"/>
    <x v="0"/>
  </r>
  <r>
    <x v="9"/>
    <x v="85"/>
    <x v="82"/>
    <x v="33"/>
    <x v="9"/>
    <s v="Sotsiaalosakond"/>
    <s v="AS Hoolekandeteenused osalemine"/>
    <x v="33"/>
    <m/>
    <x v="39"/>
    <s v="Sotsiaalteenused"/>
    <n v="55"/>
    <x v="0"/>
    <x v="0"/>
    <x v="0"/>
    <x v="0"/>
  </r>
  <r>
    <x v="9"/>
    <x v="86"/>
    <x v="83"/>
    <x v="33"/>
    <x v="9"/>
    <s v="Sotsiaalosakond"/>
    <s v="Tugiisiku teenus"/>
    <x v="123"/>
    <m/>
    <x v="34"/>
    <s v="Töötasud"/>
    <n v="50"/>
    <x v="11"/>
    <x v="0"/>
    <x v="16"/>
    <x v="0"/>
  </r>
  <r>
    <x v="9"/>
    <x v="87"/>
    <x v="84"/>
    <x v="33"/>
    <x v="9"/>
    <s v="Sotsiaalosakond"/>
    <s v="Isiklik abistaja, tugiisik täiskasvanuile"/>
    <x v="337"/>
    <m/>
    <x v="34"/>
    <s v="Töötasud"/>
    <n v="50"/>
    <x v="11"/>
    <x v="0"/>
    <x v="16"/>
    <x v="0"/>
  </r>
  <r>
    <x v="9"/>
    <x v="87"/>
    <x v="84"/>
    <x v="33"/>
    <x v="9"/>
    <s v="Sotsiaalosakond"/>
    <s v="Puuetega laste hooldaja toetus"/>
    <x v="338"/>
    <s v="Toetusfond"/>
    <x v="37"/>
    <s v="Puudega inimese hooldaja toetus"/>
    <n v="413"/>
    <x v="10"/>
    <x v="1"/>
    <x v="15"/>
    <x v="0"/>
  </r>
  <r>
    <x v="9"/>
    <x v="87"/>
    <x v="84"/>
    <x v="33"/>
    <x v="9"/>
    <s v="Sotsiaalosakond"/>
    <s v="Toetusfond"/>
    <x v="339"/>
    <s v="Puuetega laste hooldaja toetus"/>
    <x v="15"/>
    <s v="Toetusfond"/>
    <n v="35201"/>
    <x v="4"/>
    <x v="4"/>
    <x v="5"/>
    <x v="1"/>
  </r>
  <r>
    <x v="9"/>
    <x v="88"/>
    <x v="85"/>
    <x v="34"/>
    <x v="9"/>
    <s v="Tammiku kodu"/>
    <s v="telefonid ja internet, TV"/>
    <x v="7"/>
    <m/>
    <x v="0"/>
    <s v="Administreerimiskulud"/>
    <n v="55"/>
    <x v="0"/>
    <x v="0"/>
    <x v="0"/>
    <x v="0"/>
  </r>
  <r>
    <x v="9"/>
    <x v="88"/>
    <x v="85"/>
    <x v="34"/>
    <x v="9"/>
    <s v="Tammiku kodu"/>
    <s v="ajaleht "/>
    <x v="120"/>
    <s v="Virumaa Teataja                                               "/>
    <x v="0"/>
    <s v="Administreerimiskulud"/>
    <n v="55"/>
    <x v="0"/>
    <x v="0"/>
    <x v="0"/>
    <x v="0"/>
  </r>
  <r>
    <x v="9"/>
    <x v="88"/>
    <x v="85"/>
    <x v="34"/>
    <x v="9"/>
    <s v="Tammiku kodu"/>
    <s v="tahm, paber, kirjatarbed"/>
    <x v="340"/>
    <s v="tint 30x4; paber, kirjatarbed                              "/>
    <x v="0"/>
    <s v="Administreerimiskulud"/>
    <n v="55"/>
    <x v="0"/>
    <x v="0"/>
    <x v="0"/>
    <x v="0"/>
  </r>
  <r>
    <x v="9"/>
    <x v="88"/>
    <x v="85"/>
    <x v="34"/>
    <x v="9"/>
    <s v="Tammiku kodu"/>
    <s v="kodulehekülg"/>
    <x v="341"/>
    <s v="Elkada Oü 19x44                                                 "/>
    <x v="0"/>
    <s v="Administreerimiskulud"/>
    <n v="55"/>
    <x v="0"/>
    <x v="0"/>
    <x v="0"/>
    <x v="0"/>
  </r>
  <r>
    <x v="9"/>
    <x v="88"/>
    <x v="85"/>
    <x v="34"/>
    <x v="9"/>
    <s v="Tammiku kodu"/>
    <s v="koolituste plaan"/>
    <x v="1"/>
    <s v="juhataja koolitus                                                "/>
    <x v="2"/>
    <s v="Koolituskulud"/>
    <n v="55"/>
    <x v="0"/>
    <x v="0"/>
    <x v="0"/>
    <x v="0"/>
  </r>
  <r>
    <x v="9"/>
    <x v="88"/>
    <x v="85"/>
    <x v="34"/>
    <x v="9"/>
    <s v="Tammiku kodu"/>
    <s v="plaanilised koolitused"/>
    <x v="120"/>
    <s v="hooldajate, kokkade koolitused                         "/>
    <x v="2"/>
    <s v="Koolituskulud"/>
    <n v="55"/>
    <x v="0"/>
    <x v="0"/>
    <x v="0"/>
    <x v="0"/>
  </r>
  <r>
    <x v="9"/>
    <x v="88"/>
    <x v="85"/>
    <x v="34"/>
    <x v="9"/>
    <s v="Tammiku kodu"/>
    <s v="el.auto tehnhool, kindlustus, remont"/>
    <x v="146"/>
    <m/>
    <x v="3"/>
    <s v="Sõidukite ülalpidamise kulud"/>
    <n v="55"/>
    <x v="0"/>
    <x v="0"/>
    <x v="0"/>
    <x v="0"/>
  </r>
  <r>
    <x v="9"/>
    <x v="88"/>
    <x v="85"/>
    <x v="34"/>
    <x v="9"/>
    <s v="Tammiku kodu"/>
    <s v="sotsiaaltranspordi teenus"/>
    <x v="61"/>
    <m/>
    <x v="3"/>
    <s v="Sõidukite ülalpidamise kulud"/>
    <n v="55"/>
    <x v="0"/>
    <x v="0"/>
    <x v="0"/>
    <x v="0"/>
  </r>
  <r>
    <x v="9"/>
    <x v="88"/>
    <x v="85"/>
    <x v="34"/>
    <x v="9"/>
    <s v="Tammiku kodu"/>
    <s v="toidukaup"/>
    <x v="342"/>
    <s v="24 in x 365 p x 2,30                                  "/>
    <x v="30"/>
    <s v="Toiduained ja toitlustusteenused"/>
    <n v="55"/>
    <x v="0"/>
    <x v="0"/>
    <x v="0"/>
    <x v="0"/>
  </r>
  <r>
    <x v="9"/>
    <x v="88"/>
    <x v="85"/>
    <x v="34"/>
    <x v="9"/>
    <s v="Tammiku kodu"/>
    <s v="Tervisekontroll"/>
    <x v="0"/>
    <s v="Töötajad                                                     "/>
    <x v="9"/>
    <s v="Meditsiinikulud ja hügieenitarbed"/>
    <n v="55"/>
    <x v="0"/>
    <x v="0"/>
    <x v="0"/>
    <x v="0"/>
  </r>
  <r>
    <x v="9"/>
    <x v="88"/>
    <x v="85"/>
    <x v="34"/>
    <x v="9"/>
    <s v="Tammiku kodu"/>
    <s v="Pereõe külastus"/>
    <x v="14"/>
    <s v="Riina Sinisoo 1x kuus                                  "/>
    <x v="9"/>
    <s v="Meditsiinikulud ja hügieenitarbed"/>
    <n v="55"/>
    <x v="0"/>
    <x v="0"/>
    <x v="0"/>
    <x v="0"/>
  </r>
  <r>
    <x v="9"/>
    <x v="88"/>
    <x v="85"/>
    <x v="34"/>
    <x v="9"/>
    <s v="Tammiku kodu"/>
    <s v="Ravimid"/>
    <x v="343"/>
    <s v="Retsepti-ja vabamüügiravimid             "/>
    <x v="9"/>
    <s v="Meditsiinikulud ja hügieenitarbed"/>
    <n v="55"/>
    <x v="0"/>
    <x v="0"/>
    <x v="0"/>
    <x v="0"/>
  </r>
  <r>
    <x v="9"/>
    <x v="88"/>
    <x v="85"/>
    <x v="34"/>
    <x v="9"/>
    <s v="Tammiku kodu"/>
    <s v="Hügieenitarbed"/>
    <x v="344"/>
    <s v="1x linad, pesemiskindad, mähkmed jm      "/>
    <x v="9"/>
    <s v="Meditsiinikulud ja hügieenitarbed"/>
    <n v="55"/>
    <x v="0"/>
    <x v="0"/>
    <x v="0"/>
    <x v="0"/>
  </r>
  <r>
    <x v="9"/>
    <x v="88"/>
    <x v="85"/>
    <x v="34"/>
    <x v="9"/>
    <s v="Tammiku kodu"/>
    <s v="Haiglatasud"/>
    <x v="32"/>
    <s v="Haigla voodi-ja visiiditasud                           "/>
    <x v="9"/>
    <s v="Meditsiinikulud ja hügieenitarbed"/>
    <n v="55"/>
    <x v="0"/>
    <x v="0"/>
    <x v="0"/>
    <x v="0"/>
  </r>
  <r>
    <x v="9"/>
    <x v="88"/>
    <x v="85"/>
    <x v="34"/>
    <x v="9"/>
    <s v="Tammiku kodu"/>
    <s v="Üritused, sünnipäevad, esinejad"/>
    <x v="14"/>
    <m/>
    <x v="22"/>
    <s v="Kommunikatsiooni-, kultuuri- ja vaba aja sisustamise kulud"/>
    <n v="55"/>
    <x v="0"/>
    <x v="0"/>
    <x v="0"/>
    <x v="0"/>
  </r>
  <r>
    <x v="9"/>
    <x v="88"/>
    <x v="85"/>
    <x v="34"/>
    <x v="9"/>
    <s v="Tammiku kodu"/>
    <s v="Ettenägematud soetused"/>
    <x v="301"/>
    <m/>
    <x v="1"/>
    <s v="Mitmesugused majanduskulud"/>
    <n v="55"/>
    <x v="0"/>
    <x v="0"/>
    <x v="0"/>
    <x v="0"/>
  </r>
  <r>
    <x v="9"/>
    <x v="88"/>
    <x v="85"/>
    <x v="34"/>
    <x v="9"/>
    <s v="Tammiku kodu"/>
    <s v="küte"/>
    <x v="10"/>
    <s v="35 m2 puid Tammiku Kodule                           "/>
    <x v="4"/>
    <s v="Kinnistute, hoonete ja ruumide majandamiskulud"/>
    <n v="55"/>
    <x v="0"/>
    <x v="0"/>
    <x v="0"/>
    <x v="0"/>
  </r>
  <r>
    <x v="9"/>
    <x v="88"/>
    <x v="85"/>
    <x v="34"/>
    <x v="9"/>
    <s v="Tammiku kodu"/>
    <s v="elekter"/>
    <x v="345"/>
    <s v="Obja k peamaja ja 2 korterit Roelas             "/>
    <x v="4"/>
    <s v="Kinnistute, hoonete ja ruumide majandamiskulud"/>
    <n v="55"/>
    <x v="0"/>
    <x v="0"/>
    <x v="0"/>
    <x v="0"/>
  </r>
  <r>
    <x v="9"/>
    <x v="88"/>
    <x v="85"/>
    <x v="34"/>
    <x v="9"/>
    <s v="Tammiku kodu"/>
    <s v="vesi ja kanalisatsioon"/>
    <x v="346"/>
    <s v="Fixum 230 eurot kuus                                                      "/>
    <x v="4"/>
    <s v="Kinnistute, hoonete ja ruumide majandamiskulud"/>
    <n v="55"/>
    <x v="0"/>
    <x v="0"/>
    <x v="0"/>
    <x v="0"/>
  </r>
  <r>
    <x v="9"/>
    <x v="88"/>
    <x v="85"/>
    <x v="34"/>
    <x v="9"/>
    <s v="Tammiku kodu"/>
    <s v="korrashoiuvahendid, voodipesud, käterätid jms"/>
    <x v="347"/>
    <s v="pesuvahendid, puhastustarbed jm         "/>
    <x v="4"/>
    <s v="Kinnistute, hoonete ja ruumide majandamiskulud"/>
    <n v="55"/>
    <x v="0"/>
    <x v="0"/>
    <x v="0"/>
    <x v="0"/>
  </r>
  <r>
    <x v="9"/>
    <x v="88"/>
    <x v="85"/>
    <x v="34"/>
    <x v="9"/>
    <s v="Tammiku kodu"/>
    <s v="KÜ maksud"/>
    <x v="348"/>
    <s v="Järve 2-10 ja Järve 6-21          "/>
    <x v="4"/>
    <s v="Kinnistute, hoonete ja ruumide majandamiskulud"/>
    <n v="55"/>
    <x v="0"/>
    <x v="0"/>
    <x v="0"/>
    <x v="0"/>
  </r>
  <r>
    <x v="9"/>
    <x v="88"/>
    <x v="85"/>
    <x v="34"/>
    <x v="9"/>
    <s v="Tammiku kodu"/>
    <s v="Valve ATS hooldus"/>
    <x v="88"/>
    <s v="4x72 GAS Eesti                                            "/>
    <x v="4"/>
    <s v="Kinnistute, hoonete ja ruumide majandamiskulud"/>
    <n v="55"/>
    <x v="0"/>
    <x v="0"/>
    <x v="0"/>
    <x v="0"/>
  </r>
  <r>
    <x v="9"/>
    <x v="88"/>
    <x v="85"/>
    <x v="34"/>
    <x v="9"/>
    <s v="Tammiku kodu"/>
    <s v="vee analüüsid"/>
    <x v="120"/>
    <s v="Terviseamet                                               "/>
    <x v="4"/>
    <s v="Kinnistute, hoonete ja ruumide majandamiskulud"/>
    <n v="55"/>
    <x v="0"/>
    <x v="0"/>
    <x v="0"/>
    <x v="0"/>
  </r>
  <r>
    <x v="9"/>
    <x v="88"/>
    <x v="85"/>
    <x v="34"/>
    <x v="9"/>
    <s v="Tammiku kodu"/>
    <s v="korstna-ja ventilatsiooni puhastus"/>
    <x v="349"/>
    <s v="Päästeameti nõue                                         "/>
    <x v="4"/>
    <s v="Kinnistute, hoonete ja ruumide majandamiskulud"/>
    <n v="55"/>
    <x v="0"/>
    <x v="0"/>
    <x v="0"/>
    <x v="0"/>
  </r>
  <r>
    <x v="9"/>
    <x v="88"/>
    <x v="85"/>
    <x v="34"/>
    <x v="9"/>
    <s v="Tammiku kodu"/>
    <s v="kahjuritõrje, prügi"/>
    <x v="350"/>
    <s v="Rentokil 35x4, prügi 13x12                 "/>
    <x v="4"/>
    <s v="Kinnistute, hoonete ja ruumide majandamiskulud"/>
    <n v="55"/>
    <x v="0"/>
    <x v="0"/>
    <x v="0"/>
    <x v="0"/>
  </r>
  <r>
    <x v="9"/>
    <x v="88"/>
    <x v="85"/>
    <x v="34"/>
    <x v="9"/>
    <s v="Tammiku kodu"/>
    <s v="kütus muruniidukile, niiduki õli ja remont"/>
    <x v="216"/>
    <s v="20 l kuus 240, õli, remont 150                                                                   "/>
    <x v="4"/>
    <s v="Kinnistute, hoonete ja ruumide majandamiskulud"/>
    <n v="55"/>
    <x v="0"/>
    <x v="0"/>
    <x v="0"/>
    <x v="0"/>
  </r>
  <r>
    <x v="9"/>
    <x v="88"/>
    <x v="85"/>
    <x v="34"/>
    <x v="9"/>
    <s v="Tammiku kodu"/>
    <s v="TV, arvutid"/>
    <x v="97"/>
    <m/>
    <x v="5"/>
    <s v="Info- ja kommunikatsioonitehnoliigised kulud"/>
    <n v="55"/>
    <x v="0"/>
    <x v="0"/>
    <x v="0"/>
    <x v="0"/>
  </r>
  <r>
    <x v="9"/>
    <x v="89"/>
    <x v="86"/>
    <x v="34"/>
    <x v="9"/>
    <s v="Arendusnõunik"/>
    <s v="Ulvi Kodu rekonstrueerimine"/>
    <x v="351"/>
    <m/>
    <x v="12"/>
    <s v="Rajatiste ja hoonete soetamine ja renoveerimine"/>
    <n v="15"/>
    <x v="3"/>
    <x v="3"/>
    <x v="3"/>
    <x v="2"/>
  </r>
  <r>
    <x v="9"/>
    <x v="89"/>
    <x v="86"/>
    <x v="34"/>
    <x v="9"/>
    <s v="Arendusnõunik"/>
    <s v="Ulvi Kodu rekonstrueerimine"/>
    <x v="352"/>
    <s v="Rah.Min EL HKS (heitmekaubanduse süsteem)"/>
    <x v="26"/>
    <s v="Põhivara soetuseks saadav sihtfinantseerimine"/>
    <n v="3502"/>
    <x v="6"/>
    <x v="10"/>
    <x v="13"/>
    <x v="2"/>
  </r>
  <r>
    <x v="9"/>
    <x v="89"/>
    <x v="86"/>
    <x v="34"/>
    <x v="9"/>
    <s v="Ulvi kodu"/>
    <s v="bürootarbed"/>
    <x v="11"/>
    <m/>
    <x v="0"/>
    <s v="Administreerimiskulud"/>
    <n v="55"/>
    <x v="0"/>
    <x v="0"/>
    <x v="0"/>
    <x v="0"/>
  </r>
  <r>
    <x v="9"/>
    <x v="89"/>
    <x v="86"/>
    <x v="34"/>
    <x v="9"/>
    <s v="Ulvi kodu"/>
    <s v="ajalehed( virumaa teataja, kodutohter "/>
    <x v="193"/>
    <m/>
    <x v="0"/>
    <s v="Administreerimiskulud"/>
    <n v="55"/>
    <x v="0"/>
    <x v="0"/>
    <x v="0"/>
    <x v="0"/>
  </r>
  <r>
    <x v="9"/>
    <x v="89"/>
    <x v="86"/>
    <x v="34"/>
    <x v="9"/>
    <s v="Ulvi kodu"/>
    <s v="esinduskulu"/>
    <x v="41"/>
    <m/>
    <x v="0"/>
    <s v="Administreerimiskulud"/>
    <n v="55"/>
    <x v="0"/>
    <x v="0"/>
    <x v="0"/>
    <x v="0"/>
  </r>
  <r>
    <x v="9"/>
    <x v="89"/>
    <x v="86"/>
    <x v="34"/>
    <x v="9"/>
    <s v="Ulvi kodu"/>
    <s v="koolitused"/>
    <x v="38"/>
    <m/>
    <x v="2"/>
    <s v="Koolituskulud"/>
    <n v="55"/>
    <x v="0"/>
    <x v="0"/>
    <x v="0"/>
    <x v="0"/>
  </r>
  <r>
    <x v="9"/>
    <x v="89"/>
    <x v="86"/>
    <x v="34"/>
    <x v="9"/>
    <s v="Ulvi kodu"/>
    <s v="isikliku sõiduauto komp."/>
    <x v="268"/>
    <s v="sõidukite kulud 11kuud * 150"/>
    <x v="3"/>
    <s v="Sõidukite ülalpidamise kulud"/>
    <n v="55"/>
    <x v="0"/>
    <x v="0"/>
    <x v="0"/>
    <x v="0"/>
  </r>
  <r>
    <x v="9"/>
    <x v="89"/>
    <x v="86"/>
    <x v="34"/>
    <x v="9"/>
    <s v="Ulvi kodu"/>
    <s v="voodikapp lauaga 2 tk  "/>
    <x v="20"/>
    <m/>
    <x v="8"/>
    <s v="Inventari kulud, v.a infotehnoloogia ja kaitseotstarbelised kulud"/>
    <n v="55"/>
    <x v="0"/>
    <x v="0"/>
    <x v="0"/>
    <x v="0"/>
  </r>
  <r>
    <x v="9"/>
    <x v="89"/>
    <x v="86"/>
    <x v="34"/>
    <x v="9"/>
    <s v="Ulvi kodu"/>
    <s v="riidekapp 1 tk"/>
    <x v="285"/>
    <m/>
    <x v="8"/>
    <s v="Inventari kulud, v.a infotehnoloogia ja kaitseotstarbelised kulud"/>
    <n v="55"/>
    <x v="0"/>
    <x v="0"/>
    <x v="0"/>
    <x v="0"/>
  </r>
  <r>
    <x v="9"/>
    <x v="89"/>
    <x v="86"/>
    <x v="34"/>
    <x v="9"/>
    <s v="Ulvi kodu"/>
    <s v="voodipesu 30"/>
    <x v="20"/>
    <m/>
    <x v="8"/>
    <s v="Inventari kulud, v.a infotehnoloogia ja kaitseotstarbelised kulud"/>
    <n v="55"/>
    <x v="0"/>
    <x v="0"/>
    <x v="0"/>
    <x v="0"/>
  </r>
  <r>
    <x v="9"/>
    <x v="89"/>
    <x v="86"/>
    <x v="34"/>
    <x v="9"/>
    <s v="Ulvi kodu"/>
    <s v="köögitarvikud (potid, pannid) kööki, hooldus, remont"/>
    <x v="2"/>
    <m/>
    <x v="8"/>
    <s v="Inventari kulud, v.a infotehnoloogia ja kaitseotstarbelised kulud"/>
    <n v="55"/>
    <x v="0"/>
    <x v="0"/>
    <x v="0"/>
    <x v="0"/>
  </r>
  <r>
    <x v="9"/>
    <x v="89"/>
    <x v="86"/>
    <x v="34"/>
    <x v="9"/>
    <s v="Ulvi kodu"/>
    <s v="nõudepesumasin"/>
    <x v="69"/>
    <s v="Lisavajadustes"/>
    <x v="8"/>
    <s v="Inventari kulud, v.a infotehnoloogia ja kaitseotstarbelised kulud"/>
    <n v="55"/>
    <x v="0"/>
    <x v="0"/>
    <x v="0"/>
    <x v="0"/>
  </r>
  <r>
    <x v="9"/>
    <x v="89"/>
    <x v="86"/>
    <x v="34"/>
    <x v="9"/>
    <s v="Ulvi kodu"/>
    <s v="madrats 2tk"/>
    <x v="41"/>
    <m/>
    <x v="8"/>
    <s v="Inventari kulud, v.a infotehnoloogia ja kaitseotstarbelised kulud"/>
    <n v="55"/>
    <x v="0"/>
    <x v="0"/>
    <x v="0"/>
    <x v="0"/>
  </r>
  <r>
    <x v="9"/>
    <x v="89"/>
    <x v="86"/>
    <x v="34"/>
    <x v="9"/>
    <s v="Ulvi kodu"/>
    <s v="pesukuivati"/>
    <x v="69"/>
    <s v="Lisavajadustes"/>
    <x v="8"/>
    <s v="Inventari kulud, v.a infotehnoloogia ja kaitseotstarbelised kulud"/>
    <n v="55"/>
    <x v="0"/>
    <x v="0"/>
    <x v="0"/>
    <x v="0"/>
  </r>
  <r>
    <x v="9"/>
    <x v="89"/>
    <x v="86"/>
    <x v="34"/>
    <x v="9"/>
    <s v="Ulvi kodu"/>
    <s v="Toiduained"/>
    <x v="353"/>
    <m/>
    <x v="30"/>
    <s v="Toiduained ja toitlustusteenused"/>
    <n v="55"/>
    <x v="0"/>
    <x v="0"/>
    <x v="0"/>
    <x v="0"/>
  </r>
  <r>
    <x v="9"/>
    <x v="89"/>
    <x v="86"/>
    <x v="34"/>
    <x v="9"/>
    <s v="Ulvi kodu"/>
    <s v="Personalitoit"/>
    <x v="111"/>
    <m/>
    <x v="30"/>
    <s v="Toiduained ja toitlustusteenused"/>
    <n v="55"/>
    <x v="0"/>
    <x v="0"/>
    <x v="0"/>
    <x v="0"/>
  </r>
  <r>
    <x v="9"/>
    <x v="89"/>
    <x v="86"/>
    <x v="34"/>
    <x v="9"/>
    <s v="Ulvi kodu"/>
    <s v="Ravimid, mähkmed"/>
    <x v="41"/>
    <m/>
    <x v="9"/>
    <s v="Meditsiinikulud ja hügieenitarbed"/>
    <n v="55"/>
    <x v="0"/>
    <x v="0"/>
    <x v="0"/>
    <x v="0"/>
  </r>
  <r>
    <x v="9"/>
    <x v="89"/>
    <x v="86"/>
    <x v="34"/>
    <x v="9"/>
    <s v="Ulvi kodu"/>
    <s v="kaldtee "/>
    <x v="69"/>
    <s v="Lisavajadustes"/>
    <x v="4"/>
    <s v="Kinnistute, hoonete ja ruumide majandamiskulud"/>
    <n v="55"/>
    <x v="0"/>
    <x v="0"/>
    <x v="0"/>
    <x v="0"/>
  </r>
  <r>
    <x v="9"/>
    <x v="89"/>
    <x v="86"/>
    <x v="34"/>
    <x v="9"/>
    <s v="Ulvi kodu"/>
    <s v="üritused, huvitegevus, lilled"/>
    <x v="83"/>
    <m/>
    <x v="22"/>
    <s v="Kommunikatsiooni-, kultuuri- ja vaba aja sisustamise kulud"/>
    <n v="55"/>
    <x v="0"/>
    <x v="0"/>
    <x v="0"/>
    <x v="0"/>
  </r>
  <r>
    <x v="9"/>
    <x v="89"/>
    <x v="86"/>
    <x v="34"/>
    <x v="9"/>
    <s v="Ulvi kodu"/>
    <s v="Tööriided  "/>
    <x v="2"/>
    <m/>
    <x v="16"/>
    <s v="Eri- ja vormiriietus"/>
    <n v="55"/>
    <x v="0"/>
    <x v="0"/>
    <x v="0"/>
    <x v="0"/>
  </r>
  <r>
    <x v="9"/>
    <x v="89"/>
    <x v="86"/>
    <x v="34"/>
    <x v="9"/>
    <s v="Ulvi kodu"/>
    <s v="sõiduabi (transport haiglast koju)"/>
    <x v="32"/>
    <m/>
    <x v="39"/>
    <s v="Sotsiaalteenused"/>
    <n v="55"/>
    <x v="0"/>
    <x v="0"/>
    <x v="0"/>
    <x v="0"/>
  </r>
  <r>
    <x v="9"/>
    <x v="89"/>
    <x v="86"/>
    <x v="34"/>
    <x v="9"/>
    <s v="Ulvi kodu"/>
    <s v="tervishoiuteenuse ostmine ( pereõde)"/>
    <x v="14"/>
    <s v="uus teenus"/>
    <x v="39"/>
    <s v="Sotsiaalteenused"/>
    <n v="55"/>
    <x v="0"/>
    <x v="0"/>
    <x v="0"/>
    <x v="0"/>
  </r>
  <r>
    <x v="9"/>
    <x v="89"/>
    <x v="86"/>
    <x v="34"/>
    <x v="9"/>
    <s v="Ulvi kodu"/>
    <s v="soojusenergia ( küte)"/>
    <x v="151"/>
    <m/>
    <x v="4"/>
    <s v="Kinnistute, hoonete ja ruumide majandamiskulud"/>
    <n v="55"/>
    <x v="0"/>
    <x v="0"/>
    <x v="0"/>
    <x v="0"/>
  </r>
  <r>
    <x v="9"/>
    <x v="89"/>
    <x v="86"/>
    <x v="34"/>
    <x v="9"/>
    <s v="Ulvi kodu"/>
    <s v="elekter"/>
    <x v="115"/>
    <m/>
    <x v="4"/>
    <s v="Kinnistute, hoonete ja ruumide majandamiskulud"/>
    <n v="55"/>
    <x v="0"/>
    <x v="0"/>
    <x v="0"/>
    <x v="0"/>
  </r>
  <r>
    <x v="9"/>
    <x v="89"/>
    <x v="86"/>
    <x v="34"/>
    <x v="9"/>
    <s v="Ulvi kodu"/>
    <s v="vesi ja kanalisatsioon"/>
    <x v="163"/>
    <m/>
    <x v="4"/>
    <s v="Kinnistute, hoonete ja ruumide majandamiskulud"/>
    <n v="55"/>
    <x v="0"/>
    <x v="0"/>
    <x v="0"/>
    <x v="0"/>
  </r>
  <r>
    <x v="9"/>
    <x v="89"/>
    <x v="86"/>
    <x v="34"/>
    <x v="9"/>
    <s v="Ulvi kodu"/>
    <s v="korrashoid ja remont tubades"/>
    <x v="14"/>
    <m/>
    <x v="4"/>
    <s v="Kinnistute, hoonete ja ruumide majandamiskulud"/>
    <n v="55"/>
    <x v="0"/>
    <x v="0"/>
    <x v="0"/>
    <x v="0"/>
  </r>
  <r>
    <x v="9"/>
    <x v="89"/>
    <x v="86"/>
    <x v="34"/>
    <x v="9"/>
    <s v="Ulvi kodu"/>
    <s v="prügi vedu+energia kontroll)"/>
    <x v="65"/>
    <m/>
    <x v="4"/>
    <s v="Kinnistute, hoonete ja ruumide majandamiskulud"/>
    <n v="55"/>
    <x v="0"/>
    <x v="0"/>
    <x v="0"/>
    <x v="0"/>
  </r>
  <r>
    <x v="9"/>
    <x v="89"/>
    <x v="86"/>
    <x v="34"/>
    <x v="9"/>
    <s v="Ulvi kodu"/>
    <s v="ruumide korrashoid, pesu pesemine"/>
    <x v="115"/>
    <m/>
    <x v="4"/>
    <s v="Kinnistute, hoonete ja ruumide majandamiskulud"/>
    <n v="55"/>
    <x v="0"/>
    <x v="0"/>
    <x v="0"/>
    <x v="0"/>
  </r>
  <r>
    <x v="9"/>
    <x v="89"/>
    <x v="86"/>
    <x v="34"/>
    <x v="9"/>
    <s v="Ulvi kodu"/>
    <s v="ettevõttekindlustus"/>
    <x v="216"/>
    <m/>
    <x v="4"/>
    <s v="Kinnistute, hoonete ja ruumide majandamiskulud"/>
    <n v="55"/>
    <x v="0"/>
    <x v="0"/>
    <x v="0"/>
    <x v="0"/>
  </r>
  <r>
    <x v="9"/>
    <x v="89"/>
    <x v="86"/>
    <x v="34"/>
    <x v="9"/>
    <s v="Ulvi kodu"/>
    <s v="internet ja teler, telefon"/>
    <x v="38"/>
    <m/>
    <x v="5"/>
    <s v="Info- ja kommunikatsioonitehnoliigised kulud"/>
    <n v="55"/>
    <x v="0"/>
    <x v="0"/>
    <x v="0"/>
    <x v="0"/>
  </r>
  <r>
    <x v="9"/>
    <x v="89"/>
    <x v="86"/>
    <x v="34"/>
    <x v="9"/>
    <s v="Ulvi kodu"/>
    <s v="tarkvara hooldus"/>
    <x v="0"/>
    <m/>
    <x v="5"/>
    <s v="Info- ja kommunikatsioonitehnoliigised kulud"/>
    <n v="55"/>
    <x v="0"/>
    <x v="0"/>
    <x v="0"/>
    <x v="0"/>
  </r>
  <r>
    <x v="9"/>
    <x v="89"/>
    <x v="86"/>
    <x v="34"/>
    <x v="9"/>
    <s v="Ulvi kodu"/>
    <s v="Personalitoit"/>
    <x v="354"/>
    <s v="Töötajad tasuvad ise tagasi"/>
    <x v="30"/>
    <s v="Toiduained ja toitlustusteenused"/>
    <n v="55"/>
    <x v="0"/>
    <x v="0"/>
    <x v="0"/>
    <x v="0"/>
  </r>
  <r>
    <x v="9"/>
    <x v="89"/>
    <x v="86"/>
    <x v="34"/>
    <x v="9"/>
    <s v="Ulvi kodu"/>
    <s v="Ravimid, mähkmed"/>
    <x v="29"/>
    <m/>
    <x v="9"/>
    <s v="Meditsiinikulud ja hügieenitarbed"/>
    <n v="55"/>
    <x v="0"/>
    <x v="0"/>
    <x v="0"/>
    <x v="0"/>
  </r>
  <r>
    <x v="9"/>
    <x v="89"/>
    <x v="86"/>
    <x v="34"/>
    <x v="9"/>
    <s v="Ulvi kodu"/>
    <s v="Ravimid, mähkmed"/>
    <x v="355"/>
    <s v="Kulu kaetakse hooldajate pere poolt"/>
    <x v="9"/>
    <s v="Meditsiinikulud ja hügieenitarbed"/>
    <n v="55"/>
    <x v="0"/>
    <x v="0"/>
    <x v="0"/>
    <x v="0"/>
  </r>
  <r>
    <x v="9"/>
    <x v="90"/>
    <x v="87"/>
    <x v="34"/>
    <x v="9"/>
    <s v="Sotsiaalosakond"/>
    <s v="Üldtüüpi hooldekodusse paigut.in.ülalp.kulud"/>
    <x v="84"/>
    <m/>
    <x v="39"/>
    <s v="Sotsiaalteenused"/>
    <n v="55"/>
    <x v="0"/>
    <x v="0"/>
    <x v="0"/>
    <x v="0"/>
  </r>
  <r>
    <x v="9"/>
    <x v="91"/>
    <x v="88"/>
    <x v="34"/>
    <x v="9"/>
    <s v="Vinni Päevakeskus"/>
    <s v="tahm, paber"/>
    <x v="290"/>
    <m/>
    <x v="0"/>
    <s v="Administreerimiskulud"/>
    <n v="55"/>
    <x v="0"/>
    <x v="0"/>
    <x v="0"/>
    <x v="0"/>
  </r>
  <r>
    <x v="9"/>
    <x v="91"/>
    <x v="88"/>
    <x v="34"/>
    <x v="9"/>
    <s v="Vinni Päevakeskus"/>
    <s v="ajakirjad (Tervendaja ja 60+)"/>
    <x v="1"/>
    <m/>
    <x v="0"/>
    <s v="Administreerimiskulud"/>
    <n v="55"/>
    <x v="0"/>
    <x v="0"/>
    <x v="0"/>
    <x v="0"/>
  </r>
  <r>
    <x v="9"/>
    <x v="91"/>
    <x v="88"/>
    <x v="34"/>
    <x v="9"/>
    <s v="Vinni Päevakeskus"/>
    <s v="lilled"/>
    <x v="41"/>
    <m/>
    <x v="0"/>
    <s v="Administreerimiskulud"/>
    <n v="55"/>
    <x v="0"/>
    <x v="0"/>
    <x v="0"/>
    <x v="0"/>
  </r>
  <r>
    <x v="9"/>
    <x v="91"/>
    <x v="88"/>
    <x v="34"/>
    <x v="9"/>
    <s v="Vinni Päevakeskus"/>
    <s v="Koolituskulud"/>
    <x v="1"/>
    <m/>
    <x v="2"/>
    <s v="Koolituskulud"/>
    <n v="55"/>
    <x v="0"/>
    <x v="0"/>
    <x v="0"/>
    <x v="0"/>
  </r>
  <r>
    <x v="9"/>
    <x v="91"/>
    <x v="88"/>
    <x v="34"/>
    <x v="9"/>
    <s v="Vinni Päevakeskus"/>
    <s v="Isikliku sõiduauto komp."/>
    <x v="220"/>
    <m/>
    <x v="3"/>
    <s v="Sõidukite ülalpidamise kulud"/>
    <n v="55"/>
    <x v="0"/>
    <x v="0"/>
    <x v="0"/>
    <x v="0"/>
  </r>
  <r>
    <x v="9"/>
    <x v="91"/>
    <x v="88"/>
    <x v="34"/>
    <x v="9"/>
    <s v="Vinni Päevakeskus"/>
    <s v="eakate päev, jõulud ja kevadpidu"/>
    <x v="41"/>
    <m/>
    <x v="22"/>
    <s v="Kommunikatsiooni-, kultuuri- ja vaba aja sisustamise kulud"/>
    <n v="55"/>
    <x v="0"/>
    <x v="0"/>
    <x v="0"/>
    <x v="0"/>
  </r>
  <r>
    <x v="9"/>
    <x v="91"/>
    <x v="88"/>
    <x v="34"/>
    <x v="9"/>
    <s v="Vinni Päevakeskus"/>
    <s v="käeline tegevus (materjalid)"/>
    <x v="0"/>
    <m/>
    <x v="22"/>
    <s v="Kommunikatsiooni-, kultuuri- ja vaba aja sisustamise kulud"/>
    <n v="55"/>
    <x v="0"/>
    <x v="0"/>
    <x v="0"/>
    <x v="0"/>
  </r>
  <r>
    <x v="9"/>
    <x v="91"/>
    <x v="88"/>
    <x v="34"/>
    <x v="9"/>
    <s v="Vinni Päevakeskus"/>
    <s v="mälutreening 2xkuus, 16x40,00"/>
    <x v="271"/>
    <m/>
    <x v="22"/>
    <s v="Kommunikatsiooni-, kultuuri- ja vaba aja sisustamise kulud"/>
    <n v="55"/>
    <x v="0"/>
    <x v="0"/>
    <x v="0"/>
    <x v="0"/>
  </r>
  <r>
    <x v="9"/>
    <x v="91"/>
    <x v="88"/>
    <x v="34"/>
    <x v="9"/>
    <s v="Vinni Päevakeskus"/>
    <s v="võimlemine 4x kuus, 30x 45,00"/>
    <x v="356"/>
    <m/>
    <x v="22"/>
    <s v="Kommunikatsiooni-, kultuuri- ja vaba aja sisustamise kulud"/>
    <n v="55"/>
    <x v="0"/>
    <x v="0"/>
    <x v="0"/>
    <x v="0"/>
  </r>
  <r>
    <x v="9"/>
    <x v="91"/>
    <x v="88"/>
    <x v="34"/>
    <x v="9"/>
    <s v="Vinni Päevakeskus"/>
    <s v="laulmine"/>
    <x v="2"/>
    <m/>
    <x v="22"/>
    <s v="Kommunikatsiooni-, kultuuri- ja vaba aja sisustamise kulud"/>
    <n v="55"/>
    <x v="0"/>
    <x v="0"/>
    <x v="0"/>
    <x v="0"/>
  </r>
  <r>
    <x v="9"/>
    <x v="91"/>
    <x v="88"/>
    <x v="34"/>
    <x v="9"/>
    <s v="Vinni Päevakeskus"/>
    <s v="ettearvamatud"/>
    <x v="0"/>
    <m/>
    <x v="4"/>
    <s v="Kinnistute, hoonete ja ruumide majandamiskulud"/>
    <n v="55"/>
    <x v="0"/>
    <x v="0"/>
    <x v="0"/>
    <x v="0"/>
  </r>
  <r>
    <x v="9"/>
    <x v="91"/>
    <x v="88"/>
    <x v="34"/>
    <x v="9"/>
    <s v="Vinni Päevakeskus"/>
    <s v="vesi ja kanalisatsioon"/>
    <x v="1"/>
    <m/>
    <x v="4"/>
    <s v="Kinnistute, hoonete ja ruumide majandamiskulud"/>
    <n v="55"/>
    <x v="0"/>
    <x v="0"/>
    <x v="0"/>
    <x v="0"/>
  </r>
  <r>
    <x v="9"/>
    <x v="91"/>
    <x v="88"/>
    <x v="34"/>
    <x v="9"/>
    <s v="Vinni Päevakeskus"/>
    <s v="puhastus vahendid"/>
    <x v="1"/>
    <m/>
    <x v="4"/>
    <s v="Kinnistute, hoonete ja ruumide majandamiskulud"/>
    <n v="55"/>
    <x v="0"/>
    <x v="0"/>
    <x v="0"/>
    <x v="0"/>
  </r>
  <r>
    <x v="9"/>
    <x v="92"/>
    <x v="80"/>
    <x v="35"/>
    <x v="9"/>
    <s v="Sotsiaalosakond"/>
    <s v="Hooldustöötaja el.auto hooldus, remont, jms"/>
    <x v="14"/>
    <s v="sh. Kredex laadimistasud"/>
    <x v="3"/>
    <s v="Sõidukite ülalpidamise kulud"/>
    <n v="55"/>
    <x v="0"/>
    <x v="0"/>
    <x v="0"/>
    <x v="0"/>
  </r>
  <r>
    <x v="9"/>
    <x v="92"/>
    <x v="80"/>
    <x v="35"/>
    <x v="9"/>
    <s v="Sotsiaalosakond"/>
    <s v="Hooldustöötajate koolitused"/>
    <x v="20"/>
    <m/>
    <x v="2"/>
    <s v="Koolituskulud"/>
    <n v="55"/>
    <x v="0"/>
    <x v="0"/>
    <x v="0"/>
    <x v="0"/>
  </r>
  <r>
    <x v="9"/>
    <x v="92"/>
    <x v="80"/>
    <x v="35"/>
    <x v="9"/>
    <s v="Sotsiaalosakond"/>
    <s v="Inventar"/>
    <x v="65"/>
    <s v="el.jalgratta hooldus( akud) jms"/>
    <x v="8"/>
    <s v="Inventari kulud, v.a infotehnoloogia ja kaitseotstarbelised kulud"/>
    <n v="55"/>
    <x v="0"/>
    <x v="0"/>
    <x v="0"/>
    <x v="0"/>
  </r>
  <r>
    <x v="9"/>
    <x v="93"/>
    <x v="89"/>
    <x v="35"/>
    <x v="9"/>
    <s v="Sotsiaalosakond"/>
    <s v="Ühekordsed toetused"/>
    <x v="357"/>
    <m/>
    <x v="40"/>
    <s v="Toetused eakatele"/>
    <n v="413"/>
    <x v="10"/>
    <x v="1"/>
    <x v="15"/>
    <x v="0"/>
  </r>
  <r>
    <x v="9"/>
    <x v="94"/>
    <x v="90"/>
    <x v="35"/>
    <x v="9"/>
    <s v="Sotsiaalosakond"/>
    <s v="Juubelitoetused (+ lilled)"/>
    <x v="358"/>
    <m/>
    <x v="40"/>
    <s v="Toetused eakatele"/>
    <n v="413"/>
    <x v="10"/>
    <x v="1"/>
    <x v="15"/>
    <x v="0"/>
  </r>
  <r>
    <x v="9"/>
    <x v="95"/>
    <x v="91"/>
    <x v="35"/>
    <x v="9"/>
    <s v="Sotsiaalosakond"/>
    <s v="Täiendav ravimite toetus"/>
    <x v="123"/>
    <m/>
    <x v="40"/>
    <s v="Toetused eakatele"/>
    <n v="413"/>
    <x v="10"/>
    <x v="1"/>
    <x v="15"/>
    <x v="0"/>
  </r>
  <r>
    <x v="9"/>
    <x v="96"/>
    <x v="92"/>
    <x v="36"/>
    <x v="9"/>
    <s v="Vinni Perekodu"/>
    <s v="telefon, internet, TV "/>
    <x v="114"/>
    <m/>
    <x v="0"/>
    <s v="Administreerimiskulud"/>
    <n v="55"/>
    <x v="0"/>
    <x v="0"/>
    <x v="0"/>
    <x v="0"/>
  </r>
  <r>
    <x v="9"/>
    <x v="96"/>
    <x v="92"/>
    <x v="36"/>
    <x v="9"/>
    <s v="Vinni Perekodu"/>
    <s v="postikulu"/>
    <x v="191"/>
    <m/>
    <x v="0"/>
    <s v="Administreerimiskulud"/>
    <n v="55"/>
    <x v="0"/>
    <x v="0"/>
    <x v="0"/>
    <x v="0"/>
  </r>
  <r>
    <x v="9"/>
    <x v="96"/>
    <x v="92"/>
    <x v="36"/>
    <x v="9"/>
    <s v="Vinni Perekodu"/>
    <s v="kantseleikulu"/>
    <x v="106"/>
    <m/>
    <x v="0"/>
    <s v="Administreerimiskulud"/>
    <n v="55"/>
    <x v="0"/>
    <x v="0"/>
    <x v="0"/>
    <x v="0"/>
  </r>
  <r>
    <x v="9"/>
    <x v="96"/>
    <x v="92"/>
    <x v="36"/>
    <x v="9"/>
    <s v="Vinni Perekodu"/>
    <s v="mobiilkõned"/>
    <x v="21"/>
    <m/>
    <x v="0"/>
    <s v="Administreerimiskulud"/>
    <n v="55"/>
    <x v="0"/>
    <x v="0"/>
    <x v="0"/>
    <x v="0"/>
  </r>
  <r>
    <x v="9"/>
    <x v="96"/>
    <x v="92"/>
    <x v="36"/>
    <x v="9"/>
    <s v="Vinni Perekodu"/>
    <s v="koolituste plaan"/>
    <x v="28"/>
    <m/>
    <x v="2"/>
    <s v="Koolituskulud"/>
    <n v="55"/>
    <x v="0"/>
    <x v="0"/>
    <x v="0"/>
    <x v="0"/>
  </r>
  <r>
    <x v="9"/>
    <x v="96"/>
    <x v="92"/>
    <x v="36"/>
    <x v="9"/>
    <s v="Vinni Perekodu"/>
    <s v="liising, kasko"/>
    <x v="42"/>
    <m/>
    <x v="3"/>
    <s v="Sõidukite ülalpidamise kulud"/>
    <n v="55"/>
    <x v="0"/>
    <x v="0"/>
    <x v="0"/>
    <x v="0"/>
  </r>
  <r>
    <x v="9"/>
    <x v="96"/>
    <x v="92"/>
    <x v="36"/>
    <x v="9"/>
    <s v="Vinni Perekodu"/>
    <s v="kütus"/>
    <x v="113"/>
    <m/>
    <x v="3"/>
    <s v="Sõidukite ülalpidamise kulud"/>
    <n v="55"/>
    <x v="0"/>
    <x v="0"/>
    <x v="0"/>
    <x v="0"/>
  </r>
  <r>
    <x v="9"/>
    <x v="96"/>
    <x v="92"/>
    <x v="36"/>
    <x v="9"/>
    <s v="Vinni Perekodu"/>
    <s v="Inventar "/>
    <x v="123"/>
    <m/>
    <x v="8"/>
    <s v="Inventari kulud, v.a infotehnoloogia ja kaitseotstarbelised kulud"/>
    <n v="55"/>
    <x v="0"/>
    <x v="0"/>
    <x v="0"/>
    <x v="0"/>
  </r>
  <r>
    <x v="9"/>
    <x v="96"/>
    <x v="92"/>
    <x v="36"/>
    <x v="9"/>
    <s v="Vinni Perekodu"/>
    <s v="riided , jalanõud"/>
    <x v="359"/>
    <s v="29 last x 40€kuusx 12 kuud"/>
    <x v="8"/>
    <s v="Inventari kulud, v.a infotehnoloogia ja kaitseotstarbelised kulud"/>
    <n v="55"/>
    <x v="0"/>
    <x v="0"/>
    <x v="0"/>
    <x v="0"/>
  </r>
  <r>
    <x v="9"/>
    <x v="96"/>
    <x v="92"/>
    <x v="36"/>
    <x v="9"/>
    <s v="Vinni Perekodu"/>
    <s v="toitlustamine kodus"/>
    <x v="360"/>
    <s v="29 last x 4 € päev x 365 päeva"/>
    <x v="30"/>
    <s v="Toiduained ja toitlustusteenused"/>
    <n v="55"/>
    <x v="0"/>
    <x v="0"/>
    <x v="0"/>
    <x v="0"/>
  </r>
  <r>
    <x v="9"/>
    <x v="96"/>
    <x v="92"/>
    <x v="36"/>
    <x v="9"/>
    <s v="Vinni Perekodu"/>
    <s v="lasteaed, kaugel õppijad, väljas"/>
    <x v="10"/>
    <m/>
    <x v="30"/>
    <s v="Toiduained ja toitlustusteenused"/>
    <n v="55"/>
    <x v="0"/>
    <x v="0"/>
    <x v="0"/>
    <x v="0"/>
  </r>
  <r>
    <x v="9"/>
    <x v="96"/>
    <x v="92"/>
    <x v="36"/>
    <x v="9"/>
    <s v="Vinni Perekodu"/>
    <s v="ravimid, hügieen"/>
    <x v="238"/>
    <m/>
    <x v="9"/>
    <s v="Meditsiinikulud ja hügieenitarbed"/>
    <n v="55"/>
    <x v="0"/>
    <x v="0"/>
    <x v="0"/>
    <x v="0"/>
  </r>
  <r>
    <x v="9"/>
    <x v="96"/>
    <x v="92"/>
    <x v="36"/>
    <x v="9"/>
    <s v="Vinni Perekodu"/>
    <s v="eriarstide vastuvõtt"/>
    <x v="361"/>
    <m/>
    <x v="9"/>
    <s v="Meditsiinikulud ja hügieenitarbed"/>
    <n v="55"/>
    <x v="0"/>
    <x v="0"/>
    <x v="0"/>
    <x v="0"/>
  </r>
  <r>
    <x v="9"/>
    <x v="96"/>
    <x v="92"/>
    <x v="36"/>
    <x v="9"/>
    <s v="Vinni Perekodu"/>
    <s v="kohatasu lasteaed "/>
    <x v="18"/>
    <m/>
    <x v="31"/>
    <s v="Õppevahendid"/>
    <n v="55"/>
    <x v="0"/>
    <x v="0"/>
    <x v="0"/>
    <x v="0"/>
  </r>
  <r>
    <x v="9"/>
    <x v="96"/>
    <x v="92"/>
    <x v="36"/>
    <x v="9"/>
    <s v="Vinni Perekodu"/>
    <s v="sünnipäev, jõulukink"/>
    <x v="41"/>
    <m/>
    <x v="22"/>
    <s v="Kommunikatsiooni-, kultuuri- ja vaba aja sisustamise kulud"/>
    <n v="55"/>
    <x v="0"/>
    <x v="0"/>
    <x v="0"/>
    <x v="0"/>
  </r>
  <r>
    <x v="9"/>
    <x v="96"/>
    <x v="92"/>
    <x v="36"/>
    <x v="9"/>
    <s v="Vinni Perekodu"/>
    <s v="koolide väljasõidud"/>
    <x v="10"/>
    <m/>
    <x v="22"/>
    <s v="Kommunikatsiooni-, kultuuri- ja vaba aja sisustamise kulud"/>
    <n v="55"/>
    <x v="0"/>
    <x v="0"/>
    <x v="0"/>
    <x v="0"/>
  </r>
  <r>
    <x v="9"/>
    <x v="96"/>
    <x v="92"/>
    <x v="36"/>
    <x v="9"/>
    <s v="Vinni Perekodu"/>
    <s v="trenn/hobi"/>
    <x v="362"/>
    <m/>
    <x v="22"/>
    <s v="Kommunikatsiooni-, kultuuri- ja vaba aja sisustamise kulud"/>
    <n v="55"/>
    <x v="0"/>
    <x v="0"/>
    <x v="0"/>
    <x v="0"/>
  </r>
  <r>
    <x v="9"/>
    <x v="96"/>
    <x v="92"/>
    <x v="36"/>
    <x v="9"/>
    <s v="Vinni Perekodu"/>
    <s v="koolitarbed (sh eririietus, ...."/>
    <x v="363"/>
    <s v="29 last  x 15 € x 12 kuud"/>
    <x v="10"/>
    <s v="Teavikud ja kunstiesemed"/>
    <n v="55"/>
    <x v="0"/>
    <x v="0"/>
    <x v="0"/>
    <x v="0"/>
  </r>
  <r>
    <x v="9"/>
    <x v="96"/>
    <x v="92"/>
    <x v="36"/>
    <x v="9"/>
    <s v="Vinni Perekodu"/>
    <s v="2019. aasta eelarve prognoositav jääk"/>
    <x v="364"/>
    <m/>
    <x v="30"/>
    <s v="Toiduained ja toitlustusteenused"/>
    <n v="55"/>
    <x v="0"/>
    <x v="0"/>
    <x v="0"/>
    <x v="0"/>
  </r>
  <r>
    <x v="9"/>
    <x v="96"/>
    <x v="92"/>
    <x v="36"/>
    <x v="9"/>
    <s v="Vinni Perekodu"/>
    <s v="Kohatasud"/>
    <x v="365"/>
    <m/>
    <x v="41"/>
    <s v="Tulud sotsiaalabi teenustest"/>
    <n v="32"/>
    <x v="9"/>
    <x v="11"/>
    <x v="14"/>
    <x v="1"/>
  </r>
  <r>
    <x v="9"/>
    <x v="96"/>
    <x v="92"/>
    <x v="36"/>
    <x v="9"/>
    <s v="Vinni Perekodu"/>
    <s v="Taskurahad"/>
    <x v="16"/>
    <s v="Eelkooliealised"/>
    <x v="42"/>
    <s v="Muud sotsiaalabitoetused ja hüvitised"/>
    <n v="413"/>
    <x v="10"/>
    <x v="1"/>
    <x v="15"/>
    <x v="0"/>
  </r>
  <r>
    <x v="9"/>
    <x v="96"/>
    <x v="92"/>
    <x v="36"/>
    <x v="9"/>
    <s v="Vinni Perekodu"/>
    <s v="Taskurahad"/>
    <x v="366"/>
    <s v="1-4 klassi lapsed"/>
    <x v="42"/>
    <s v="Muud sotsiaalabitoetused ja hüvitised"/>
    <n v="413"/>
    <x v="10"/>
    <x v="1"/>
    <x v="15"/>
    <x v="0"/>
  </r>
  <r>
    <x v="9"/>
    <x v="96"/>
    <x v="92"/>
    <x v="36"/>
    <x v="9"/>
    <s v="Vinni Perekodu"/>
    <s v="Taskurahad"/>
    <x v="367"/>
    <s v="5-.. Lapsed"/>
    <x v="42"/>
    <s v="Muud sotsiaalabitoetused ja hüvitised"/>
    <n v="413"/>
    <x v="10"/>
    <x v="1"/>
    <x v="15"/>
    <x v="0"/>
  </r>
  <r>
    <x v="9"/>
    <x v="96"/>
    <x v="92"/>
    <x v="36"/>
    <x v="9"/>
    <s v="Vinni Perekodu"/>
    <s v="elekter"/>
    <x v="368"/>
    <m/>
    <x v="4"/>
    <s v="Kinnistute, hoonete ja ruumide majandamiskulud"/>
    <n v="55"/>
    <x v="0"/>
    <x v="0"/>
    <x v="0"/>
    <x v="0"/>
  </r>
  <r>
    <x v="9"/>
    <x v="96"/>
    <x v="92"/>
    <x v="36"/>
    <x v="9"/>
    <s v="Vinni Perekodu"/>
    <s v="vesi-kanalisatsioon"/>
    <x v="147"/>
    <m/>
    <x v="4"/>
    <s v="Kinnistute, hoonete ja ruumide majandamiskulud"/>
    <n v="55"/>
    <x v="0"/>
    <x v="0"/>
    <x v="0"/>
    <x v="0"/>
  </r>
  <r>
    <x v="9"/>
    <x v="96"/>
    <x v="92"/>
    <x v="36"/>
    <x v="9"/>
    <s v="Vinni Perekodu"/>
    <s v="korrashoiuvah."/>
    <x v="98"/>
    <m/>
    <x v="4"/>
    <s v="Kinnistute, hoonete ja ruumide majandamiskulud"/>
    <n v="55"/>
    <x v="0"/>
    <x v="0"/>
    <x v="0"/>
    <x v="0"/>
  </r>
  <r>
    <x v="9"/>
    <x v="96"/>
    <x v="92"/>
    <x v="36"/>
    <x v="9"/>
    <s v="Vinni Perekodu"/>
    <s v="ühiselamumaksud"/>
    <x v="65"/>
    <m/>
    <x v="4"/>
    <s v="Kinnistute, hoonete ja ruumide majandamiskulud"/>
    <n v="55"/>
    <x v="0"/>
    <x v="0"/>
    <x v="0"/>
    <x v="0"/>
  </r>
  <r>
    <x v="9"/>
    <x v="96"/>
    <x v="92"/>
    <x v="36"/>
    <x v="9"/>
    <s v="Vinni Perekodu"/>
    <s v="prügi"/>
    <x v="65"/>
    <m/>
    <x v="4"/>
    <s v="Kinnistute, hoonete ja ruumide majandamiskulud"/>
    <n v="55"/>
    <x v="0"/>
    <x v="0"/>
    <x v="0"/>
    <x v="0"/>
  </r>
  <r>
    <x v="9"/>
    <x v="96"/>
    <x v="92"/>
    <x v="36"/>
    <x v="9"/>
    <s v="Vinni Perekodu"/>
    <s v="signalisatsioon"/>
    <x v="196"/>
    <m/>
    <x v="4"/>
    <s v="Kinnistute, hoonete ja ruumide majandamiskulud"/>
    <n v="55"/>
    <x v="0"/>
    <x v="0"/>
    <x v="0"/>
    <x v="0"/>
  </r>
  <r>
    <x v="9"/>
    <x v="96"/>
    <x v="92"/>
    <x v="36"/>
    <x v="9"/>
    <s v="Vinni Perekodu"/>
    <s v="el. Käidu leping"/>
    <x v="20"/>
    <m/>
    <x v="4"/>
    <s v="Kinnistute, hoonete ja ruumide majandamiskulud"/>
    <n v="55"/>
    <x v="0"/>
    <x v="0"/>
    <x v="0"/>
    <x v="0"/>
  </r>
  <r>
    <x v="9"/>
    <x v="96"/>
    <x v="92"/>
    <x v="36"/>
    <x v="9"/>
    <s v="Vinni Perekodu"/>
    <s v="tehnoseadmed"/>
    <x v="369"/>
    <m/>
    <x v="4"/>
    <s v="Kinnistute, hoonete ja ruumide majandamiskulud"/>
    <n v="55"/>
    <x v="0"/>
    <x v="0"/>
    <x v="0"/>
    <x v="0"/>
  </r>
  <r>
    <x v="9"/>
    <x v="97"/>
    <x v="87"/>
    <x v="36"/>
    <x v="9"/>
    <s v="Sotsiaalosakond"/>
    <s v="Keila SOS lastekodu täiendav toetus"/>
    <x v="146"/>
    <m/>
    <x v="23"/>
    <s v="Sihtotstarbelised eraldised muudele residentidele"/>
    <n v="4500"/>
    <x v="1"/>
    <x v="1"/>
    <x v="11"/>
    <x v="0"/>
  </r>
  <r>
    <x v="9"/>
    <x v="97"/>
    <x v="87"/>
    <x v="36"/>
    <x v="9"/>
    <s v="Sotsiaalosakond"/>
    <s v="Sõidukompensatsioon + Porkuni leping"/>
    <x v="370"/>
    <m/>
    <x v="39"/>
    <s v="Sotsiaalteenused"/>
    <n v="55"/>
    <x v="0"/>
    <x v="0"/>
    <x v="0"/>
    <x v="0"/>
  </r>
  <r>
    <x v="9"/>
    <x v="97"/>
    <x v="87"/>
    <x v="36"/>
    <x v="9"/>
    <s v="Sotsiaalosakond"/>
    <s v="L-Viru Suurte perede Ühendus"/>
    <x v="123"/>
    <m/>
    <x v="29"/>
    <s v="Sihtotstarbelised eraldised jooksvateks kuludeks"/>
    <n v="4500"/>
    <x v="1"/>
    <x v="1"/>
    <x v="11"/>
    <x v="0"/>
  </r>
  <r>
    <x v="9"/>
    <x v="97"/>
    <x v="87"/>
    <x v="36"/>
    <x v="9"/>
    <s v="Sotsiaalosakond"/>
    <s v="Vinni Perekodu "/>
    <x v="114"/>
    <m/>
    <x v="39"/>
    <s v="Sotsiaalteenused"/>
    <n v="55"/>
    <x v="0"/>
    <x v="0"/>
    <x v="0"/>
    <x v="0"/>
  </r>
  <r>
    <x v="9"/>
    <x v="97"/>
    <x v="87"/>
    <x v="36"/>
    <x v="9"/>
    <s v="Sotsiaalosakond"/>
    <s v="Tõlgiteenus"/>
    <x v="14"/>
    <m/>
    <x v="39"/>
    <s v="Sotsiaalteenused"/>
    <n v="55"/>
    <x v="0"/>
    <x v="0"/>
    <x v="0"/>
    <x v="0"/>
  </r>
  <r>
    <x v="9"/>
    <x v="97"/>
    <x v="87"/>
    <x v="36"/>
    <x v="9"/>
    <s v="Sotsiaalosakond"/>
    <s v="Asenduskodu+turvakoduteenus"/>
    <x v="14"/>
    <m/>
    <x v="42"/>
    <s v="Muud sotsiaalabitoetused ja hüvitised"/>
    <n v="413"/>
    <x v="10"/>
    <x v="1"/>
    <x v="15"/>
    <x v="0"/>
  </r>
  <r>
    <x v="9"/>
    <x v="97"/>
    <x v="87"/>
    <x v="36"/>
    <x v="9"/>
    <s v="Sotsiaalosakond"/>
    <s v="Asendus- ja järelhooldus-teenuse toetus"/>
    <x v="371"/>
    <s v="Toetusfond"/>
    <x v="39"/>
    <s v="Sotsiaalteenused"/>
    <n v="55"/>
    <x v="0"/>
    <x v="0"/>
    <x v="0"/>
    <x v="0"/>
  </r>
  <r>
    <x v="9"/>
    <x v="97"/>
    <x v="87"/>
    <x v="36"/>
    <x v="9"/>
    <s v="Sotsiaalosakond"/>
    <s v="Toetusfond"/>
    <x v="372"/>
    <s v="Asendus- ja järelhooldus-teenuse toetus"/>
    <x v="15"/>
    <s v="Toetusfond"/>
    <n v="35201"/>
    <x v="4"/>
    <x v="4"/>
    <x v="5"/>
    <x v="1"/>
  </r>
  <r>
    <x v="9"/>
    <x v="98"/>
    <x v="93"/>
    <x v="37"/>
    <x v="9"/>
    <s v="Sotsiaalosakond"/>
    <s v="Matusetoetus"/>
    <x v="373"/>
    <s v="valla poolne finantseering"/>
    <x v="43"/>
    <s v="Matusetoetus"/>
    <n v="413"/>
    <x v="10"/>
    <x v="1"/>
    <x v="15"/>
    <x v="0"/>
  </r>
  <r>
    <x v="9"/>
    <x v="98"/>
    <x v="93"/>
    <x v="37"/>
    <x v="9"/>
    <s v="Sotsiaalosakond"/>
    <s v="Matusetoetus"/>
    <x v="374"/>
    <s v="Toetusfond"/>
    <x v="43"/>
    <s v="Matusetoetus"/>
    <n v="413"/>
    <x v="10"/>
    <x v="1"/>
    <x v="15"/>
    <x v="0"/>
  </r>
  <r>
    <x v="9"/>
    <x v="98"/>
    <x v="93"/>
    <x v="37"/>
    <x v="9"/>
    <s v="Sotsiaalosakond"/>
    <s v="Toetusfond"/>
    <x v="375"/>
    <s v="matusetoetus"/>
    <x v="15"/>
    <s v="Toetusfond"/>
    <n v="35201"/>
    <x v="4"/>
    <x v="4"/>
    <x v="5"/>
    <x v="1"/>
  </r>
  <r>
    <x v="9"/>
    <x v="99"/>
    <x v="94"/>
    <x v="37"/>
    <x v="9"/>
    <s v="Sotsiaalosakond"/>
    <s v="Ranitsatoetus"/>
    <x v="376"/>
    <m/>
    <x v="44"/>
    <s v="Muud peretoetused"/>
    <n v="413"/>
    <x v="10"/>
    <x v="1"/>
    <x v="15"/>
    <x v="0"/>
  </r>
  <r>
    <x v="9"/>
    <x v="99"/>
    <x v="94"/>
    <x v="37"/>
    <x v="9"/>
    <s v="Sotsiaalosakond"/>
    <s v="Ühekorded toetused + perede koolituse toetus"/>
    <x v="148"/>
    <m/>
    <x v="44"/>
    <s v="Muud peretoetused"/>
    <n v="413"/>
    <x v="10"/>
    <x v="1"/>
    <x v="15"/>
    <x v="0"/>
  </r>
  <r>
    <x v="9"/>
    <x v="99"/>
    <x v="94"/>
    <x v="37"/>
    <x v="9"/>
    <s v="Sotsiaalosakond"/>
    <s v="Prillid"/>
    <x v="123"/>
    <m/>
    <x v="44"/>
    <s v="Muud peretoetused"/>
    <n v="413"/>
    <x v="10"/>
    <x v="1"/>
    <x v="15"/>
    <x v="0"/>
  </r>
  <r>
    <x v="9"/>
    <x v="99"/>
    <x v="94"/>
    <x v="37"/>
    <x v="9"/>
    <s v="Sotsiaalosakond"/>
    <s v="Täiendav perede toetus 3 ja enama lapse puhul"/>
    <x v="35"/>
    <m/>
    <x v="44"/>
    <s v="Muud peretoetused"/>
    <n v="413"/>
    <x v="10"/>
    <x v="1"/>
    <x v="15"/>
    <x v="0"/>
  </r>
  <r>
    <x v="9"/>
    <x v="100"/>
    <x v="95"/>
    <x v="37"/>
    <x v="9"/>
    <s v="Sotsiaalosakond"/>
    <s v="tervisega seotud kulutused"/>
    <x v="28"/>
    <m/>
    <x v="44"/>
    <s v="Muud peretoetused"/>
    <n v="413"/>
    <x v="10"/>
    <x v="1"/>
    <x v="15"/>
    <x v="0"/>
  </r>
  <r>
    <x v="9"/>
    <x v="101"/>
    <x v="96"/>
    <x v="37"/>
    <x v="9"/>
    <s v="Sotsiaalosakond"/>
    <s v="Sünnitoetus  "/>
    <x v="201"/>
    <m/>
    <x v="45"/>
    <s v="Sünnitoetus"/>
    <n v="413"/>
    <x v="10"/>
    <x v="1"/>
    <x v="15"/>
    <x v="0"/>
  </r>
  <r>
    <x v="9"/>
    <x v="101"/>
    <x v="96"/>
    <x v="37"/>
    <x v="9"/>
    <s v="Sotsiaalosakond"/>
    <s v="Lusikapidu ja karud"/>
    <x v="377"/>
    <m/>
    <x v="44"/>
    <s v="Muud peretoetused"/>
    <n v="413"/>
    <x v="10"/>
    <x v="1"/>
    <x v="15"/>
    <x v="0"/>
  </r>
  <r>
    <x v="9"/>
    <x v="102"/>
    <x v="97"/>
    <x v="37"/>
    <x v="9"/>
    <s v="Sotsiaalosakond"/>
    <s v="Hoolduspere toetus (tugiisik)"/>
    <x v="42"/>
    <m/>
    <x v="44"/>
    <s v="Muud peretoetused"/>
    <n v="413"/>
    <x v="10"/>
    <x v="1"/>
    <x v="15"/>
    <x v="0"/>
  </r>
  <r>
    <x v="9"/>
    <x v="102"/>
    <x v="97"/>
    <x v="37"/>
    <x v="9"/>
    <s v="Sotsiaalosakond"/>
    <s v="Tugiisiku teenus"/>
    <x v="163"/>
    <s v="200x12 Mari-Liisa"/>
    <x v="44"/>
    <s v="Muud peretoetused"/>
    <n v="413"/>
    <x v="10"/>
    <x v="1"/>
    <x v="15"/>
    <x v="0"/>
  </r>
  <r>
    <x v="9"/>
    <x v="103"/>
    <x v="98"/>
    <x v="37"/>
    <x v="9"/>
    <s v="Sotsiaalosakond"/>
    <s v="Laagritoetus"/>
    <x v="378"/>
    <s v="16 x 110 madala sissetulekuga pere last"/>
    <x v="44"/>
    <s v="Muud peretoetused"/>
    <n v="413"/>
    <x v="10"/>
    <x v="1"/>
    <x v="15"/>
    <x v="0"/>
  </r>
  <r>
    <x v="9"/>
    <x v="103"/>
    <x v="98"/>
    <x v="37"/>
    <x v="9"/>
    <s v="Sotsiaalosakond"/>
    <s v="Toetus toidule (koolid, lasteaiad), ühiselamu üür"/>
    <x v="108"/>
    <m/>
    <x v="44"/>
    <s v="Muud peretoetused"/>
    <n v="413"/>
    <x v="10"/>
    <x v="1"/>
    <x v="15"/>
    <x v="0"/>
  </r>
  <r>
    <x v="9"/>
    <x v="103"/>
    <x v="98"/>
    <x v="37"/>
    <x v="9"/>
    <s v="Sotsiaalosakond"/>
    <s v="Muud toetused (kriisit.teenuse ost)"/>
    <x v="163"/>
    <s v="3 last"/>
    <x v="44"/>
    <s v="Muud peretoetused"/>
    <n v="413"/>
    <x v="10"/>
    <x v="1"/>
    <x v="15"/>
    <x v="0"/>
  </r>
  <r>
    <x v="9"/>
    <x v="103"/>
    <x v="98"/>
    <x v="37"/>
    <x v="9"/>
    <s v="Sotsiaalosakond"/>
    <s v="Projektis osalemine a la &quot;Imelised aastad.....&quot;"/>
    <x v="113"/>
    <m/>
    <x v="44"/>
    <s v="Muud peretoetused"/>
    <n v="413"/>
    <x v="10"/>
    <x v="1"/>
    <x v="15"/>
    <x v="0"/>
  </r>
  <r>
    <x v="9"/>
    <x v="103"/>
    <x v="98"/>
    <x v="37"/>
    <x v="9"/>
    <s v="Sotsiaalosakond"/>
    <s v="Projektis osalemine &quot;Kunstilaager...&quot;"/>
    <x v="146"/>
    <m/>
    <x v="44"/>
    <s v="Muud peretoetused"/>
    <n v="413"/>
    <x v="10"/>
    <x v="1"/>
    <x v="15"/>
    <x v="0"/>
  </r>
  <r>
    <x v="9"/>
    <x v="103"/>
    <x v="98"/>
    <x v="37"/>
    <x v="9"/>
    <s v="Sotsiaalosakond"/>
    <s v="Noortemajadele, õpilaskodule"/>
    <x v="20"/>
    <m/>
    <x v="39"/>
    <s v="Sotsiaalteenused"/>
    <n v="55"/>
    <x v="0"/>
    <x v="0"/>
    <x v="0"/>
    <x v="0"/>
  </r>
  <r>
    <x v="9"/>
    <x v="103"/>
    <x v="98"/>
    <x v="37"/>
    <x v="9"/>
    <s v="Sotsiaalosakond"/>
    <s v="laste kommipakid"/>
    <x v="125"/>
    <m/>
    <x v="22"/>
    <s v="Kommunikatsiooni-, kultuuri- ja vaba aja sisustamise kulud"/>
    <n v="55"/>
    <x v="0"/>
    <x v="0"/>
    <x v="0"/>
    <x v="0"/>
  </r>
  <r>
    <x v="9"/>
    <x v="103"/>
    <x v="98"/>
    <x v="37"/>
    <x v="9"/>
    <s v="Sotsiaalosakond"/>
    <s v="Lääne-Virumaa Suurte Perede ühenduse toetamine"/>
    <x v="20"/>
    <m/>
    <x v="29"/>
    <s v="Sihtotstarbelised eraldised jooksvateks kuludeks"/>
    <n v="4500"/>
    <x v="1"/>
    <x v="1"/>
    <x v="11"/>
    <x v="0"/>
  </r>
  <r>
    <x v="9"/>
    <x v="103"/>
    <x v="98"/>
    <x v="37"/>
    <x v="9"/>
    <s v="Sotsiaalosakond"/>
    <s v="Porkuni kool"/>
    <x v="123"/>
    <m/>
    <x v="44"/>
    <s v="Muud peretoetused"/>
    <n v="413"/>
    <x v="10"/>
    <x v="1"/>
    <x v="15"/>
    <x v="0"/>
  </r>
  <r>
    <x v="9"/>
    <x v="104"/>
    <x v="99"/>
    <x v="38"/>
    <x v="9"/>
    <s v="Sotsiaalosakond"/>
    <s v="Muud toetused töötutele (ühekordsed toetused)"/>
    <x v="123"/>
    <m/>
    <x v="46"/>
    <s v="Muud toetused töötutele"/>
    <n v="413"/>
    <x v="10"/>
    <x v="1"/>
    <x v="15"/>
    <x v="0"/>
  </r>
  <r>
    <x v="9"/>
    <x v="104"/>
    <x v="99"/>
    <x v="38"/>
    <x v="9"/>
    <s v="Sotsiaalosakond"/>
    <s v="Töötute sotsiaalne kaitse (töötamine)"/>
    <x v="132"/>
    <m/>
    <x v="46"/>
    <s v="Muud toetused töötutele"/>
    <n v="413"/>
    <x v="10"/>
    <x v="1"/>
    <x v="15"/>
    <x v="0"/>
  </r>
  <r>
    <x v="9"/>
    <x v="104"/>
    <x v="99"/>
    <x v="38"/>
    <x v="9"/>
    <s v="Sotsiaalosakond"/>
    <s v="Ravikindlustuseta kindlustamata isikud"/>
    <x v="132"/>
    <m/>
    <x v="46"/>
    <s v="Muud toetused töötutele"/>
    <n v="413"/>
    <x v="10"/>
    <x v="1"/>
    <x v="15"/>
    <x v="0"/>
  </r>
  <r>
    <x v="9"/>
    <x v="105"/>
    <x v="100"/>
    <x v="39"/>
    <x v="9"/>
    <s v="Sotsiaalosakond"/>
    <s v="Küttetoetus"/>
    <x v="204"/>
    <m/>
    <x v="42"/>
    <s v="Muud sotsiaalabitoetused ja hüvitised"/>
    <n v="413"/>
    <x v="10"/>
    <x v="1"/>
    <x v="15"/>
    <x v="0"/>
  </r>
  <r>
    <x v="9"/>
    <x v="105"/>
    <x v="100"/>
    <x v="39"/>
    <x v="9"/>
    <s v="Sotsiaalosakond"/>
    <s v="Sotsiaalkorterite remont"/>
    <x v="46"/>
    <m/>
    <x v="4"/>
    <s v="Kinnistute, hoonete ja ruumide majandamiskulud"/>
    <n v="55"/>
    <x v="0"/>
    <x v="0"/>
    <x v="0"/>
    <x v="0"/>
  </r>
  <r>
    <x v="9"/>
    <x v="106"/>
    <x v="101"/>
    <x v="40"/>
    <x v="9"/>
    <s v="Sotsiaalosakond"/>
    <s v="Toimetulekutoetus"/>
    <x v="379"/>
    <s v="Toetusfond"/>
    <x v="47"/>
    <s v="Toimetulekutoetus ja täiendavad sotsiaaltoetused"/>
    <n v="413"/>
    <x v="10"/>
    <x v="1"/>
    <x v="15"/>
    <x v="0"/>
  </r>
  <r>
    <x v="9"/>
    <x v="106"/>
    <x v="101"/>
    <x v="40"/>
    <x v="9"/>
    <s v="Sotsiaalosakond"/>
    <s v="Toetusfond"/>
    <x v="380"/>
    <s v="toimetulekutoetus"/>
    <x v="15"/>
    <s v="Toetusfond"/>
    <n v="35201"/>
    <x v="4"/>
    <x v="4"/>
    <x v="5"/>
    <x v="1"/>
  </r>
  <r>
    <x v="9"/>
    <x v="107"/>
    <x v="102"/>
    <x v="41"/>
    <x v="9"/>
    <s v="Sotsiaalosakond"/>
    <s v="Vältimatu sotsiaalabi"/>
    <x v="7"/>
    <m/>
    <x v="42"/>
    <s v="Muud sotsiaalabitoetused ja hüvitised"/>
    <n v="413"/>
    <x v="10"/>
    <x v="1"/>
    <x v="15"/>
    <x v="0"/>
  </r>
  <r>
    <x v="9"/>
    <x v="107"/>
    <x v="102"/>
    <x v="41"/>
    <x v="9"/>
    <s v="Sotsiaalosakond"/>
    <s v="Erakorraline toetus"/>
    <x v="152"/>
    <m/>
    <x v="42"/>
    <s v="Muud sotsiaalabitoetused ja hüvitised"/>
    <n v="413"/>
    <x v="10"/>
    <x v="1"/>
    <x v="15"/>
    <x v="0"/>
  </r>
  <r>
    <x v="9"/>
    <x v="107"/>
    <x v="102"/>
    <x v="41"/>
    <x v="9"/>
    <s v="Sotsiaalosakond"/>
    <s v="Rakvere Kodutute Varjupaik - teenuse ost"/>
    <x v="146"/>
    <m/>
    <x v="42"/>
    <s v="Muud sotsiaalabitoetused ja hüvitised"/>
    <n v="413"/>
    <x v="10"/>
    <x v="1"/>
    <x v="15"/>
    <x v="0"/>
  </r>
  <r>
    <x v="9"/>
    <x v="107"/>
    <x v="102"/>
    <x v="41"/>
    <x v="9"/>
    <s v="Sotsiaalosakond"/>
    <s v="Varjupaik + Naiste Varjupaik"/>
    <x v="123"/>
    <m/>
    <x v="42"/>
    <s v="Muud sotsiaalabitoetused ja hüvitised"/>
    <n v="413"/>
    <x v="10"/>
    <x v="1"/>
    <x v="15"/>
    <x v="0"/>
  </r>
  <r>
    <x v="9"/>
    <x v="107"/>
    <x v="102"/>
    <x v="41"/>
    <x v="9"/>
    <s v="Sotsiaalosakond"/>
    <s v="Kauplusauto"/>
    <x v="381"/>
    <s v="VKK Kaubandus; "/>
    <x v="42"/>
    <s v="Muud sotsiaalabitoetused ja hüvitised"/>
    <n v="413"/>
    <x v="10"/>
    <x v="1"/>
    <x v="15"/>
    <x v="0"/>
  </r>
  <r>
    <x v="9"/>
    <x v="107"/>
    <x v="102"/>
    <x v="41"/>
    <x v="9"/>
    <s v="Arendusnõunik"/>
    <s v="Ulvi teeninduskeskuse / arstipunkti soojustamine"/>
    <x v="22"/>
    <m/>
    <x v="12"/>
    <s v="Rajatiste ja hoonete soetamine ja renoveerimine"/>
    <n v="15"/>
    <x v="3"/>
    <x v="3"/>
    <x v="3"/>
    <x v="2"/>
  </r>
  <r>
    <x v="9"/>
    <x v="108"/>
    <x v="103"/>
    <x v="42"/>
    <x v="9"/>
    <s v="Sotsiaalosakond"/>
    <s v="Sotsiaali autode kulud+kompensatsioon"/>
    <x v="382"/>
    <s v="kütus, liising, hooldused, kindlustus"/>
    <x v="3"/>
    <s v="Sõidukite ülalpidamise kulud"/>
    <n v="55"/>
    <x v="0"/>
    <x v="0"/>
    <x v="0"/>
    <x v="0"/>
  </r>
  <r>
    <x v="9"/>
    <x v="108"/>
    <x v="103"/>
    <x v="42"/>
    <x v="9"/>
    <s v="Sotsiaalosakond"/>
    <s v="Mobiiltelefoni kulu "/>
    <x v="383"/>
    <m/>
    <x v="0"/>
    <s v="Administreerimiskulud"/>
    <n v="55"/>
    <x v="0"/>
    <x v="0"/>
    <x v="0"/>
    <x v="0"/>
  </r>
  <r>
    <x v="9"/>
    <x v="108"/>
    <x v="103"/>
    <x v="42"/>
    <x v="9"/>
    <s v="Sotsiaalosakond"/>
    <s v="Koolituskulud"/>
    <x v="10"/>
    <m/>
    <x v="2"/>
    <s v="Koolituskulud"/>
    <n v="55"/>
    <x v="0"/>
    <x v="0"/>
    <x v="0"/>
    <x v="0"/>
  </r>
  <r>
    <x v="9"/>
    <x v="108"/>
    <x v="103"/>
    <x v="42"/>
    <x v="9"/>
    <s v="Sotsiaalosakond"/>
    <s v="Inventar"/>
    <x v="32"/>
    <m/>
    <x v="8"/>
    <s v="Inventari kulud, v.a infotehnoloogia ja kaitseotstarbelised kulud"/>
    <n v="55"/>
    <x v="0"/>
    <x v="0"/>
    <x v="0"/>
    <x v="0"/>
  </r>
  <r>
    <x v="9"/>
    <x v="108"/>
    <x v="103"/>
    <x v="42"/>
    <x v="9"/>
    <s v="Sotsiaalosakond"/>
    <s v="Riigilõiv (20 in eestkoste vormistamiseks)"/>
    <x v="14"/>
    <s v="+ lisatud MTÜ Eestkoste teenused riigilõiv 50€/kuu"/>
    <x v="27"/>
    <s v="Maksu-, riigilõivu- ja trahvikulud"/>
    <n v="60"/>
    <x v="5"/>
    <x v="0"/>
    <x v="6"/>
    <x v="0"/>
  </r>
  <r>
    <x v="9"/>
    <x v="108"/>
    <x v="103"/>
    <x v="42"/>
    <x v="9"/>
    <s v="Sotsiaalosakond"/>
    <s v="Projektides osalemised"/>
    <x v="7"/>
    <m/>
    <x v="29"/>
    <s v="Sihtotstarbelised eraldised jooksvateks kuludeks"/>
    <n v="4500"/>
    <x v="1"/>
    <x v="1"/>
    <x v="11"/>
    <x v="0"/>
  </r>
  <r>
    <x v="9"/>
    <x v="108"/>
    <x v="103"/>
    <x v="42"/>
    <x v="9"/>
    <s v="Sotsiaalosakond"/>
    <s v="Spordikulude hüvitamine"/>
    <x v="83"/>
    <m/>
    <x v="1"/>
    <s v="Mitmesugused majanduskulud"/>
    <n v="55"/>
    <x v="0"/>
    <x v="0"/>
    <x v="0"/>
    <x v="0"/>
  </r>
  <r>
    <x v="9"/>
    <x v="108"/>
    <x v="103"/>
    <x v="42"/>
    <x v="9"/>
    <s v="Sotsiaalosakond"/>
    <s v="IT vahendid"/>
    <x v="32"/>
    <m/>
    <x v="5"/>
    <s v="Info- ja kommunikatsioonitehnoliigised kulud"/>
    <n v="55"/>
    <x v="0"/>
    <x v="0"/>
    <x v="0"/>
    <x v="0"/>
  </r>
  <r>
    <x v="9"/>
    <x v="108"/>
    <x v="103"/>
    <x v="42"/>
    <x v="9"/>
    <s v="Sotsiaalosakond"/>
    <s v="Kingitused valdkonna asutustele"/>
    <x v="14"/>
    <m/>
    <x v="0"/>
    <s v="Administreerimiskulud"/>
    <n v="55"/>
    <x v="0"/>
    <x v="0"/>
    <x v="0"/>
    <x v="0"/>
  </r>
  <r>
    <x v="8"/>
    <x v="77"/>
    <x v="74"/>
    <x v="30"/>
    <x v="8"/>
    <s v="Haridusnõunik"/>
    <s v="Koolieelsete lasteasutuste õpetajate tööjõukulude toetus"/>
    <x v="384"/>
    <m/>
    <x v="15"/>
    <s v="Toetusfond"/>
    <n v="35201"/>
    <x v="4"/>
    <x v="4"/>
    <x v="5"/>
    <x v="1"/>
  </r>
  <r>
    <x v="0"/>
    <x v="1"/>
    <x v="1"/>
    <x v="1"/>
    <x v="0"/>
    <s v="Kantselei"/>
    <s v="Rahvastikutoimingute kulude hüvitis"/>
    <x v="385"/>
    <m/>
    <x v="15"/>
    <s v="Toetusfond"/>
    <n v="35201"/>
    <x v="4"/>
    <x v="4"/>
    <x v="5"/>
    <x v="1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407">
  <r>
    <x v="0"/>
    <x v="0"/>
    <x v="0"/>
    <x v="0"/>
    <x v="0"/>
    <s v="Roela Raamatukogu"/>
    <s v="juhataja"/>
    <n v="1"/>
    <s v="in"/>
    <n v="762"/>
    <n v="762"/>
    <n v="12"/>
    <m/>
    <n v="9144"/>
    <n v="3090.672"/>
    <m/>
  </r>
  <r>
    <x v="1"/>
    <x v="1"/>
    <x v="1"/>
    <x v="1"/>
    <x v="1"/>
    <s v=" Roela kool"/>
    <s v="psüholoog"/>
    <n v="0.5"/>
    <m/>
    <n v="1250"/>
    <n v="625"/>
    <n v="5"/>
    <m/>
    <n v="3125"/>
    <n v="1056.25"/>
    <m/>
  </r>
  <r>
    <x v="1"/>
    <x v="1"/>
    <x v="1"/>
    <x v="1"/>
    <x v="1"/>
    <s v=" Roela kool"/>
    <s v="eripedagoog/logopeed"/>
    <n v="0.32"/>
    <m/>
    <n v="1250"/>
    <n v="400"/>
    <n v="12"/>
    <m/>
    <n v="4800"/>
    <n v="1622.4"/>
    <m/>
  </r>
  <r>
    <x v="1"/>
    <x v="1"/>
    <x v="1"/>
    <x v="1"/>
    <x v="1"/>
    <s v=" Roela kool"/>
    <s v="huvijuht"/>
    <n v="0.5"/>
    <m/>
    <n v="998"/>
    <n v="499"/>
    <n v="12"/>
    <m/>
    <n v="5988"/>
    <n v="2023.9440000000002"/>
    <m/>
  </r>
  <r>
    <x v="1"/>
    <x v="1"/>
    <x v="1"/>
    <x v="1"/>
    <x v="1"/>
    <s v=" Roela kool"/>
    <s v="juhiabi/majandusjuht"/>
    <n v="1"/>
    <m/>
    <n v="951"/>
    <n v="951"/>
    <n v="12"/>
    <m/>
    <n v="11412"/>
    <n v="3857.2560000000003"/>
    <m/>
  </r>
  <r>
    <x v="1"/>
    <x v="1"/>
    <x v="1"/>
    <x v="1"/>
    <x v="1"/>
    <s v=" Roela kool"/>
    <s v="ringijuhid "/>
    <n v="1.2"/>
    <m/>
    <n v="704"/>
    <n v="844.8"/>
    <n v="10"/>
    <m/>
    <n v="8448"/>
    <n v="2855.424"/>
    <m/>
  </r>
  <r>
    <x v="1"/>
    <x v="1"/>
    <x v="1"/>
    <x v="1"/>
    <x v="1"/>
    <s v=" Roela kool"/>
    <s v="pikapäevarühma kasvatajad "/>
    <n v="0.45"/>
    <m/>
    <n v="704"/>
    <n v="316.8"/>
    <n v="10"/>
    <m/>
    <n v="3168"/>
    <n v="1070.7840000000001"/>
    <m/>
  </r>
  <r>
    <x v="1"/>
    <x v="2"/>
    <x v="2"/>
    <x v="2"/>
    <x v="1"/>
    <s v=" Roela kool"/>
    <s v="lasteaia abiõpetajad"/>
    <n v="1"/>
    <m/>
    <n v="660"/>
    <n v="660"/>
    <n v="12"/>
    <m/>
    <n v="7920"/>
    <n v="2676.96"/>
    <m/>
  </r>
  <r>
    <x v="1"/>
    <x v="2"/>
    <x v="2"/>
    <x v="2"/>
    <x v="1"/>
    <s v=" Roela kool"/>
    <s v="lasteaia abiõpetajad"/>
    <n v="1"/>
    <m/>
    <n v="758"/>
    <n v="758"/>
    <n v="12"/>
    <m/>
    <n v="9096"/>
    <n v="3074.4480000000003"/>
    <m/>
  </r>
  <r>
    <x v="1"/>
    <x v="2"/>
    <x v="2"/>
    <x v="2"/>
    <x v="1"/>
    <s v=" Roela kool"/>
    <s v="lasteaia õpetajad"/>
    <n v="3.39"/>
    <m/>
    <n v="1315"/>
    <n v="4457.8500000000004"/>
    <n v="12"/>
    <m/>
    <n v="53494.200000000004"/>
    <n v="18081.039600000004"/>
    <m/>
  </r>
  <r>
    <x v="1"/>
    <x v="2"/>
    <x v="2"/>
    <x v="2"/>
    <x v="1"/>
    <s v=" Roela kool"/>
    <s v="LA logopeed"/>
    <n v="0.15"/>
    <m/>
    <n v="1315"/>
    <n v="197.25"/>
    <n v="12"/>
    <m/>
    <n v="2367"/>
    <n v="800.04600000000005"/>
    <m/>
  </r>
  <r>
    <x v="1"/>
    <x v="2"/>
    <x v="2"/>
    <x v="2"/>
    <x v="1"/>
    <s v=" Roela kool"/>
    <s v="LA muusikaõpetaja"/>
    <n v="0.25"/>
    <m/>
    <n v="1315"/>
    <n v="328.75"/>
    <n v="12"/>
    <m/>
    <n v="3945"/>
    <n v="1333.41"/>
    <m/>
  </r>
  <r>
    <x v="1"/>
    <x v="2"/>
    <x v="2"/>
    <x v="2"/>
    <x v="1"/>
    <s v=" Roela kool"/>
    <s v="LA liikumisõpetaja"/>
    <n v="0.15"/>
    <m/>
    <n v="1315"/>
    <n v="197.25"/>
    <n v="12"/>
    <m/>
    <n v="2367"/>
    <n v="800.04600000000005"/>
    <m/>
  </r>
  <r>
    <x v="1"/>
    <x v="2"/>
    <x v="2"/>
    <x v="2"/>
    <x v="1"/>
    <s v=" Roela kool"/>
    <s v="lasteaia abitööline"/>
    <n v="0.5"/>
    <m/>
    <n v="584"/>
    <n v="292"/>
    <n v="12"/>
    <m/>
    <n v="3504"/>
    <n v="1184.3520000000001"/>
    <m/>
  </r>
  <r>
    <x v="1"/>
    <x v="1"/>
    <x v="1"/>
    <x v="1"/>
    <x v="1"/>
    <s v=" Roela kool"/>
    <s v="majahoidja"/>
    <n v="0.6"/>
    <m/>
    <n v="584"/>
    <n v="350.4"/>
    <n v="12"/>
    <m/>
    <n v="4204.7999999999993"/>
    <n v="1421.2223999999999"/>
    <m/>
  </r>
  <r>
    <x v="1"/>
    <x v="1"/>
    <x v="1"/>
    <x v="1"/>
    <x v="1"/>
    <s v=" Roela kool"/>
    <s v="abitööline"/>
    <n v="0.5"/>
    <m/>
    <n v="584"/>
    <n v="292"/>
    <n v="12"/>
    <m/>
    <n v="3504"/>
    <n v="1184.3520000000001"/>
    <m/>
  </r>
  <r>
    <x v="1"/>
    <x v="1"/>
    <x v="1"/>
    <x v="1"/>
    <x v="1"/>
    <s v=" Roela kool"/>
    <s v="remonditööline"/>
    <n v="1"/>
    <m/>
    <n v="584"/>
    <n v="584"/>
    <n v="12"/>
    <m/>
    <n v="7008"/>
    <n v="2368.7040000000002"/>
    <m/>
  </r>
  <r>
    <x v="1"/>
    <x v="1"/>
    <x v="1"/>
    <x v="1"/>
    <x v="1"/>
    <s v=" Roela kool"/>
    <s v="koristajad"/>
    <n v="4.4000000000000004"/>
    <m/>
    <n v="584"/>
    <n v="2569.6000000000004"/>
    <n v="12"/>
    <m/>
    <n v="30835.200000000004"/>
    <n v="10422.297600000002"/>
    <m/>
  </r>
  <r>
    <x v="1"/>
    <x v="1"/>
    <x v="1"/>
    <x v="1"/>
    <x v="1"/>
    <s v=" Roela kool"/>
    <s v="bussijuht"/>
    <n v="0.5"/>
    <m/>
    <n v="735"/>
    <n v="367.5"/>
    <n v="12"/>
    <n v="1800"/>
    <n v="6210"/>
    <n v="2098.98"/>
    <m/>
  </r>
  <r>
    <x v="1"/>
    <x v="1"/>
    <x v="1"/>
    <x v="1"/>
    <x v="1"/>
    <s v=" Roela kool"/>
    <s v="kokk"/>
    <n v="1"/>
    <m/>
    <n v="760"/>
    <n v="760"/>
    <n v="12"/>
    <m/>
    <n v="9120"/>
    <n v="3082.5600000000004"/>
    <m/>
  </r>
  <r>
    <x v="1"/>
    <x v="1"/>
    <x v="1"/>
    <x v="1"/>
    <x v="1"/>
    <s v=" Roela kool"/>
    <s v="ÕK toitlustamine (9 kuud)"/>
    <m/>
    <m/>
    <m/>
    <n v="0"/>
    <n v="12"/>
    <n v="576"/>
    <n v="576"/>
    <n v="194.68800000000002"/>
    <m/>
  </r>
  <r>
    <x v="1"/>
    <x v="1"/>
    <x v="1"/>
    <x v="1"/>
    <x v="1"/>
    <s v=" Roela kool"/>
    <s v="köögi abitööline"/>
    <n v="1"/>
    <m/>
    <n v="584"/>
    <n v="584"/>
    <n v="12"/>
    <m/>
    <n v="7008"/>
    <n v="2368.7040000000002"/>
    <m/>
  </r>
  <r>
    <x v="1"/>
    <x v="1"/>
    <x v="1"/>
    <x v="1"/>
    <x v="1"/>
    <s v=" Roela kool"/>
    <s v="ÕK toitlustamine (9 kuud)"/>
    <m/>
    <m/>
    <m/>
    <n v="0"/>
    <n v="12"/>
    <n v="117"/>
    <n v="117"/>
    <n v="39.545999999999999"/>
    <m/>
  </r>
  <r>
    <x v="2"/>
    <x v="3"/>
    <x v="3"/>
    <x v="3"/>
    <x v="2"/>
    <s v="Vinni Päevakeskus"/>
    <s v="perenaine"/>
    <n v="1"/>
    <m/>
    <n v="584"/>
    <n v="584"/>
    <n v="12"/>
    <m/>
    <n v="7008"/>
    <n v="2368.7040000000002"/>
    <m/>
  </r>
  <r>
    <x v="3"/>
    <x v="4"/>
    <x v="4"/>
    <x v="4"/>
    <x v="3"/>
    <s v="Finantsosakond"/>
    <s v="finantsjuht"/>
    <n v="1"/>
    <m/>
    <n v="2000"/>
    <n v="2000"/>
    <n v="12"/>
    <m/>
    <n v="24000"/>
    <n v="8112.0000000000009"/>
    <m/>
  </r>
  <r>
    <x v="3"/>
    <x v="4"/>
    <x v="4"/>
    <x v="4"/>
    <x v="3"/>
    <s v="Finantsosakond"/>
    <s v="pearaamatupidaja"/>
    <n v="1"/>
    <m/>
    <n v="1750"/>
    <n v="1750"/>
    <n v="12"/>
    <m/>
    <n v="21000"/>
    <n v="7098.0000000000009"/>
    <m/>
  </r>
  <r>
    <x v="3"/>
    <x v="4"/>
    <x v="4"/>
    <x v="4"/>
    <x v="3"/>
    <s v="Finantsosakond"/>
    <s v="raamatupidaja"/>
    <n v="2"/>
    <m/>
    <n v="1250"/>
    <n v="2500"/>
    <n v="12"/>
    <m/>
    <n v="30000"/>
    <n v="10140"/>
    <m/>
  </r>
  <r>
    <x v="0"/>
    <x v="5"/>
    <x v="5"/>
    <x v="5"/>
    <x v="0"/>
    <s v="Muuga Spordihoone"/>
    <s v="juhataja"/>
    <n v="1"/>
    <m/>
    <n v="700"/>
    <n v="700"/>
    <n v="12"/>
    <m/>
    <n v="8400"/>
    <n v="2839.2000000000003"/>
    <m/>
  </r>
  <r>
    <x v="0"/>
    <x v="5"/>
    <x v="5"/>
    <x v="5"/>
    <x v="0"/>
    <s v="Muuga Spordihoone"/>
    <s v="majahoidja"/>
    <n v="1"/>
    <m/>
    <n v="584"/>
    <n v="584"/>
    <n v="12"/>
    <m/>
    <n v="7008"/>
    <n v="2368.7040000000002"/>
    <m/>
  </r>
  <r>
    <x v="0"/>
    <x v="5"/>
    <x v="5"/>
    <x v="5"/>
    <x v="0"/>
    <s v="Muuga Spordihoone"/>
    <s v="Puhkuse asendamine juhatajal"/>
    <m/>
    <m/>
    <m/>
    <n v="0"/>
    <n v="1"/>
    <n v="360"/>
    <n v="360"/>
    <n v="121.68"/>
    <m/>
  </r>
  <r>
    <x v="0"/>
    <x v="5"/>
    <x v="5"/>
    <x v="5"/>
    <x v="0"/>
    <s v="Muuga Spordihoone"/>
    <s v="Puhkuse asendamine majahoidjal"/>
    <m/>
    <m/>
    <m/>
    <n v="0"/>
    <n v="1"/>
    <n v="215"/>
    <n v="215"/>
    <n v="72.67"/>
    <m/>
  </r>
  <r>
    <x v="0"/>
    <x v="6"/>
    <x v="6"/>
    <x v="0"/>
    <x v="0"/>
    <s v="Laekvere raamatukogu"/>
    <s v="direktor"/>
    <n v="1"/>
    <m/>
    <n v="966"/>
    <n v="966"/>
    <n v="12"/>
    <m/>
    <n v="11592"/>
    <n v="3918.0960000000005"/>
    <m/>
  </r>
  <r>
    <x v="0"/>
    <x v="6"/>
    <x v="6"/>
    <x v="0"/>
    <x v="0"/>
    <s v="Laekvere raamatukogu"/>
    <s v="raamatukoguhoidja"/>
    <n v="1"/>
    <m/>
    <n v="736"/>
    <n v="736"/>
    <n v="12"/>
    <m/>
    <n v="8832"/>
    <n v="2985.2160000000003"/>
    <m/>
  </r>
  <r>
    <x v="0"/>
    <x v="7"/>
    <x v="7"/>
    <x v="5"/>
    <x v="0"/>
    <s v="Arendusnõunik"/>
    <s v="Vinni staadioni hooldus 5 kuud a`6 €/h x 168 tundi"/>
    <n v="1"/>
    <m/>
    <n v="1008"/>
    <n v="1008"/>
    <n v="5"/>
    <m/>
    <n v="5040"/>
    <n v="1703.5200000000002"/>
    <m/>
  </r>
  <r>
    <x v="2"/>
    <x v="8"/>
    <x v="8"/>
    <x v="6"/>
    <x v="2"/>
    <s v="Sotsiaalosakond"/>
    <s v="Hooldustöötaja (Maalman) eakad"/>
    <n v="1"/>
    <m/>
    <n v="584"/>
    <n v="584"/>
    <n v="12"/>
    <m/>
    <n v="7008"/>
    <n v="2368.7040000000002"/>
    <m/>
  </r>
  <r>
    <x v="2"/>
    <x v="8"/>
    <x v="8"/>
    <x v="6"/>
    <x v="2"/>
    <s v="Sotsiaalosakond"/>
    <s v="Hooldustöötaja (asendus)"/>
    <n v="1"/>
    <m/>
    <n v="723"/>
    <n v="723"/>
    <n v="1"/>
    <m/>
    <n v="723"/>
    <n v="244.37400000000002"/>
    <m/>
  </r>
  <r>
    <x v="2"/>
    <x v="8"/>
    <x v="8"/>
    <x v="6"/>
    <x v="2"/>
    <s v="Sotsiaalosakond"/>
    <s v="Hooldustöötaja (Muldma)"/>
    <n v="1"/>
    <m/>
    <n v="600"/>
    <n v="600"/>
    <n v="12"/>
    <m/>
    <n v="7200"/>
    <n v="2433.6000000000004"/>
    <m/>
  </r>
  <r>
    <x v="2"/>
    <x v="8"/>
    <x v="8"/>
    <x v="6"/>
    <x v="2"/>
    <s v="Sotsiaalosakond"/>
    <s v="Hooldustöötaja (asendus)"/>
    <n v="1"/>
    <m/>
    <n v="803"/>
    <n v="803"/>
    <n v="1"/>
    <m/>
    <n v="803"/>
    <n v="271.41400000000004"/>
    <m/>
  </r>
  <r>
    <x v="2"/>
    <x v="8"/>
    <x v="8"/>
    <x v="6"/>
    <x v="2"/>
    <s v="Sotsiaalosakond"/>
    <s v="Hooldustöötaja (Anier)"/>
    <n v="1"/>
    <m/>
    <n v="630"/>
    <n v="630"/>
    <n v="12"/>
    <m/>
    <n v="7560"/>
    <n v="2555.2800000000002"/>
    <m/>
  </r>
  <r>
    <x v="2"/>
    <x v="8"/>
    <x v="8"/>
    <x v="6"/>
    <x v="2"/>
    <s v="Sotsiaalosakond"/>
    <s v="Hooldustöötaja (asendus)"/>
    <n v="1"/>
    <m/>
    <n v="977"/>
    <n v="977"/>
    <n v="1"/>
    <m/>
    <n v="977"/>
    <n v="330.226"/>
    <m/>
  </r>
  <r>
    <x v="2"/>
    <x v="9"/>
    <x v="9"/>
    <x v="7"/>
    <x v="2"/>
    <s v="Sotsiaalosakond"/>
    <s v="Sotsiaalteenistuse juhataja (palk)"/>
    <n v="1"/>
    <m/>
    <n v="2000"/>
    <n v="2000"/>
    <n v="12"/>
    <m/>
    <n v="24000"/>
    <n v="8112.0000000000009"/>
    <m/>
  </r>
  <r>
    <x v="2"/>
    <x v="9"/>
    <x v="9"/>
    <x v="7"/>
    <x v="2"/>
    <s v="Sotsiaalosakond"/>
    <s v="Sotsiaaltööspetsialist"/>
    <n v="2"/>
    <m/>
    <n v="1200"/>
    <n v="2400"/>
    <n v="12"/>
    <m/>
    <n v="28800"/>
    <n v="9734.4000000000015"/>
    <m/>
  </r>
  <r>
    <x v="2"/>
    <x v="9"/>
    <x v="9"/>
    <x v="7"/>
    <x v="2"/>
    <s v="Sotsiaalosakond"/>
    <s v="Sotsiaaltööspetsialist"/>
    <n v="1"/>
    <m/>
    <n v="1560"/>
    <n v="1560"/>
    <n v="12"/>
    <m/>
    <n v="18720"/>
    <n v="6327.3600000000006"/>
    <m/>
  </r>
  <r>
    <x v="2"/>
    <x v="9"/>
    <x v="9"/>
    <x v="7"/>
    <x v="2"/>
    <s v="Sotsiaalosakond"/>
    <s v="Lasteheaoluspetsialist "/>
    <n v="1"/>
    <m/>
    <n v="1560"/>
    <n v="1560"/>
    <n v="12"/>
    <m/>
    <n v="18720"/>
    <n v="6327.3600000000006"/>
    <m/>
  </r>
  <r>
    <x v="0"/>
    <x v="10"/>
    <x v="10"/>
    <x v="8"/>
    <x v="0"/>
    <s v="Noorsoo- ja spordinõunik"/>
    <s v="Laste töö- ja puhkelaagri töötasud"/>
    <n v="1"/>
    <m/>
    <n v="10687.59"/>
    <n v="10687.59"/>
    <n v="1"/>
    <m/>
    <n v="10687.59"/>
    <n v="3612.4054200000005"/>
    <m/>
  </r>
  <r>
    <x v="0"/>
    <x v="11"/>
    <x v="11"/>
    <x v="8"/>
    <x v="0"/>
    <s v="Noorsoo- ja spordinõunik"/>
    <s v="Noorsoo- ja spordinõunik"/>
    <n v="1"/>
    <m/>
    <n v="1560"/>
    <n v="1560"/>
    <n v="12"/>
    <m/>
    <n v="18720"/>
    <n v="6327.3600000000006"/>
    <m/>
  </r>
  <r>
    <x v="3"/>
    <x v="12"/>
    <x v="12"/>
    <x v="9"/>
    <x v="3"/>
    <s v="Vinni valla valimiskomisjon"/>
    <s v="komisjon 5-liikmeline, 30 h "/>
    <n v="1"/>
    <s v="in"/>
    <n v="255"/>
    <n v="255"/>
    <n v="1"/>
    <m/>
    <n v="255"/>
    <n v="86.190000000000012"/>
    <m/>
  </r>
  <r>
    <x v="1"/>
    <x v="13"/>
    <x v="13"/>
    <x v="10"/>
    <x v="1"/>
    <s v="Teede- ja ühistranspordinõunik"/>
    <s v="Bussijuht"/>
    <n v="1"/>
    <m/>
    <n v="1000"/>
    <n v="1000"/>
    <n v="12"/>
    <m/>
    <n v="12000"/>
    <n v="4056.0000000000005"/>
    <m/>
  </r>
  <r>
    <x v="3"/>
    <x v="4"/>
    <x v="4"/>
    <x v="4"/>
    <x v="3"/>
    <s v="Vallavanem"/>
    <s v="Vallavanem"/>
    <n v="1"/>
    <m/>
    <n v="2800"/>
    <n v="2800"/>
    <n v="12"/>
    <m/>
    <n v="33600"/>
    <n v="11356.800000000001"/>
    <m/>
  </r>
  <r>
    <x v="3"/>
    <x v="4"/>
    <x v="4"/>
    <x v="4"/>
    <x v="3"/>
    <s v="Vallavanem"/>
    <s v="Abivallavanem"/>
    <n v="1"/>
    <m/>
    <n v="2200"/>
    <n v="2200"/>
    <n v="12"/>
    <m/>
    <n v="26400"/>
    <n v="8923.2000000000007"/>
    <m/>
  </r>
  <r>
    <x v="3"/>
    <x v="4"/>
    <x v="4"/>
    <x v="4"/>
    <x v="3"/>
    <s v="Vallavanem"/>
    <s v="Vallasekretär"/>
    <n v="1"/>
    <m/>
    <n v="2000"/>
    <n v="2000"/>
    <n v="12"/>
    <m/>
    <n v="24000"/>
    <n v="8112.0000000000009"/>
    <m/>
  </r>
  <r>
    <x v="3"/>
    <x v="4"/>
    <x v="4"/>
    <x v="4"/>
    <x v="3"/>
    <s v="Vallavanem"/>
    <s v="Juhiabi"/>
    <n v="1"/>
    <m/>
    <n v="1250"/>
    <n v="1250"/>
    <n v="12"/>
    <m/>
    <n v="15000"/>
    <n v="5070"/>
    <m/>
  </r>
  <r>
    <x v="3"/>
    <x v="4"/>
    <x v="4"/>
    <x v="4"/>
    <x v="3"/>
    <s v="Vallavanem"/>
    <s v="Jurist"/>
    <n v="1"/>
    <m/>
    <n v="1750"/>
    <n v="1750"/>
    <n v="12"/>
    <m/>
    <n v="21000"/>
    <n v="7098.0000000000009"/>
    <m/>
  </r>
  <r>
    <x v="3"/>
    <x v="4"/>
    <x v="4"/>
    <x v="4"/>
    <x v="3"/>
    <s v="Vallavanem"/>
    <s v="Kantseleispetsialist"/>
    <n v="2"/>
    <m/>
    <n v="1250"/>
    <n v="2500"/>
    <n v="12"/>
    <m/>
    <n v="30000"/>
    <n v="10140"/>
    <m/>
  </r>
  <r>
    <x v="3"/>
    <x v="14"/>
    <x v="14"/>
    <x v="11"/>
    <x v="3"/>
    <s v="Volikogu esimees"/>
    <s v="Volikogu esimees"/>
    <n v="1"/>
    <m/>
    <n v="1000"/>
    <n v="1000"/>
    <n v="12"/>
    <m/>
    <n v="12000"/>
    <n v="4056.0000000000005"/>
    <m/>
  </r>
  <r>
    <x v="3"/>
    <x v="14"/>
    <x v="14"/>
    <x v="11"/>
    <x v="3"/>
    <s v="Volikogu esimees"/>
    <s v="Komisjonide esimehed"/>
    <n v="4"/>
    <s v="in"/>
    <n v="90"/>
    <n v="360"/>
    <n v="11"/>
    <m/>
    <n v="3960"/>
    <n v="1338.48"/>
    <m/>
  </r>
  <r>
    <x v="3"/>
    <x v="14"/>
    <x v="14"/>
    <x v="11"/>
    <x v="3"/>
    <s v="Volikogu esimees"/>
    <s v="Volikogu liikmed"/>
    <n v="16"/>
    <s v="in"/>
    <n v="40"/>
    <n v="640"/>
    <n v="5"/>
    <m/>
    <n v="3200"/>
    <n v="1081.6000000000001"/>
    <m/>
  </r>
  <r>
    <x v="3"/>
    <x v="14"/>
    <x v="14"/>
    <x v="11"/>
    <x v="3"/>
    <s v="Volikogu esimees"/>
    <s v="Komisjonide liikmed"/>
    <n v="39"/>
    <s v="in"/>
    <n v="40"/>
    <n v="1560"/>
    <n v="4.5"/>
    <m/>
    <n v="7020"/>
    <n v="2372.7600000000002"/>
    <m/>
  </r>
  <r>
    <x v="3"/>
    <x v="14"/>
    <x v="14"/>
    <x v="11"/>
    <x v="3"/>
    <s v="Volikogu esimees"/>
    <s v="Protokollija"/>
    <n v="1"/>
    <m/>
    <m/>
    <n v="0"/>
    <m/>
    <n v="900"/>
    <n v="900"/>
    <n v="304.20000000000005"/>
    <m/>
  </r>
  <r>
    <x v="4"/>
    <x v="15"/>
    <x v="15"/>
    <x v="12"/>
    <x v="4"/>
    <s v="Vallavanem"/>
    <s v="Ehitusnõunik"/>
    <n v="1"/>
    <m/>
    <n v="1750"/>
    <n v="1750"/>
    <n v="12"/>
    <m/>
    <n v="21000"/>
    <n v="7098.0000000000009"/>
    <m/>
  </r>
  <r>
    <x v="4"/>
    <x v="15"/>
    <x v="15"/>
    <x v="12"/>
    <x v="4"/>
    <s v="Vallavanem"/>
    <s v="Maanõunik"/>
    <n v="1"/>
    <m/>
    <n v="1560"/>
    <n v="1560"/>
    <n v="12"/>
    <m/>
    <n v="18720"/>
    <n v="6327.3600000000006"/>
    <m/>
  </r>
  <r>
    <x v="4"/>
    <x v="15"/>
    <x v="15"/>
    <x v="12"/>
    <x v="4"/>
    <s v="Vallavanem"/>
    <s v="Arendusnõunik"/>
    <n v="1"/>
    <m/>
    <n v="1560"/>
    <n v="1560"/>
    <n v="12"/>
    <m/>
    <n v="18720"/>
    <n v="6327.3600000000006"/>
    <m/>
  </r>
  <r>
    <x v="4"/>
    <x v="15"/>
    <x v="15"/>
    <x v="12"/>
    <x v="4"/>
    <s v="Vallavanem"/>
    <s v="Keskkonna- ja kommunaalnõunik"/>
    <n v="0.75"/>
    <m/>
    <n v="1650"/>
    <n v="1237.5"/>
    <n v="12"/>
    <m/>
    <n v="14850"/>
    <n v="5019.3"/>
    <m/>
  </r>
  <r>
    <x v="5"/>
    <x v="16"/>
    <x v="16"/>
    <x v="13"/>
    <x v="5"/>
    <s v="Laekvere piirkond"/>
    <s v="Haldusjuht"/>
    <n v="1"/>
    <m/>
    <n v="1560"/>
    <n v="1560"/>
    <n v="12"/>
    <m/>
    <n v="18720"/>
    <n v="6327.3600000000006"/>
    <m/>
  </r>
  <r>
    <x v="5"/>
    <x v="16"/>
    <x v="16"/>
    <x v="13"/>
    <x v="5"/>
    <s v="Laekvere piirkond"/>
    <s v="Traktorist-majandustööline "/>
    <n v="1"/>
    <m/>
    <n v="900"/>
    <n v="900"/>
    <n v="12"/>
    <m/>
    <n v="10800"/>
    <n v="3650.4"/>
    <m/>
  </r>
  <r>
    <x v="5"/>
    <x v="16"/>
    <x v="16"/>
    <x v="13"/>
    <x v="5"/>
    <s v="Laekvere piirkond"/>
    <s v="Heakorra-ja remonditööline"/>
    <n v="1"/>
    <m/>
    <n v="900"/>
    <n v="900"/>
    <n v="12"/>
    <m/>
    <n v="10800"/>
    <n v="3650.4"/>
    <m/>
  </r>
  <r>
    <x v="5"/>
    <x v="16"/>
    <x v="16"/>
    <x v="13"/>
    <x v="5"/>
    <s v="Laekvere piirkond"/>
    <s v="Majahoidja"/>
    <n v="1"/>
    <m/>
    <n v="584"/>
    <n v="584"/>
    <n v="12"/>
    <m/>
    <n v="7008"/>
    <n v="2368.7040000000002"/>
    <m/>
  </r>
  <r>
    <x v="5"/>
    <x v="16"/>
    <x v="16"/>
    <x v="13"/>
    <x v="5"/>
    <s v="Laekvere piirkond"/>
    <s v="Koristaja -majahoidja"/>
    <n v="1"/>
    <m/>
    <n v="584"/>
    <n v="584"/>
    <n v="12"/>
    <m/>
    <n v="7008"/>
    <n v="2368.7040000000002"/>
    <m/>
  </r>
  <r>
    <x v="5"/>
    <x v="16"/>
    <x v="16"/>
    <x v="13"/>
    <x v="5"/>
    <s v="Laekvere piirkond"/>
    <s v="Trimmerdaja (suvel)"/>
    <n v="1"/>
    <m/>
    <m/>
    <n v="0"/>
    <m/>
    <n v="2100"/>
    <n v="2100"/>
    <n v="709.80000000000007"/>
    <m/>
  </r>
  <r>
    <x v="5"/>
    <x v="17"/>
    <x v="17"/>
    <x v="13"/>
    <x v="5"/>
    <s v="Rägavere piirkond"/>
    <s v="Haldusjuht"/>
    <n v="1"/>
    <m/>
    <n v="1560"/>
    <n v="1560"/>
    <n v="12"/>
    <m/>
    <n v="18720"/>
    <n v="6327.3600000000006"/>
    <m/>
  </r>
  <r>
    <x v="5"/>
    <x v="17"/>
    <x v="17"/>
    <x v="13"/>
    <x v="5"/>
    <s v="Rägavere piirkond"/>
    <s v="Majahoidja"/>
    <n v="0.5"/>
    <m/>
    <n v="584"/>
    <n v="292"/>
    <n v="12"/>
    <m/>
    <n v="3504"/>
    <n v="1184.3520000000001"/>
    <m/>
  </r>
  <r>
    <x v="5"/>
    <x v="17"/>
    <x v="17"/>
    <x v="13"/>
    <x v="5"/>
    <s v="Rägavere piirkond"/>
    <s v="Lepinguliste töötajate töötasu"/>
    <n v="90"/>
    <s v="tundi"/>
    <n v="5"/>
    <n v="450"/>
    <n v="10"/>
    <m/>
    <n v="4500"/>
    <n v="1521"/>
    <m/>
  </r>
  <r>
    <x v="5"/>
    <x v="18"/>
    <x v="18"/>
    <x v="13"/>
    <x v="5"/>
    <s v="Roela piirkond"/>
    <s v="heakorratööline"/>
    <n v="15"/>
    <s v="tundi"/>
    <n v="6"/>
    <n v="90"/>
    <n v="12"/>
    <m/>
    <n v="1080"/>
    <n v="365.04"/>
    <m/>
  </r>
  <r>
    <x v="5"/>
    <x v="18"/>
    <x v="18"/>
    <x v="13"/>
    <x v="5"/>
    <s v="Roela piirkond"/>
    <s v="heakorratööline"/>
    <n v="80"/>
    <s v="tundi"/>
    <n v="3.21"/>
    <n v="256.8"/>
    <n v="12"/>
    <m/>
    <n v="3081.6000000000004"/>
    <n v="1041.5808000000002"/>
    <m/>
  </r>
  <r>
    <x v="5"/>
    <x v="18"/>
    <x v="18"/>
    <x v="13"/>
    <x v="5"/>
    <s v="Roela piirkond"/>
    <s v="trimmerdaja"/>
    <n v="120"/>
    <s v="tundi"/>
    <n v="5"/>
    <n v="600"/>
    <n v="3"/>
    <m/>
    <n v="1800"/>
    <n v="608.40000000000009"/>
    <m/>
  </r>
  <r>
    <x v="5"/>
    <x v="19"/>
    <x v="19"/>
    <x v="13"/>
    <x v="5"/>
    <s v="Tudu piirkond"/>
    <s v="kütja"/>
    <n v="2"/>
    <s v="in"/>
    <n v="270"/>
    <n v="540"/>
    <n v="12"/>
    <m/>
    <n v="6480"/>
    <n v="2190.2400000000002"/>
    <m/>
  </r>
  <r>
    <x v="5"/>
    <x v="20"/>
    <x v="20"/>
    <x v="13"/>
    <x v="5"/>
    <s v="Viru-Jaagupi piirkond"/>
    <s v="Haldusjuht"/>
    <n v="1"/>
    <m/>
    <n v="1560"/>
    <n v="1560"/>
    <n v="12"/>
    <m/>
    <n v="18720"/>
    <n v="6327.3600000000006"/>
    <m/>
  </r>
  <r>
    <x v="5"/>
    <x v="20"/>
    <x v="20"/>
    <x v="13"/>
    <x v="5"/>
    <s v="Viru-Jaagupi piirkond"/>
    <s v="koolimaja koristaja/saunakütja"/>
    <n v="1"/>
    <m/>
    <n v="584"/>
    <n v="584"/>
    <n v="12"/>
    <m/>
    <n v="7008"/>
    <n v="2368.7040000000002"/>
    <m/>
  </r>
  <r>
    <x v="5"/>
    <x v="20"/>
    <x v="20"/>
    <x v="13"/>
    <x v="5"/>
    <s v="Viru-Jaagupi piirkond"/>
    <s v="heakorratööline"/>
    <n v="160"/>
    <s v="tundi"/>
    <n v="3.21"/>
    <n v="513.6"/>
    <n v="12"/>
    <m/>
    <n v="6163.2000000000007"/>
    <n v="2083.1616000000004"/>
    <m/>
  </r>
  <r>
    <x v="5"/>
    <x v="20"/>
    <x v="20"/>
    <x v="13"/>
    <x v="5"/>
    <s v="Viru-Jaagupi piirkond"/>
    <s v="trimmerdaja"/>
    <n v="120"/>
    <s v="tundi"/>
    <n v="5"/>
    <n v="600"/>
    <n v="3"/>
    <m/>
    <n v="1800"/>
    <n v="608.40000000000009"/>
    <m/>
  </r>
  <r>
    <x v="5"/>
    <x v="20"/>
    <x v="20"/>
    <x v="13"/>
    <x v="5"/>
    <s v="Viru-Jaagupi piirkond"/>
    <s v="koolimaja kütja"/>
    <n v="990"/>
    <s v="tundi"/>
    <n v="3.5"/>
    <n v="3465"/>
    <n v="1"/>
    <m/>
    <n v="3465"/>
    <n v="1171.17"/>
    <s v="aasta tundide maht"/>
  </r>
  <r>
    <x v="5"/>
    <x v="21"/>
    <x v="21"/>
    <x v="13"/>
    <x v="5"/>
    <s v="Viru-Jaagupi piirkonna juht"/>
    <s v="Tudu saun koristaja"/>
    <n v="0.5"/>
    <m/>
    <n v="584"/>
    <n v="292"/>
    <n v="12"/>
    <m/>
    <n v="3504"/>
    <n v="1184.3520000000001"/>
    <m/>
  </r>
  <r>
    <x v="5"/>
    <x v="21"/>
    <x v="21"/>
    <x v="13"/>
    <x v="5"/>
    <s v="Viru-Jaagupi piirkonna juht"/>
    <s v="Tudu sauna kütja"/>
    <n v="1"/>
    <m/>
    <n v="584"/>
    <n v="584"/>
    <n v="12"/>
    <m/>
    <n v="7008"/>
    <n v="2368.7040000000002"/>
    <m/>
  </r>
  <r>
    <x v="5"/>
    <x v="21"/>
    <x v="21"/>
    <x v="13"/>
    <x v="5"/>
    <s v="Viru-Jaagupi piirkonna juht"/>
    <s v="Küti saun"/>
    <n v="0.25"/>
    <m/>
    <n v="584"/>
    <n v="146"/>
    <n v="12"/>
    <m/>
    <n v="1752"/>
    <n v="592.17600000000004"/>
    <m/>
  </r>
  <r>
    <x v="5"/>
    <x v="22"/>
    <x v="22"/>
    <x v="13"/>
    <x v="5"/>
    <s v="Viru-Jaagupi piirkonna juht"/>
    <s v="Tudu kalmistuvaht"/>
    <n v="2"/>
    <m/>
    <n v="292"/>
    <n v="584"/>
    <n v="12"/>
    <m/>
    <n v="7008"/>
    <n v="2368.7040000000002"/>
    <m/>
  </r>
  <r>
    <x v="5"/>
    <x v="22"/>
    <x v="22"/>
    <x v="13"/>
    <x v="5"/>
    <s v="Viru-Jaagupi piirkonna juht"/>
    <s v="Viru-Jaagupi kalmistuvaht"/>
    <n v="0.25"/>
    <m/>
    <n v="584"/>
    <n v="146"/>
    <n v="12"/>
    <m/>
    <n v="1752"/>
    <n v="592.17600000000004"/>
    <m/>
  </r>
  <r>
    <x v="0"/>
    <x v="23"/>
    <x v="23"/>
    <x v="0"/>
    <x v="0"/>
    <s v="Vinni-Pajusti raamatukogu"/>
    <s v="Juhataja"/>
    <n v="1"/>
    <m/>
    <n v="1128"/>
    <n v="1128"/>
    <n v="12"/>
    <m/>
    <n v="13536"/>
    <n v="4575.1680000000006"/>
    <m/>
  </r>
  <r>
    <x v="0"/>
    <x v="23"/>
    <x v="23"/>
    <x v="0"/>
    <x v="0"/>
    <s v="Vinni-Pajusti raamatukogu"/>
    <s v="Raamatukoguhoidja"/>
    <n v="1"/>
    <m/>
    <n v="790"/>
    <n v="790"/>
    <n v="12"/>
    <m/>
    <n v="9480"/>
    <n v="3204.2400000000002"/>
    <m/>
  </r>
  <r>
    <x v="0"/>
    <x v="23"/>
    <x v="23"/>
    <x v="0"/>
    <x v="0"/>
    <s v="Vinni-Pajusti raamatukogu"/>
    <s v="Koristaja"/>
    <n v="0.75"/>
    <m/>
    <n v="584"/>
    <n v="438"/>
    <n v="12"/>
    <m/>
    <n v="5256"/>
    <n v="1776.528"/>
    <m/>
  </r>
  <r>
    <x v="0"/>
    <x v="24"/>
    <x v="24"/>
    <x v="0"/>
    <x v="0"/>
    <s v="Viru-Jaagupi raamatukogu"/>
    <s v="Viru-Jaagupi raamatukogu juhataja"/>
    <n v="1"/>
    <m/>
    <n v="762"/>
    <n v="762"/>
    <n v="12"/>
    <n v="2220"/>
    <n v="11364"/>
    <n v="3841.0320000000002"/>
    <s v="Lisatasu kuus 185€; lisatasu töölepingu järgi muuseumi hooldamine"/>
  </r>
  <r>
    <x v="0"/>
    <x v="25"/>
    <x v="25"/>
    <x v="0"/>
    <x v="0"/>
    <s v="Tudu raamatukogu"/>
    <s v="raamatukogu juhataja"/>
    <n v="1"/>
    <m/>
    <n v="845"/>
    <n v="845"/>
    <n v="12"/>
    <n v="1524"/>
    <n v="11664"/>
    <n v="3942.4320000000002"/>
    <s v="Planeeringus 168€ lisatasu märgitud"/>
  </r>
  <r>
    <x v="0"/>
    <x v="26"/>
    <x v="26"/>
    <x v="14"/>
    <x v="0"/>
    <s v="Laekvere Rahva Maja"/>
    <s v="Juhataja"/>
    <n v="1"/>
    <m/>
    <n v="1100"/>
    <n v="1100"/>
    <n v="12"/>
    <m/>
    <n v="13200"/>
    <n v="4461.6000000000004"/>
    <m/>
  </r>
  <r>
    <x v="0"/>
    <x v="26"/>
    <x v="26"/>
    <x v="14"/>
    <x v="0"/>
    <s v="Laekvere Rahva Maja"/>
    <s v="Koristaja"/>
    <n v="1"/>
    <m/>
    <n v="584"/>
    <n v="584"/>
    <n v="12"/>
    <m/>
    <n v="7008"/>
    <n v="2368.7040000000002"/>
    <m/>
  </r>
  <r>
    <x v="0"/>
    <x v="26"/>
    <x v="26"/>
    <x v="14"/>
    <x v="0"/>
    <s v="Laekvere Rahva Maja"/>
    <s v="Tehnik"/>
    <n v="1"/>
    <m/>
    <n v="584"/>
    <n v="584"/>
    <n v="12"/>
    <m/>
    <n v="7008"/>
    <n v="2368.7040000000002"/>
    <m/>
  </r>
  <r>
    <x v="0"/>
    <x v="27"/>
    <x v="27"/>
    <x v="14"/>
    <x v="0"/>
    <s v="Ulvi klubi"/>
    <s v="Juhataja "/>
    <n v="1"/>
    <m/>
    <n v="920"/>
    <n v="920"/>
    <n v="12"/>
    <n v="3600"/>
    <n v="14640"/>
    <n v="4948.3200000000006"/>
    <s v="Lisatasu kuu 300€"/>
  </r>
  <r>
    <x v="0"/>
    <x v="27"/>
    <x v="27"/>
    <x v="14"/>
    <x v="0"/>
    <s v="Ulvi klubi"/>
    <s v="Ringijuht"/>
    <n v="1"/>
    <s v="in"/>
    <n v="150"/>
    <n v="150"/>
    <n v="9"/>
    <m/>
    <n v="1350"/>
    <n v="456.3"/>
    <m/>
  </r>
  <r>
    <x v="0"/>
    <x v="27"/>
    <x v="27"/>
    <x v="14"/>
    <x v="0"/>
    <s v="Ulvi klubi"/>
    <s v="Ringijuht"/>
    <n v="1"/>
    <s v="in"/>
    <n v="60"/>
    <n v="60"/>
    <n v="9"/>
    <m/>
    <n v="540"/>
    <n v="182.52"/>
    <m/>
  </r>
  <r>
    <x v="0"/>
    <x v="27"/>
    <x v="27"/>
    <x v="14"/>
    <x v="0"/>
    <s v="Ulvi klubi"/>
    <s v="Ringijuht"/>
    <n v="1"/>
    <s v="in"/>
    <n v="40"/>
    <n v="40"/>
    <n v="9"/>
    <m/>
    <n v="360"/>
    <n v="121.68"/>
    <m/>
  </r>
  <r>
    <x v="0"/>
    <x v="27"/>
    <x v="27"/>
    <x v="14"/>
    <x v="0"/>
    <s v="Ulvi klubi"/>
    <s v="Ringijuht"/>
    <n v="1"/>
    <s v="in"/>
    <n v="60"/>
    <n v="60"/>
    <n v="9"/>
    <m/>
    <n v="540"/>
    <n v="182.52"/>
    <m/>
  </r>
  <r>
    <x v="0"/>
    <x v="27"/>
    <x v="27"/>
    <x v="14"/>
    <x v="0"/>
    <s v="Ulvi klubi"/>
    <s v="Lepinguliste töötajate töötasu"/>
    <n v="2"/>
    <s v="in"/>
    <n v="60"/>
    <n v="120"/>
    <n v="9"/>
    <m/>
    <n v="1080"/>
    <n v="365.04"/>
    <m/>
  </r>
  <r>
    <x v="0"/>
    <x v="27"/>
    <x v="27"/>
    <x v="14"/>
    <x v="0"/>
    <s v="Ulvi klubi"/>
    <s v="Lepinguliste töötajate töötasu"/>
    <n v="1"/>
    <s v="in"/>
    <n v="40"/>
    <n v="40"/>
    <n v="9"/>
    <m/>
    <n v="360"/>
    <n v="121.68"/>
    <m/>
  </r>
  <r>
    <x v="1"/>
    <x v="28"/>
    <x v="28"/>
    <x v="2"/>
    <x v="1"/>
    <s v="Vinni lasteaed"/>
    <s v="Direktor"/>
    <n v="1"/>
    <m/>
    <n v="1700"/>
    <n v="1700"/>
    <n v="12"/>
    <m/>
    <n v="20400"/>
    <n v="6895.2000000000007"/>
    <m/>
  </r>
  <r>
    <x v="1"/>
    <x v="28"/>
    <x v="28"/>
    <x v="2"/>
    <x v="1"/>
    <s v="Vinni lasteaed"/>
    <s v="Lasteaiaõpetaja-kõrgem"/>
    <n v="7"/>
    <m/>
    <n v="1315"/>
    <n v="9205"/>
    <n v="12"/>
    <m/>
    <n v="110460"/>
    <n v="37335.480000000003"/>
    <m/>
  </r>
  <r>
    <x v="1"/>
    <x v="28"/>
    <x v="28"/>
    <x v="2"/>
    <x v="1"/>
    <s v="Vinni lasteaed"/>
    <s v="Lasteaiaõpetaja"/>
    <n v="5"/>
    <m/>
    <n v="1183.5"/>
    <n v="5917.5"/>
    <n v="12"/>
    <m/>
    <n v="71010"/>
    <n v="24001.38"/>
    <m/>
  </r>
  <r>
    <x v="1"/>
    <x v="28"/>
    <x v="28"/>
    <x v="2"/>
    <x v="1"/>
    <s v="Vinni lasteaed"/>
    <s v="Liikumisõpetaja"/>
    <n v="0.75"/>
    <m/>
    <n v="1183.5"/>
    <n v="887.625"/>
    <n v="12"/>
    <m/>
    <n v="10651.5"/>
    <n v="3600.2070000000003"/>
    <m/>
  </r>
  <r>
    <x v="1"/>
    <x v="28"/>
    <x v="28"/>
    <x v="2"/>
    <x v="1"/>
    <s v="Vinni lasteaed"/>
    <s v="Muusikaõpetaja"/>
    <n v="0.75"/>
    <m/>
    <n v="1183.5"/>
    <n v="887.625"/>
    <n v="12"/>
    <m/>
    <n v="10651.5"/>
    <n v="3600.2070000000003"/>
    <m/>
  </r>
  <r>
    <x v="1"/>
    <x v="28"/>
    <x v="28"/>
    <x v="2"/>
    <x v="1"/>
    <s v="Vinni lasteaed"/>
    <s v="Logopeed"/>
    <n v="1"/>
    <m/>
    <n v="1315"/>
    <n v="1315"/>
    <n v="12"/>
    <m/>
    <n v="15780"/>
    <n v="5333.64"/>
    <m/>
  </r>
  <r>
    <x v="1"/>
    <x v="28"/>
    <x v="28"/>
    <x v="2"/>
    <x v="1"/>
    <s v="Vinni lasteaed"/>
    <s v="Õpetajaabi"/>
    <n v="6"/>
    <m/>
    <n v="702"/>
    <n v="4212"/>
    <n v="12"/>
    <m/>
    <n v="50544"/>
    <n v="17083.871999999999"/>
    <m/>
  </r>
  <r>
    <x v="1"/>
    <x v="28"/>
    <x v="28"/>
    <x v="2"/>
    <x v="1"/>
    <s v="Vinni lasteaed"/>
    <s v="Majandusjuhataja-laohoidja"/>
    <n v="1"/>
    <m/>
    <n v="702"/>
    <n v="702"/>
    <n v="12"/>
    <m/>
    <n v="8424"/>
    <n v="2847.3120000000004"/>
    <m/>
  </r>
  <r>
    <x v="1"/>
    <x v="28"/>
    <x v="28"/>
    <x v="2"/>
    <x v="1"/>
    <s v="Vinni lasteaed"/>
    <s v="Kokk"/>
    <n v="1"/>
    <m/>
    <n v="600"/>
    <n v="600"/>
    <n v="12"/>
    <m/>
    <n v="7200"/>
    <n v="2433.6000000000004"/>
    <m/>
  </r>
  <r>
    <x v="1"/>
    <x v="28"/>
    <x v="28"/>
    <x v="2"/>
    <x v="1"/>
    <s v="Vinni lasteaed"/>
    <s v="Kokk"/>
    <n v="1"/>
    <m/>
    <n v="664"/>
    <n v="664"/>
    <n v="12"/>
    <m/>
    <n v="7968"/>
    <n v="2693.1840000000002"/>
    <m/>
  </r>
  <r>
    <x v="1"/>
    <x v="28"/>
    <x v="28"/>
    <x v="2"/>
    <x v="1"/>
    <s v="Vinni lasteaed"/>
    <s v="Koristaja"/>
    <n v="0.75"/>
    <m/>
    <n v="584"/>
    <n v="438"/>
    <n v="12"/>
    <m/>
    <n v="5256"/>
    <n v="1776.528"/>
    <m/>
  </r>
  <r>
    <x v="1"/>
    <x v="28"/>
    <x v="28"/>
    <x v="2"/>
    <x v="1"/>
    <s v="Vinni lasteaed"/>
    <s v="Majahoidja"/>
    <n v="1"/>
    <m/>
    <n v="584"/>
    <n v="584"/>
    <n v="12"/>
    <m/>
    <n v="7008"/>
    <n v="2368.7040000000002"/>
    <m/>
  </r>
  <r>
    <x v="1"/>
    <x v="28"/>
    <x v="28"/>
    <x v="2"/>
    <x v="1"/>
    <s v="Vinni lasteaed"/>
    <s v="Valvur"/>
    <n v="2.21"/>
    <m/>
    <n v="584"/>
    <n v="1290.6399999999999"/>
    <n v="12"/>
    <m/>
    <n v="15487.679999999998"/>
    <n v="5234.8358399999997"/>
    <m/>
  </r>
  <r>
    <x v="1"/>
    <x v="29"/>
    <x v="29"/>
    <x v="2"/>
    <x v="1"/>
    <s v="Pajusti lasteaed"/>
    <s v="õpetaja (magister)"/>
    <n v="2"/>
    <m/>
    <n v="1250"/>
    <n v="2500"/>
    <n v="12"/>
    <m/>
    <n v="30000"/>
    <n v="10140"/>
    <m/>
  </r>
  <r>
    <x v="1"/>
    <x v="29"/>
    <x v="29"/>
    <x v="2"/>
    <x v="1"/>
    <s v="Pajusti lasteaed"/>
    <s v="õpetaja (bakalaureus)"/>
    <n v="4"/>
    <m/>
    <n v="1183.5"/>
    <n v="4734"/>
    <n v="12"/>
    <m/>
    <n v="56808"/>
    <n v="19201.104000000003"/>
    <m/>
  </r>
  <r>
    <x v="1"/>
    <x v="29"/>
    <x v="29"/>
    <x v="2"/>
    <x v="1"/>
    <s v="Pajusti lasteaed"/>
    <s v="muusikaõpetaja"/>
    <n v="0.38"/>
    <m/>
    <n v="1315"/>
    <n v="499.7"/>
    <n v="12"/>
    <m/>
    <n v="5996.4"/>
    <n v="2026.7832000000001"/>
    <m/>
  </r>
  <r>
    <x v="1"/>
    <x v="29"/>
    <x v="29"/>
    <x v="2"/>
    <x v="1"/>
    <s v="Pajusti lasteaed"/>
    <s v="liikumisõpetaja"/>
    <n v="0.25"/>
    <m/>
    <n v="1252"/>
    <n v="313"/>
    <n v="12"/>
    <m/>
    <n v="3756"/>
    <n v="1269.528"/>
    <m/>
  </r>
  <r>
    <x v="1"/>
    <x v="29"/>
    <x v="29"/>
    <x v="2"/>
    <x v="1"/>
    <s v="Pajusti lasteaed"/>
    <s v="liikumisõpetaja 7 kuud"/>
    <n v="0.13"/>
    <m/>
    <n v="1183.5"/>
    <n v="153.85500000000002"/>
    <n v="7"/>
    <m/>
    <n v="1076.9850000000001"/>
    <n v="364.02093000000008"/>
    <m/>
  </r>
  <r>
    <x v="1"/>
    <x v="29"/>
    <x v="29"/>
    <x v="2"/>
    <x v="1"/>
    <s v="Pajusti lasteaed"/>
    <s v="õpetaja abi"/>
    <n v="3"/>
    <m/>
    <n v="702"/>
    <n v="2106"/>
    <n v="12"/>
    <m/>
    <n v="25272"/>
    <n v="8541.9359999999997"/>
    <m/>
  </r>
  <r>
    <x v="1"/>
    <x v="29"/>
    <x v="29"/>
    <x v="2"/>
    <x v="1"/>
    <s v="Pajusti lasteaed"/>
    <s v="kokk"/>
    <n v="1"/>
    <m/>
    <n v="696"/>
    <n v="696"/>
    <n v="12"/>
    <m/>
    <n v="8352"/>
    <n v="2822.9760000000001"/>
    <m/>
  </r>
  <r>
    <x v="1"/>
    <x v="29"/>
    <x v="29"/>
    <x v="2"/>
    <x v="1"/>
    <s v="Pajusti lasteaed"/>
    <s v="logopeed 8 kuud"/>
    <n v="0.3"/>
    <m/>
    <n v="1315"/>
    <n v="394.5"/>
    <n v="8"/>
    <m/>
    <n v="3156"/>
    <n v="1066.7280000000001"/>
    <m/>
  </r>
  <r>
    <x v="1"/>
    <x v="29"/>
    <x v="29"/>
    <x v="2"/>
    <x v="1"/>
    <s v="Pajusti lasteaed"/>
    <s v="perenaine"/>
    <n v="0.5"/>
    <m/>
    <n v="584"/>
    <n v="292"/>
    <n v="12"/>
    <m/>
    <n v="3504"/>
    <n v="1184.3520000000001"/>
    <m/>
  </r>
  <r>
    <x v="1"/>
    <x v="29"/>
    <x v="29"/>
    <x v="2"/>
    <x v="1"/>
    <s v="Pajusti lasteaed"/>
    <s v="majahoidja"/>
    <n v="1"/>
    <m/>
    <n v="584"/>
    <n v="584"/>
    <n v="12"/>
    <m/>
    <n v="7008"/>
    <n v="2368.7040000000002"/>
    <m/>
  </r>
  <r>
    <x v="1"/>
    <x v="29"/>
    <x v="29"/>
    <x v="2"/>
    <x v="1"/>
    <s v="Pajusti lasteaed"/>
    <s v="direktor"/>
    <n v="1"/>
    <m/>
    <n v="1383"/>
    <n v="1383"/>
    <n v="12"/>
    <m/>
    <n v="16596"/>
    <n v="5609.4480000000003"/>
    <m/>
  </r>
  <r>
    <x v="1"/>
    <x v="29"/>
    <x v="29"/>
    <x v="2"/>
    <x v="1"/>
    <s v="Pajusti lasteaed"/>
    <s v="Preemiad"/>
    <n v="1"/>
    <m/>
    <m/>
    <n v="0"/>
    <m/>
    <n v="1700"/>
    <n v="1700"/>
    <n v="574.6"/>
    <m/>
  </r>
  <r>
    <x v="1"/>
    <x v="30"/>
    <x v="30"/>
    <x v="2"/>
    <x v="1"/>
    <s v="Kulina lasteaed"/>
    <s v="direktor"/>
    <n v="1"/>
    <m/>
    <n v="1315"/>
    <n v="1315"/>
    <n v="12"/>
    <n v="3120"/>
    <n v="18900"/>
    <n v="6388.2000000000007"/>
    <s v="Lisatasu kuus 260"/>
  </r>
  <r>
    <x v="1"/>
    <x v="30"/>
    <x v="30"/>
    <x v="2"/>
    <x v="1"/>
    <s v="Kulina lasteaed"/>
    <s v="õpetaja"/>
    <n v="1"/>
    <m/>
    <n v="1183.5"/>
    <n v="1183.5"/>
    <n v="12"/>
    <m/>
    <n v="14202"/>
    <n v="4800.2760000000007"/>
    <m/>
  </r>
  <r>
    <x v="1"/>
    <x v="30"/>
    <x v="30"/>
    <x v="2"/>
    <x v="1"/>
    <s v="Kulina lasteaed"/>
    <s v="õpetaja"/>
    <n v="1"/>
    <m/>
    <n v="1183.5"/>
    <n v="1183.5"/>
    <n v="12"/>
    <m/>
    <n v="14202"/>
    <n v="4800.2760000000007"/>
    <m/>
  </r>
  <r>
    <x v="1"/>
    <x v="30"/>
    <x v="30"/>
    <x v="2"/>
    <x v="1"/>
    <s v="Kulina lasteaed"/>
    <s v="õpetaja"/>
    <n v="0.75"/>
    <m/>
    <n v="1183.5"/>
    <n v="887.625"/>
    <n v="12"/>
    <m/>
    <n v="10651.5"/>
    <n v="3600.2070000000003"/>
    <m/>
  </r>
  <r>
    <x v="1"/>
    <x v="30"/>
    <x v="30"/>
    <x v="2"/>
    <x v="1"/>
    <s v="Kulina lasteaed"/>
    <s v="õpetaja"/>
    <n v="0.75"/>
    <m/>
    <n v="1183.5"/>
    <n v="887.625"/>
    <n v="12"/>
    <m/>
    <n v="10651.5"/>
    <n v="3600.2070000000003"/>
    <m/>
  </r>
  <r>
    <x v="1"/>
    <x v="30"/>
    <x v="30"/>
    <x v="2"/>
    <x v="1"/>
    <s v="Kulina lasteaed"/>
    <s v="liikumisõpetaja"/>
    <n v="0.25"/>
    <m/>
    <n v="1183.5"/>
    <n v="295.875"/>
    <n v="12"/>
    <m/>
    <n v="3550.5"/>
    <n v="1200.0690000000002"/>
    <m/>
  </r>
  <r>
    <x v="1"/>
    <x v="30"/>
    <x v="30"/>
    <x v="2"/>
    <x v="1"/>
    <s v="Kulina lasteaed"/>
    <s v="muusikaõpetaja"/>
    <n v="0.25"/>
    <m/>
    <n v="1183.5"/>
    <n v="295.875"/>
    <n v="12"/>
    <m/>
    <n v="3550.5"/>
    <n v="1200.0690000000002"/>
    <m/>
  </r>
  <r>
    <x v="1"/>
    <x v="30"/>
    <x v="30"/>
    <x v="2"/>
    <x v="1"/>
    <s v="Kulina lasteaed"/>
    <s v="õpetaja abi"/>
    <n v="1"/>
    <m/>
    <n v="652"/>
    <n v="652"/>
    <n v="12"/>
    <m/>
    <n v="7824"/>
    <n v="2644.5120000000002"/>
    <m/>
  </r>
  <r>
    <x v="1"/>
    <x v="30"/>
    <x v="30"/>
    <x v="2"/>
    <x v="1"/>
    <s v="Kulina lasteaed"/>
    <s v="õpetaja abi"/>
    <n v="0.8"/>
    <m/>
    <n v="652.5"/>
    <n v="522"/>
    <n v="12"/>
    <m/>
    <n v="6264"/>
    <n v="2117.232"/>
    <m/>
  </r>
  <r>
    <x v="1"/>
    <x v="30"/>
    <x v="30"/>
    <x v="2"/>
    <x v="1"/>
    <s v="Kulina lasteaed"/>
    <s v="õpetaja abi"/>
    <n v="0.2"/>
    <m/>
    <n v="650"/>
    <n v="130"/>
    <n v="12"/>
    <m/>
    <n v="1560"/>
    <n v="527.28000000000009"/>
    <m/>
  </r>
  <r>
    <x v="1"/>
    <x v="30"/>
    <x v="30"/>
    <x v="2"/>
    <x v="1"/>
    <s v="Kulina lasteaed"/>
    <s v="pesumasinist"/>
    <n v="0.5"/>
    <m/>
    <n v="584"/>
    <n v="292"/>
    <n v="12"/>
    <m/>
    <n v="3504"/>
    <n v="1184.3520000000001"/>
    <m/>
  </r>
  <r>
    <x v="1"/>
    <x v="30"/>
    <x v="30"/>
    <x v="2"/>
    <x v="1"/>
    <s v="Kulina lasteaed"/>
    <s v="kokk"/>
    <n v="1"/>
    <m/>
    <n v="652"/>
    <n v="652"/>
    <n v="12"/>
    <m/>
    <n v="7824"/>
    <n v="2644.5120000000002"/>
    <m/>
  </r>
  <r>
    <x v="1"/>
    <x v="30"/>
    <x v="30"/>
    <x v="2"/>
    <x v="1"/>
    <s v="Kulina lasteaed"/>
    <s v="aednik"/>
    <n v="1"/>
    <m/>
    <n v="584"/>
    <n v="584"/>
    <n v="12"/>
    <m/>
    <n v="7008"/>
    <n v="2368.7040000000002"/>
    <m/>
  </r>
  <r>
    <x v="1"/>
    <x v="30"/>
    <x v="30"/>
    <x v="2"/>
    <x v="1"/>
    <s v="Kulina lasteaed"/>
    <s v="logopeed"/>
    <n v="0.2"/>
    <m/>
    <n v="1315"/>
    <n v="263"/>
    <n v="12"/>
    <m/>
    <n v="3156"/>
    <n v="1066.7280000000001"/>
    <m/>
  </r>
  <r>
    <x v="1"/>
    <x v="30"/>
    <x v="30"/>
    <x v="2"/>
    <x v="1"/>
    <s v="Kulina lasteaed"/>
    <s v="Lepinguliste töötajate töötasu"/>
    <n v="1"/>
    <s v="in"/>
    <n v="80"/>
    <n v="80"/>
    <n v="7"/>
    <m/>
    <n v="560"/>
    <n v="189.28"/>
    <m/>
  </r>
  <r>
    <x v="1"/>
    <x v="30"/>
    <x v="30"/>
    <x v="2"/>
    <x v="1"/>
    <s v="Kulina lasteaed"/>
    <s v="Asendamised"/>
    <n v="1"/>
    <m/>
    <m/>
    <n v="0"/>
    <n v="1"/>
    <n v="1700"/>
    <n v="1700"/>
    <n v="574.6"/>
    <m/>
  </r>
  <r>
    <x v="1"/>
    <x v="31"/>
    <x v="31"/>
    <x v="2"/>
    <x v="1"/>
    <s v="Ulvi lasteaed"/>
    <s v="lasteaia õpetaja"/>
    <n v="4"/>
    <m/>
    <n v="1183.5"/>
    <n v="4734"/>
    <n v="12"/>
    <m/>
    <n v="56808"/>
    <n v="19201.104000000003"/>
    <m/>
  </r>
  <r>
    <x v="1"/>
    <x v="31"/>
    <x v="31"/>
    <x v="2"/>
    <x v="1"/>
    <s v="Ulvi lasteaed"/>
    <s v="abiõpetaja"/>
    <n v="2"/>
    <m/>
    <n v="630"/>
    <n v="1260"/>
    <n v="12"/>
    <m/>
    <n v="15120"/>
    <n v="5110.5600000000004"/>
    <m/>
  </r>
  <r>
    <x v="1"/>
    <x v="31"/>
    <x v="31"/>
    <x v="2"/>
    <x v="1"/>
    <s v="Ulvi lasteaed"/>
    <s v="muusikaõpetaja"/>
    <n v="0.15"/>
    <m/>
    <n v="973.5"/>
    <n v="146.02500000000001"/>
    <n v="12"/>
    <m/>
    <n v="1752.3000000000002"/>
    <n v="592.27740000000006"/>
    <m/>
  </r>
  <r>
    <x v="1"/>
    <x v="31"/>
    <x v="31"/>
    <x v="2"/>
    <x v="1"/>
    <s v="Ulvi lasteaed"/>
    <s v="kokk"/>
    <n v="1"/>
    <m/>
    <n v="648"/>
    <n v="648"/>
    <n v="12"/>
    <m/>
    <n v="7776"/>
    <n v="2628.288"/>
    <m/>
  </r>
  <r>
    <x v="1"/>
    <x v="31"/>
    <x v="31"/>
    <x v="2"/>
    <x v="1"/>
    <s v="Ulvi lasteaed"/>
    <s v="majandusjuhataja"/>
    <n v="0.5"/>
    <m/>
    <n v="324"/>
    <n v="162"/>
    <n v="12"/>
    <m/>
    <n v="1944"/>
    <n v="657.072"/>
    <m/>
  </r>
  <r>
    <x v="1"/>
    <x v="31"/>
    <x v="31"/>
    <x v="2"/>
    <x v="1"/>
    <s v="Ulvi lasteaed"/>
    <s v="majahoidja"/>
    <n v="0.25"/>
    <m/>
    <n v="584"/>
    <n v="146"/>
    <n v="12"/>
    <n v="1620"/>
    <n v="3372"/>
    <n v="1139.7360000000001"/>
    <s v="Lisatasu kuus 135€"/>
  </r>
  <r>
    <x v="1"/>
    <x v="32"/>
    <x v="32"/>
    <x v="1"/>
    <x v="1"/>
    <s v="Vinni-Pajusti Gümnaasium"/>
    <s v="e-kool"/>
    <n v="0.25"/>
    <m/>
    <n v="584"/>
    <n v="146"/>
    <n v="12"/>
    <m/>
    <n v="1752"/>
    <n v="592.17600000000004"/>
    <m/>
  </r>
  <r>
    <x v="1"/>
    <x v="32"/>
    <x v="32"/>
    <x v="1"/>
    <x v="1"/>
    <s v="Vinni-Pajusti Gümnaasium"/>
    <s v="huvijuht"/>
    <n v="1"/>
    <m/>
    <n v="1315"/>
    <n v="1315"/>
    <n v="12"/>
    <m/>
    <n v="15780"/>
    <n v="5333.64"/>
    <m/>
  </r>
  <r>
    <x v="1"/>
    <x v="32"/>
    <x v="32"/>
    <x v="1"/>
    <x v="1"/>
    <s v="Vinni-Pajusti Gümnaasium"/>
    <s v="haridustehnoloog"/>
    <n v="1"/>
    <m/>
    <n v="1450"/>
    <n v="1450"/>
    <n v="12"/>
    <m/>
    <n v="17400"/>
    <n v="5881.2000000000007"/>
    <m/>
  </r>
  <r>
    <x v="1"/>
    <x v="32"/>
    <x v="32"/>
    <x v="1"/>
    <x v="1"/>
    <s v="Vinni-Pajusti Gümnaasium"/>
    <s v="IT-spetsialist"/>
    <n v="1"/>
    <m/>
    <n v="1315"/>
    <n v="1315"/>
    <n v="12"/>
    <m/>
    <n v="15780"/>
    <n v="5333.64"/>
    <m/>
  </r>
  <r>
    <x v="1"/>
    <x v="32"/>
    <x v="32"/>
    <x v="1"/>
    <x v="1"/>
    <s v="Vinni-Pajusti Gümnaasium"/>
    <s v="klaveriõpetus"/>
    <n v="0.5"/>
    <m/>
    <n v="700"/>
    <n v="350"/>
    <n v="4"/>
    <m/>
    <n v="1400"/>
    <n v="473.20000000000005"/>
    <s v="hetkel täitmata "/>
  </r>
  <r>
    <x v="1"/>
    <x v="32"/>
    <x v="32"/>
    <x v="1"/>
    <x v="1"/>
    <s v="Vinni-Pajusti Gümnaasium"/>
    <s v="kokk"/>
    <n v="1"/>
    <m/>
    <n v="770"/>
    <n v="770"/>
    <n v="12"/>
    <m/>
    <n v="9240"/>
    <n v="3123.1200000000003"/>
    <m/>
  </r>
  <r>
    <x v="1"/>
    <x v="32"/>
    <x v="32"/>
    <x v="1"/>
    <x v="1"/>
    <s v="Vinni-Pajusti Gümnaasium"/>
    <s v="kondiiter"/>
    <n v="0.5"/>
    <m/>
    <n v="650"/>
    <n v="325"/>
    <n v="12"/>
    <m/>
    <n v="3900"/>
    <n v="1318.2"/>
    <m/>
  </r>
  <r>
    <x v="1"/>
    <x v="32"/>
    <x v="32"/>
    <x v="1"/>
    <x v="1"/>
    <s v="Vinni-Pajusti Gümnaasium"/>
    <s v="koristaja"/>
    <n v="6"/>
    <m/>
    <n v="584"/>
    <n v="3504"/>
    <n v="12"/>
    <m/>
    <n v="42048"/>
    <n v="14212.224"/>
    <m/>
  </r>
  <r>
    <x v="1"/>
    <x v="32"/>
    <x v="32"/>
    <x v="1"/>
    <x v="1"/>
    <s v="Vinni-Pajusti Gümnaasium"/>
    <s v="köögi abitööline"/>
    <n v="2"/>
    <m/>
    <n v="590"/>
    <n v="1180"/>
    <n v="12"/>
    <m/>
    <n v="14160"/>
    <n v="4786.08"/>
    <m/>
  </r>
  <r>
    <x v="1"/>
    <x v="32"/>
    <x v="32"/>
    <x v="1"/>
    <x v="1"/>
    <s v="Vinni-Pajusti Gümnaasium"/>
    <s v="laborant"/>
    <n v="0.12"/>
    <m/>
    <n v="584"/>
    <n v="70.08"/>
    <n v="12"/>
    <m/>
    <n v="840.96"/>
    <n v="284.24448000000001"/>
    <m/>
  </r>
  <r>
    <x v="1"/>
    <x v="32"/>
    <x v="32"/>
    <x v="1"/>
    <x v="1"/>
    <s v="Vinni-Pajusti Gümnaasium"/>
    <s v="laborant"/>
    <n v="0.13"/>
    <m/>
    <n v="584"/>
    <n v="75.92"/>
    <n v="12"/>
    <m/>
    <n v="911.04"/>
    <n v="307.93152000000003"/>
    <m/>
  </r>
  <r>
    <x v="1"/>
    <x v="32"/>
    <x v="32"/>
    <x v="1"/>
    <x v="1"/>
    <s v="Vinni-Pajusti Gümnaasium"/>
    <s v="laborant"/>
    <n v="0.25"/>
    <m/>
    <n v="584"/>
    <n v="146"/>
    <n v="12"/>
    <m/>
    <n v="1752"/>
    <n v="592.17600000000004"/>
    <m/>
  </r>
  <r>
    <x v="1"/>
    <x v="32"/>
    <x v="32"/>
    <x v="1"/>
    <x v="1"/>
    <s v="Vinni-Pajusti Gümnaasium"/>
    <s v="laborant"/>
    <n v="0.25"/>
    <m/>
    <n v="584"/>
    <n v="146"/>
    <n v="12"/>
    <m/>
    <n v="1752"/>
    <n v="592.17600000000004"/>
    <m/>
  </r>
  <r>
    <x v="1"/>
    <x v="32"/>
    <x v="32"/>
    <x v="1"/>
    <x v="1"/>
    <s v="Vinni-Pajusti Gümnaasium"/>
    <s v="laborant"/>
    <n v="1"/>
    <m/>
    <n v="584"/>
    <n v="584"/>
    <n v="12"/>
    <m/>
    <n v="7008"/>
    <n v="2368.7040000000002"/>
    <m/>
  </r>
  <r>
    <x v="1"/>
    <x v="32"/>
    <x v="32"/>
    <x v="1"/>
    <x v="1"/>
    <s v="Vinni-Pajusti Gümnaasium"/>
    <s v="lasketiiru meister"/>
    <n v="1"/>
    <m/>
    <n v="584"/>
    <n v="584"/>
    <n v="12"/>
    <m/>
    <n v="7008"/>
    <n v="2368.7040000000002"/>
    <m/>
  </r>
  <r>
    <x v="1"/>
    <x v="32"/>
    <x v="32"/>
    <x v="1"/>
    <x v="1"/>
    <s v="Vinni-Pajusti Gümnaasium"/>
    <s v="logopeed"/>
    <n v="0.3"/>
    <m/>
    <n v="1315"/>
    <n v="394.5"/>
    <n v="12"/>
    <m/>
    <n v="4734"/>
    <n v="1600.0920000000001"/>
    <m/>
  </r>
  <r>
    <x v="1"/>
    <x v="32"/>
    <x v="32"/>
    <x v="1"/>
    <x v="1"/>
    <s v="Vinni-Pajusti Gümnaasium"/>
    <s v="logopeed"/>
    <n v="1"/>
    <m/>
    <n v="1450"/>
    <n v="1450"/>
    <n v="12"/>
    <m/>
    <n v="17400"/>
    <n v="5881.2000000000007"/>
    <m/>
  </r>
  <r>
    <x v="1"/>
    <x v="32"/>
    <x v="32"/>
    <x v="1"/>
    <x v="1"/>
    <s v="Vinni-Pajusti Gümnaasium"/>
    <s v="majahoidja"/>
    <n v="0.5"/>
    <m/>
    <n v="584"/>
    <n v="292"/>
    <n v="12"/>
    <m/>
    <n v="3504"/>
    <n v="1184.3520000000001"/>
    <m/>
  </r>
  <r>
    <x v="1"/>
    <x v="32"/>
    <x v="32"/>
    <x v="1"/>
    <x v="1"/>
    <s v="Vinni-Pajusti Gümnaasium"/>
    <s v="majahoidja"/>
    <n v="0.5"/>
    <m/>
    <n v="584"/>
    <n v="292"/>
    <n v="12"/>
    <m/>
    <n v="3504"/>
    <n v="1184.3520000000001"/>
    <m/>
  </r>
  <r>
    <x v="1"/>
    <x v="32"/>
    <x v="32"/>
    <x v="1"/>
    <x v="1"/>
    <s v="Vinni-Pajusti Gümnaasium"/>
    <s v="majandusjuhataja"/>
    <n v="1"/>
    <m/>
    <n v="1100"/>
    <n v="1100"/>
    <n v="12"/>
    <m/>
    <n v="13200"/>
    <n v="4461.6000000000004"/>
    <m/>
  </r>
  <r>
    <x v="1"/>
    <x v="32"/>
    <x v="32"/>
    <x v="1"/>
    <x v="1"/>
    <s v="Vinni-Pajusti Gümnaasium"/>
    <s v="med.õde"/>
    <n v="0.5"/>
    <m/>
    <n v="700"/>
    <n v="350"/>
    <n v="12"/>
    <m/>
    <n v="4200"/>
    <n v="1419.6000000000001"/>
    <m/>
  </r>
  <r>
    <x v="1"/>
    <x v="32"/>
    <x v="32"/>
    <x v="1"/>
    <x v="1"/>
    <s v="Vinni-Pajusti Gümnaasium"/>
    <s v="nõustamine"/>
    <n v="0.05"/>
    <m/>
    <n v="1315"/>
    <n v="65.75"/>
    <n v="12"/>
    <m/>
    <n v="789"/>
    <n v="266.68200000000002"/>
    <m/>
  </r>
  <r>
    <x v="1"/>
    <x v="32"/>
    <x v="32"/>
    <x v="1"/>
    <x v="1"/>
    <s v="Vinni-Pajusti Gümnaasium"/>
    <s v="ppr kasvataja"/>
    <n v="0.05"/>
    <m/>
    <n v="700"/>
    <n v="35"/>
    <n v="10"/>
    <m/>
    <n v="350"/>
    <n v="118.30000000000001"/>
    <m/>
  </r>
  <r>
    <x v="1"/>
    <x v="32"/>
    <x v="32"/>
    <x v="1"/>
    <x v="1"/>
    <s v="Vinni-Pajusti Gümnaasium"/>
    <s v="ppr kasvataja"/>
    <n v="0.05"/>
    <m/>
    <n v="700"/>
    <n v="35"/>
    <n v="10"/>
    <m/>
    <n v="350"/>
    <n v="118.30000000000001"/>
    <m/>
  </r>
  <r>
    <x v="1"/>
    <x v="32"/>
    <x v="32"/>
    <x v="1"/>
    <x v="1"/>
    <s v="Vinni-Pajusti Gümnaasium"/>
    <s v="ppr kasvataja"/>
    <n v="7.0000000000000007E-2"/>
    <m/>
    <n v="700"/>
    <n v="49.000000000000007"/>
    <n v="10"/>
    <m/>
    <n v="490.00000000000006"/>
    <n v="165.62000000000003"/>
    <m/>
  </r>
  <r>
    <x v="1"/>
    <x v="32"/>
    <x v="32"/>
    <x v="1"/>
    <x v="1"/>
    <s v="Vinni-Pajusti Gümnaasium"/>
    <s v="ppr kasvataja"/>
    <n v="0.09"/>
    <m/>
    <n v="700"/>
    <n v="63"/>
    <n v="10"/>
    <m/>
    <n v="630"/>
    <n v="212.94000000000003"/>
    <m/>
  </r>
  <r>
    <x v="1"/>
    <x v="32"/>
    <x v="32"/>
    <x v="1"/>
    <x v="1"/>
    <s v="Vinni-Pajusti Gümnaasium"/>
    <s v="ppr kasvataja"/>
    <n v="0.09"/>
    <m/>
    <n v="700"/>
    <n v="63"/>
    <n v="10"/>
    <m/>
    <n v="630"/>
    <n v="212.94000000000003"/>
    <m/>
  </r>
  <r>
    <x v="1"/>
    <x v="32"/>
    <x v="32"/>
    <x v="1"/>
    <x v="1"/>
    <s v="Vinni-Pajusti Gümnaasium"/>
    <s v="ppr kasvataja"/>
    <n v="0.09"/>
    <m/>
    <n v="700"/>
    <n v="63"/>
    <n v="10"/>
    <m/>
    <n v="630"/>
    <n v="212.94000000000003"/>
    <m/>
  </r>
  <r>
    <x v="1"/>
    <x v="32"/>
    <x v="32"/>
    <x v="1"/>
    <x v="1"/>
    <s v="Vinni-Pajusti Gümnaasium"/>
    <s v="ppr kasvataja"/>
    <n v="0.11"/>
    <m/>
    <n v="700"/>
    <n v="77"/>
    <n v="10"/>
    <m/>
    <n v="770"/>
    <n v="260.26"/>
    <m/>
  </r>
  <r>
    <x v="1"/>
    <x v="32"/>
    <x v="32"/>
    <x v="1"/>
    <x v="1"/>
    <s v="Vinni-Pajusti Gümnaasium"/>
    <s v="ppr kasvataja"/>
    <n v="0.14000000000000001"/>
    <m/>
    <n v="700"/>
    <n v="98.000000000000014"/>
    <n v="10"/>
    <m/>
    <n v="980.00000000000011"/>
    <n v="331.24000000000007"/>
    <m/>
  </r>
  <r>
    <x v="1"/>
    <x v="32"/>
    <x v="32"/>
    <x v="1"/>
    <x v="1"/>
    <s v="Vinni-Pajusti Gümnaasium"/>
    <s v="ppr kasvataja"/>
    <n v="0.14000000000000001"/>
    <m/>
    <n v="700"/>
    <n v="98.000000000000014"/>
    <n v="10"/>
    <m/>
    <n v="980.00000000000011"/>
    <n v="331.24000000000007"/>
    <m/>
  </r>
  <r>
    <x v="1"/>
    <x v="32"/>
    <x v="32"/>
    <x v="1"/>
    <x v="1"/>
    <s v="Vinni-Pajusti Gümnaasium"/>
    <s v="ppr kasvataja"/>
    <n v="0.14000000000000001"/>
    <m/>
    <n v="700"/>
    <n v="98.000000000000014"/>
    <n v="10"/>
    <m/>
    <n v="980.00000000000011"/>
    <n v="331.24000000000007"/>
    <m/>
  </r>
  <r>
    <x v="1"/>
    <x v="32"/>
    <x v="32"/>
    <x v="1"/>
    <x v="1"/>
    <s v="Vinni-Pajusti Gümnaasium"/>
    <s v="ppr kasvataja"/>
    <n v="0.14000000000000001"/>
    <m/>
    <n v="700"/>
    <n v="98.000000000000014"/>
    <n v="10"/>
    <m/>
    <n v="980.00000000000011"/>
    <n v="331.24000000000007"/>
    <m/>
  </r>
  <r>
    <x v="1"/>
    <x v="32"/>
    <x v="32"/>
    <x v="1"/>
    <x v="1"/>
    <s v="Vinni-Pajusti Gümnaasium"/>
    <s v="ppr kasvataja"/>
    <n v="0.23"/>
    <m/>
    <n v="700"/>
    <n v="161"/>
    <n v="10"/>
    <m/>
    <n v="1610"/>
    <n v="544.18000000000006"/>
    <m/>
  </r>
  <r>
    <x v="1"/>
    <x v="32"/>
    <x v="32"/>
    <x v="1"/>
    <x v="1"/>
    <s v="Vinni-Pajusti Gümnaasium"/>
    <s v="ppr kasvataja"/>
    <n v="0.27"/>
    <m/>
    <n v="700"/>
    <n v="189"/>
    <n v="10"/>
    <m/>
    <n v="1890"/>
    <n v="638.82000000000005"/>
    <m/>
  </r>
  <r>
    <x v="1"/>
    <x v="32"/>
    <x v="32"/>
    <x v="1"/>
    <x v="1"/>
    <s v="Vinni-Pajusti Gümnaasium"/>
    <s v="psühholoog"/>
    <n v="1"/>
    <m/>
    <n v="1315"/>
    <n v="1315"/>
    <n v="12"/>
    <m/>
    <n v="15780"/>
    <n v="5333.64"/>
    <m/>
  </r>
  <r>
    <x v="1"/>
    <x v="32"/>
    <x v="32"/>
    <x v="1"/>
    <x v="1"/>
    <s v="Vinni-Pajusti Gümnaasium"/>
    <s v="raamatukoguhoidja"/>
    <n v="1"/>
    <m/>
    <n v="700"/>
    <n v="700"/>
    <n v="12"/>
    <m/>
    <n v="8400"/>
    <n v="2839.2000000000003"/>
    <m/>
  </r>
  <r>
    <x v="1"/>
    <x v="32"/>
    <x v="32"/>
    <x v="1"/>
    <x v="1"/>
    <s v="Vinni-Pajusti Gümnaasium"/>
    <s v="remonditööline"/>
    <n v="1"/>
    <m/>
    <n v="584"/>
    <n v="584"/>
    <n v="12"/>
    <m/>
    <n v="7008"/>
    <n v="2368.7040000000002"/>
    <m/>
  </r>
  <r>
    <x v="1"/>
    <x v="32"/>
    <x v="32"/>
    <x v="1"/>
    <x v="1"/>
    <s v="Vinni-Pajusti Gümnaasium"/>
    <s v="ringijuht (huvitav keemia)"/>
    <n v="0.09"/>
    <m/>
    <n v="700"/>
    <n v="63"/>
    <n v="10"/>
    <m/>
    <n v="630"/>
    <n v="212.94000000000003"/>
    <m/>
  </r>
  <r>
    <x v="1"/>
    <x v="32"/>
    <x v="32"/>
    <x v="1"/>
    <x v="1"/>
    <s v="Vinni-Pajusti Gümnaasium"/>
    <s v="ringijuht (jalgpall, sulgpall, korvpall)"/>
    <n v="0.27"/>
    <m/>
    <n v="700"/>
    <n v="189"/>
    <n v="10"/>
    <m/>
    <n v="1890"/>
    <n v="638.82000000000005"/>
    <m/>
  </r>
  <r>
    <x v="1"/>
    <x v="32"/>
    <x v="32"/>
    <x v="1"/>
    <x v="1"/>
    <s v="Vinni-Pajusti Gümnaasium"/>
    <s v="ringijuht (judo, sumo)"/>
    <n v="0.27"/>
    <m/>
    <n v="700"/>
    <n v="189"/>
    <n v="10"/>
    <m/>
    <n v="1890"/>
    <n v="638.82000000000005"/>
    <m/>
  </r>
  <r>
    <x v="1"/>
    <x v="32"/>
    <x v="32"/>
    <x v="1"/>
    <x v="1"/>
    <s v="Vinni-Pajusti Gümnaasium"/>
    <s v="ringijuht (keelesõber)"/>
    <n v="0.09"/>
    <m/>
    <n v="700"/>
    <n v="63"/>
    <n v="10"/>
    <m/>
    <n v="630"/>
    <n v="212.94000000000003"/>
    <m/>
  </r>
  <r>
    <x v="1"/>
    <x v="32"/>
    <x v="32"/>
    <x v="1"/>
    <x v="1"/>
    <s v="Vinni-Pajusti Gümnaasium"/>
    <s v="ringijuht (kergejõustik)"/>
    <n v="1"/>
    <m/>
    <n v="700"/>
    <n v="700"/>
    <n v="10"/>
    <m/>
    <n v="7000"/>
    <n v="2366"/>
    <m/>
  </r>
  <r>
    <x v="1"/>
    <x v="32"/>
    <x v="32"/>
    <x v="1"/>
    <x v="1"/>
    <s v="Vinni-Pajusti Gümnaasium"/>
    <s v="ringijuht (kergejõustik)"/>
    <n v="0.45"/>
    <m/>
    <n v="700"/>
    <n v="315"/>
    <n v="10"/>
    <m/>
    <n v="3150"/>
    <n v="1064.7"/>
    <m/>
  </r>
  <r>
    <x v="1"/>
    <x v="32"/>
    <x v="32"/>
    <x v="1"/>
    <x v="1"/>
    <s v="Vinni-Pajusti Gümnaasium"/>
    <s v="ringijuht (klaverisaade)"/>
    <n v="0.5"/>
    <m/>
    <n v="700"/>
    <n v="350"/>
    <n v="10"/>
    <m/>
    <n v="3500"/>
    <n v="1183"/>
    <s v="lisatasu klaveriõpetajale"/>
  </r>
  <r>
    <x v="1"/>
    <x v="32"/>
    <x v="32"/>
    <x v="1"/>
    <x v="1"/>
    <s v="Vinni-Pajusti Gümnaasium"/>
    <s v="ringijuht (kodundus)"/>
    <n v="0.09"/>
    <m/>
    <n v="700"/>
    <n v="63"/>
    <n v="10"/>
    <m/>
    <n v="630"/>
    <n v="212.94000000000003"/>
    <m/>
  </r>
  <r>
    <x v="1"/>
    <x v="32"/>
    <x v="32"/>
    <x v="1"/>
    <x v="1"/>
    <s v="Vinni-Pajusti Gümnaasium"/>
    <s v="ringijuht (kodu-uurimine)"/>
    <n v="0.05"/>
    <m/>
    <n v="700"/>
    <n v="35"/>
    <n v="10"/>
    <m/>
    <n v="350"/>
    <n v="118.30000000000001"/>
    <m/>
  </r>
  <r>
    <x v="1"/>
    <x v="32"/>
    <x v="32"/>
    <x v="1"/>
    <x v="1"/>
    <s v="Vinni-Pajusti Gümnaasium"/>
    <s v="ringijuht (koolikujundus)"/>
    <n v="0.09"/>
    <m/>
    <n v="700"/>
    <n v="63"/>
    <n v="10"/>
    <m/>
    <n v="630"/>
    <n v="212.94000000000003"/>
    <m/>
  </r>
  <r>
    <x v="1"/>
    <x v="32"/>
    <x v="32"/>
    <x v="1"/>
    <x v="1"/>
    <s v="Vinni-Pajusti Gümnaasium"/>
    <s v="ringijuht (kooliraadio)"/>
    <n v="0.09"/>
    <m/>
    <n v="700"/>
    <n v="63"/>
    <n v="4"/>
    <m/>
    <n v="252"/>
    <n v="85.176000000000002"/>
    <s v="hetkel täitmata "/>
  </r>
  <r>
    <x v="1"/>
    <x v="32"/>
    <x v="32"/>
    <x v="1"/>
    <x v="1"/>
    <s v="Vinni-Pajusti Gümnaasium"/>
    <s v="ringijuht (Kooli-TV)"/>
    <n v="0.14000000000000001"/>
    <m/>
    <n v="700"/>
    <n v="98.000000000000014"/>
    <n v="4"/>
    <m/>
    <n v="392.00000000000006"/>
    <n v="132.49600000000004"/>
    <s v="hetkel täitmata "/>
  </r>
  <r>
    <x v="1"/>
    <x v="32"/>
    <x v="32"/>
    <x v="1"/>
    <x v="1"/>
    <s v="Vinni-Pajusti Gümnaasium"/>
    <s v="ringijuht (Kooli-TV)"/>
    <n v="0.32"/>
    <m/>
    <n v="700"/>
    <n v="224"/>
    <n v="4"/>
    <m/>
    <n v="896"/>
    <n v="302.84800000000001"/>
    <s v="hetkel täitmata "/>
  </r>
  <r>
    <x v="1"/>
    <x v="32"/>
    <x v="32"/>
    <x v="1"/>
    <x v="1"/>
    <s v="Vinni-Pajusti Gümnaasium"/>
    <s v="ringijuht (koorid(mudilas, laste)"/>
    <n v="0.36"/>
    <m/>
    <n v="700"/>
    <n v="252"/>
    <n v="10"/>
    <m/>
    <n v="2520"/>
    <n v="851.7600000000001"/>
    <m/>
  </r>
  <r>
    <x v="1"/>
    <x v="32"/>
    <x v="32"/>
    <x v="1"/>
    <x v="1"/>
    <s v="Vinni-Pajusti Gümnaasium"/>
    <s v="ringijuht (käsitöö)"/>
    <n v="0.09"/>
    <m/>
    <n v="700"/>
    <n v="63"/>
    <n v="10"/>
    <m/>
    <n v="630"/>
    <n v="212.94000000000003"/>
    <s v="lisatasu õpetajale"/>
  </r>
  <r>
    <x v="1"/>
    <x v="32"/>
    <x v="32"/>
    <x v="1"/>
    <x v="1"/>
    <s v="Vinni-Pajusti Gümnaasium"/>
    <s v="ringijuht (male)"/>
    <n v="0.36"/>
    <m/>
    <n v="700"/>
    <n v="252"/>
    <n v="10"/>
    <m/>
    <n v="2520"/>
    <n v="851.7600000000001"/>
    <m/>
  </r>
  <r>
    <x v="1"/>
    <x v="32"/>
    <x v="32"/>
    <x v="1"/>
    <x v="1"/>
    <s v="Vinni-Pajusti Gümnaasium"/>
    <s v="ringijuht (matkaring)"/>
    <n v="0.09"/>
    <m/>
    <n v="700"/>
    <n v="63"/>
    <n v="10"/>
    <m/>
    <n v="630"/>
    <n v="212.94000000000003"/>
    <s v="alustavad jaanuarist"/>
  </r>
  <r>
    <x v="1"/>
    <x v="32"/>
    <x v="32"/>
    <x v="1"/>
    <x v="1"/>
    <s v="Vinni-Pajusti Gümnaasium"/>
    <s v="ringijuht (matkaring)"/>
    <n v="0.09"/>
    <m/>
    <n v="700"/>
    <n v="63"/>
    <n v="10"/>
    <m/>
    <n v="630"/>
    <n v="212.94000000000003"/>
    <s v="alustavad jaanuarist"/>
  </r>
  <r>
    <x v="1"/>
    <x v="32"/>
    <x v="32"/>
    <x v="1"/>
    <x v="1"/>
    <s v="Vinni-Pajusti Gümnaasium"/>
    <s v="ringijuht (meedia)"/>
    <n v="0.09"/>
    <m/>
    <n v="700"/>
    <n v="63"/>
    <n v="4"/>
    <m/>
    <n v="252"/>
    <n v="85.176000000000002"/>
    <s v="hetkel täitmata "/>
  </r>
  <r>
    <x v="1"/>
    <x v="32"/>
    <x v="32"/>
    <x v="1"/>
    <x v="1"/>
    <s v="Vinni-Pajusti Gümnaasium"/>
    <s v="ringijuht (meisterdamine)"/>
    <n v="0.18"/>
    <m/>
    <n v="700"/>
    <n v="126"/>
    <n v="10"/>
    <m/>
    <n v="1260"/>
    <n v="425.88000000000005"/>
    <m/>
  </r>
  <r>
    <x v="1"/>
    <x v="32"/>
    <x v="32"/>
    <x v="1"/>
    <x v="1"/>
    <s v="Vinni-Pajusti Gümnaasium"/>
    <s v="ringijuht (mini RC/automudelism)"/>
    <n v="0.09"/>
    <m/>
    <n v="700"/>
    <n v="63"/>
    <n v="4"/>
    <m/>
    <n v="252"/>
    <n v="85.176000000000002"/>
    <s v="hetkel täitmata "/>
  </r>
  <r>
    <x v="1"/>
    <x v="32"/>
    <x v="32"/>
    <x v="1"/>
    <x v="1"/>
    <s v="Vinni-Pajusti Gümnaasium"/>
    <s v="ringijuht (mini RC/automudelism)"/>
    <n v="0.45"/>
    <m/>
    <n v="700"/>
    <n v="315"/>
    <n v="10"/>
    <m/>
    <n v="3150"/>
    <n v="1064.7"/>
    <m/>
  </r>
  <r>
    <x v="1"/>
    <x v="32"/>
    <x v="32"/>
    <x v="1"/>
    <x v="1"/>
    <s v="Vinni-Pajusti Gümnaasium"/>
    <s v="ringijuht (mudil. k, ans, solistid)"/>
    <n v="0.18"/>
    <m/>
    <n v="700"/>
    <n v="126"/>
    <n v="10"/>
    <m/>
    <n v="1260"/>
    <n v="425.88000000000005"/>
    <m/>
  </r>
  <r>
    <x v="1"/>
    <x v="32"/>
    <x v="32"/>
    <x v="1"/>
    <x v="1"/>
    <s v="Vinni-Pajusti Gümnaasium"/>
    <s v="ringijuht (muuseum)"/>
    <n v="0.05"/>
    <m/>
    <n v="700"/>
    <n v="35"/>
    <n v="10"/>
    <m/>
    <n v="350"/>
    <n v="118.30000000000001"/>
    <s v="lisatasu õpetajale"/>
  </r>
  <r>
    <x v="1"/>
    <x v="32"/>
    <x v="32"/>
    <x v="1"/>
    <x v="1"/>
    <s v="Vinni-Pajusti Gümnaasium"/>
    <s v="ringijuht (mälumängud)"/>
    <n v="0.05"/>
    <m/>
    <n v="700"/>
    <n v="35"/>
    <n v="10"/>
    <m/>
    <n v="350"/>
    <n v="118.30000000000001"/>
    <m/>
  </r>
  <r>
    <x v="1"/>
    <x v="32"/>
    <x v="32"/>
    <x v="1"/>
    <x v="1"/>
    <s v="Vinni-Pajusti Gümnaasium"/>
    <s v="ringijuht (mälumängud)"/>
    <n v="0.09"/>
    <m/>
    <n v="700"/>
    <n v="63"/>
    <n v="10"/>
    <m/>
    <n v="630"/>
    <n v="212.94000000000003"/>
    <m/>
  </r>
  <r>
    <x v="1"/>
    <x v="32"/>
    <x v="32"/>
    <x v="1"/>
    <x v="1"/>
    <s v="Vinni-Pajusti Gümnaasium"/>
    <s v="ringijuht (näitering)"/>
    <n v="0.09"/>
    <m/>
    <n v="700"/>
    <n v="63"/>
    <n v="10"/>
    <m/>
    <n v="630"/>
    <n v="212.94000000000003"/>
    <m/>
  </r>
  <r>
    <x v="1"/>
    <x v="32"/>
    <x v="32"/>
    <x v="1"/>
    <x v="1"/>
    <s v="Vinni-Pajusti Gümnaasium"/>
    <s v="ringijuht (orienteerumine)"/>
    <n v="0.18"/>
    <m/>
    <n v="700"/>
    <n v="126"/>
    <n v="4"/>
    <m/>
    <n v="504"/>
    <n v="170.352"/>
    <s v="hetkel täitmata "/>
  </r>
  <r>
    <x v="1"/>
    <x v="32"/>
    <x v="32"/>
    <x v="1"/>
    <x v="1"/>
    <s v="Vinni-Pajusti Gümnaasium"/>
    <s v="ringijuht (pilliõpetus)"/>
    <n v="0.36"/>
    <m/>
    <n v="700"/>
    <n v="252"/>
    <n v="10"/>
    <m/>
    <n v="2520"/>
    <n v="851.7600000000001"/>
    <m/>
  </r>
  <r>
    <x v="1"/>
    <x v="32"/>
    <x v="32"/>
    <x v="1"/>
    <x v="1"/>
    <s v="Vinni-Pajusti Gümnaasium"/>
    <s v="ringijuht (rahvatants)"/>
    <n v="0.09"/>
    <m/>
    <n v="700"/>
    <n v="63"/>
    <n v="10"/>
    <m/>
    <n v="630"/>
    <n v="212.94000000000003"/>
    <s v="lisatasu õpetajale"/>
  </r>
  <r>
    <x v="1"/>
    <x v="32"/>
    <x v="32"/>
    <x v="1"/>
    <x v="1"/>
    <s v="Vinni-Pajusti Gümnaasium"/>
    <s v="ringijuht (robootika)"/>
    <n v="0.45"/>
    <m/>
    <n v="700"/>
    <n v="315"/>
    <n v="10"/>
    <m/>
    <n v="3150"/>
    <n v="1064.7"/>
    <m/>
  </r>
  <r>
    <x v="1"/>
    <x v="32"/>
    <x v="32"/>
    <x v="1"/>
    <x v="1"/>
    <s v="Vinni-Pajusti Gümnaasium"/>
    <s v="ringijuht (rütmiring)"/>
    <n v="0.09"/>
    <m/>
    <n v="700"/>
    <n v="63"/>
    <n v="10"/>
    <m/>
    <n v="630"/>
    <n v="212.94000000000003"/>
    <s v="lisatasu õpetajale"/>
  </r>
  <r>
    <x v="1"/>
    <x v="32"/>
    <x v="32"/>
    <x v="1"/>
    <x v="1"/>
    <s v="Vinni-Pajusti Gümnaasium"/>
    <s v="ringijuht (sõutants)"/>
    <n v="0.18"/>
    <m/>
    <n v="700"/>
    <n v="126"/>
    <n v="4"/>
    <m/>
    <n v="504"/>
    <n v="170.352"/>
    <s v="hetkel täitmata "/>
  </r>
  <r>
    <x v="1"/>
    <x v="32"/>
    <x v="32"/>
    <x v="1"/>
    <x v="1"/>
    <s v="Vinni-Pajusti Gümnaasium"/>
    <s v="ringijuht (tantsuring)"/>
    <n v="0.25"/>
    <m/>
    <n v="700"/>
    <n v="175"/>
    <n v="10"/>
    <m/>
    <n v="1750"/>
    <n v="591.5"/>
    <s v="lisatasu õpetajale"/>
  </r>
  <r>
    <x v="1"/>
    <x v="32"/>
    <x v="32"/>
    <x v="1"/>
    <x v="1"/>
    <s v="Vinni-Pajusti Gümnaasium"/>
    <s v="ringijuht (teadmiste jahil)"/>
    <n v="0.09"/>
    <m/>
    <n v="700"/>
    <n v="63"/>
    <n v="10"/>
    <m/>
    <n v="630"/>
    <n v="212.94000000000003"/>
    <m/>
  </r>
  <r>
    <x v="1"/>
    <x v="32"/>
    <x v="32"/>
    <x v="1"/>
    <x v="1"/>
    <s v="Vinni-Pajusti Gümnaasium"/>
    <s v="ringijuht (teatriring)"/>
    <n v="0.09"/>
    <m/>
    <n v="700"/>
    <n v="63"/>
    <n v="10"/>
    <m/>
    <n v="630"/>
    <n v="212.94000000000003"/>
    <s v="lisatasu õpetajale"/>
  </r>
  <r>
    <x v="1"/>
    <x v="32"/>
    <x v="32"/>
    <x v="1"/>
    <x v="1"/>
    <s v="Vinni-Pajusti Gümnaasium"/>
    <s v="ringijuht (terve VPG)"/>
    <n v="0.14000000000000001"/>
    <m/>
    <n v="700"/>
    <n v="98.000000000000014"/>
    <n v="10"/>
    <m/>
    <n v="980.00000000000011"/>
    <n v="331.24000000000007"/>
    <s v="lisatasu õpetajale"/>
  </r>
  <r>
    <x v="1"/>
    <x v="32"/>
    <x v="32"/>
    <x v="1"/>
    <x v="1"/>
    <s v="Vinni-Pajusti Gümnaasium"/>
    <s v="ringijuht (TORE)"/>
    <n v="0.09"/>
    <m/>
    <n v="700"/>
    <n v="63"/>
    <n v="10"/>
    <m/>
    <n v="630"/>
    <n v="212.94000000000003"/>
    <m/>
  </r>
  <r>
    <x v="1"/>
    <x v="32"/>
    <x v="32"/>
    <x v="1"/>
    <x v="1"/>
    <s v="Vinni-Pajusti Gümnaasium"/>
    <s v="ringijuht (töö- ja tehnoloogia)"/>
    <n v="0.27"/>
    <m/>
    <n v="700"/>
    <n v="189"/>
    <n v="10"/>
    <m/>
    <n v="1890"/>
    <n v="638.82000000000005"/>
    <m/>
  </r>
  <r>
    <x v="1"/>
    <x v="32"/>
    <x v="32"/>
    <x v="1"/>
    <x v="1"/>
    <s v="Vinni-Pajusti Gümnaasium"/>
    <s v="sekretär"/>
    <n v="1"/>
    <m/>
    <n v="700"/>
    <n v="700"/>
    <n v="12"/>
    <m/>
    <n v="8400"/>
    <n v="2839.2000000000003"/>
    <s v="PALK 970"/>
  </r>
  <r>
    <x v="1"/>
    <x v="32"/>
    <x v="32"/>
    <x v="1"/>
    <x v="1"/>
    <s v="Vinni-Pajusti Gümnaasium"/>
    <s v="sots.pedagoog"/>
    <n v="1"/>
    <m/>
    <n v="1315"/>
    <n v="1315"/>
    <n v="12"/>
    <m/>
    <n v="15780"/>
    <n v="5333.64"/>
    <m/>
  </r>
  <r>
    <x v="1"/>
    <x v="32"/>
    <x v="32"/>
    <x v="1"/>
    <x v="1"/>
    <s v="Vinni-Pajusti Gümnaasium"/>
    <s v="söökla juhataja-kokk"/>
    <n v="1"/>
    <m/>
    <n v="940"/>
    <n v="940"/>
    <n v="12"/>
    <m/>
    <n v="11280"/>
    <n v="3812.6400000000003"/>
    <m/>
  </r>
  <r>
    <x v="1"/>
    <x v="32"/>
    <x v="32"/>
    <x v="1"/>
    <x v="1"/>
    <s v="Vinni-Pajusti Gümnaasium"/>
    <s v="valvur"/>
    <n v="1"/>
    <m/>
    <n v="584"/>
    <n v="584"/>
    <n v="12"/>
    <m/>
    <n v="7008"/>
    <n v="2368.7040000000002"/>
    <m/>
  </r>
  <r>
    <x v="1"/>
    <x v="32"/>
    <x v="32"/>
    <x v="1"/>
    <x v="1"/>
    <s v="Vinni-Pajusti Gümnaasium"/>
    <s v="õpetaja abi"/>
    <n v="1"/>
    <m/>
    <n v="700"/>
    <n v="700"/>
    <n v="12"/>
    <m/>
    <n v="8400"/>
    <n v="2839.2000000000003"/>
    <m/>
  </r>
  <r>
    <x v="1"/>
    <x v="32"/>
    <x v="32"/>
    <x v="1"/>
    <x v="1"/>
    <s v="Vinni-Pajusti Gümnaasium"/>
    <s v="HEV õppe koordinaator"/>
    <n v="1"/>
    <m/>
    <n v="1315"/>
    <n v="1315"/>
    <n v="12"/>
    <m/>
    <n v="15780"/>
    <n v="5333.64"/>
    <m/>
  </r>
  <r>
    <x v="1"/>
    <x v="32"/>
    <x v="32"/>
    <x v="1"/>
    <x v="1"/>
    <s v="Vinni-Pajusti Gümnaasium"/>
    <s v="Abiõpetaja"/>
    <n v="1"/>
    <m/>
    <n v="1200"/>
    <n v="1200"/>
    <n v="4"/>
    <m/>
    <n v="4800"/>
    <n v="1622.4"/>
    <s v="hetkel täitmata "/>
  </r>
  <r>
    <x v="1"/>
    <x v="33"/>
    <x v="33"/>
    <x v="1"/>
    <x v="1"/>
    <s v="Põlula kool"/>
    <s v="Pk õpetajate tööjõukulu"/>
    <n v="1"/>
    <s v="aasta"/>
    <n v="57469.357000000004"/>
    <n v="57469.357000000004"/>
    <n v="1"/>
    <m/>
    <n v="57469.357000000004"/>
    <n v="19424.642666000003"/>
    <m/>
  </r>
  <r>
    <x v="1"/>
    <x v="33"/>
    <x v="33"/>
    <x v="1"/>
    <x v="1"/>
    <s v="Põlula kool"/>
    <s v="Juhtide tööjõukulu"/>
    <n v="1"/>
    <m/>
    <n v="5399.85"/>
    <n v="5399.85"/>
    <n v="1"/>
    <m/>
    <n v="5399.85"/>
    <n v="1825.1493000000003"/>
    <m/>
  </r>
  <r>
    <x v="1"/>
    <x v="33"/>
    <x v="33"/>
    <x v="1"/>
    <x v="1"/>
    <s v="Põlula kool"/>
    <s v="sekretär"/>
    <n v="0.3"/>
    <m/>
    <n v="666.7"/>
    <n v="200.01000000000002"/>
    <n v="12"/>
    <m/>
    <n v="2400.1200000000003"/>
    <n v="811.24056000000019"/>
    <m/>
  </r>
  <r>
    <x v="1"/>
    <x v="33"/>
    <x v="33"/>
    <x v="1"/>
    <x v="1"/>
    <s v="Põlula kool"/>
    <s v="raamatukoguhoidja"/>
    <n v="0.25"/>
    <m/>
    <n v="616"/>
    <n v="154"/>
    <n v="12"/>
    <m/>
    <n v="1848"/>
    <n v="624.62400000000002"/>
    <m/>
  </r>
  <r>
    <x v="1"/>
    <x v="33"/>
    <x v="33"/>
    <x v="1"/>
    <x v="1"/>
    <s v="Põlula kool"/>
    <s v="pikapäeva rühma kasvataja"/>
    <n v="0.56999999999999995"/>
    <m/>
    <n v="991.23"/>
    <n v="565.00109999999995"/>
    <n v="12"/>
    <m/>
    <n v="6780.0131999999994"/>
    <n v="2291.6444615999999"/>
    <m/>
  </r>
  <r>
    <x v="1"/>
    <x v="33"/>
    <x v="33"/>
    <x v="1"/>
    <x v="1"/>
    <s v="Põlula kool"/>
    <s v="koristaja"/>
    <n v="1"/>
    <m/>
    <n v="584"/>
    <n v="584"/>
    <n v="12"/>
    <m/>
    <n v="7008"/>
    <n v="2368.7040000000002"/>
    <m/>
  </r>
  <r>
    <x v="1"/>
    <x v="33"/>
    <x v="33"/>
    <x v="1"/>
    <x v="1"/>
    <s v="Põlula kool"/>
    <s v="majahoidja"/>
    <n v="1"/>
    <m/>
    <n v="584"/>
    <n v="584"/>
    <n v="12"/>
    <m/>
    <n v="7008"/>
    <n v="2368.7040000000002"/>
    <m/>
  </r>
  <r>
    <x v="1"/>
    <x v="33"/>
    <x v="33"/>
    <x v="1"/>
    <x v="1"/>
    <s v="Põlula kool"/>
    <s v="kokk"/>
    <n v="1"/>
    <m/>
    <n v="750"/>
    <n v="750"/>
    <n v="12"/>
    <m/>
    <n v="9000"/>
    <n v="3042"/>
    <m/>
  </r>
  <r>
    <x v="1"/>
    <x v="33"/>
    <x v="33"/>
    <x v="1"/>
    <x v="1"/>
    <s v="Põlula kool"/>
    <s v="logopeed"/>
    <n v="0.6"/>
    <m/>
    <n v="983.35"/>
    <n v="590.01"/>
    <n v="12"/>
    <m/>
    <n v="7080.12"/>
    <n v="2393.0805600000003"/>
    <m/>
  </r>
  <r>
    <x v="1"/>
    <x v="33"/>
    <x v="33"/>
    <x v="1"/>
    <x v="1"/>
    <s v="Põlula kool"/>
    <s v="Lisatasud ja preemiad"/>
    <n v="1"/>
    <s v="aasta"/>
    <n v="100"/>
    <n v="100"/>
    <n v="12"/>
    <m/>
    <n v="1200"/>
    <n v="405.6"/>
    <m/>
  </r>
  <r>
    <x v="1"/>
    <x v="34"/>
    <x v="34"/>
    <x v="15"/>
    <x v="1"/>
    <s v="Haridusenõunik"/>
    <s v="Haridusenõunik"/>
    <n v="1"/>
    <m/>
    <n v="1560"/>
    <n v="1560"/>
    <n v="12"/>
    <m/>
    <n v="18720"/>
    <n v="6327.3600000000006"/>
    <m/>
  </r>
  <r>
    <x v="1"/>
    <x v="34"/>
    <x v="34"/>
    <x v="15"/>
    <x v="1"/>
    <s v="Haridusenõunik"/>
    <s v="Metoodik"/>
    <n v="1"/>
    <m/>
    <n v="1450"/>
    <n v="1450"/>
    <n v="12"/>
    <m/>
    <n v="17400"/>
    <n v="5881.2000000000007"/>
    <m/>
  </r>
  <r>
    <x v="1"/>
    <x v="34"/>
    <x v="34"/>
    <x v="15"/>
    <x v="1"/>
    <s v="Haridusenõunik"/>
    <s v="Eripedagoog "/>
    <n v="1"/>
    <m/>
    <n v="1450"/>
    <n v="1450"/>
    <n v="12"/>
    <m/>
    <n v="17400"/>
    <n v="5881.2000000000007"/>
    <m/>
  </r>
  <r>
    <x v="1"/>
    <x v="35"/>
    <x v="35"/>
    <x v="16"/>
    <x v="1"/>
    <s v="Haridusenõunik"/>
    <s v="ringijuhtide tasud valla koolides 145 000"/>
    <n v="1"/>
    <m/>
    <n v="108370.7"/>
    <n v="108370.7"/>
    <n v="1"/>
    <m/>
    <n v="108370.7"/>
    <n v="36629.296600000001"/>
    <m/>
  </r>
  <r>
    <x v="0"/>
    <x v="36"/>
    <x v="36"/>
    <x v="14"/>
    <x v="0"/>
    <s v="Venevere seltsimaja"/>
    <s v="juhataja"/>
    <n v="1"/>
    <m/>
    <n v="690"/>
    <n v="690"/>
    <n v="12"/>
    <m/>
    <n v="8280"/>
    <n v="2798.6400000000003"/>
    <m/>
  </r>
  <r>
    <x v="0"/>
    <x v="36"/>
    <x v="36"/>
    <x v="14"/>
    <x v="0"/>
    <s v="Venevere seltsimaja"/>
    <s v="Lepinguliste töötajate töötasu"/>
    <n v="1"/>
    <m/>
    <m/>
    <n v="0"/>
    <m/>
    <n v="650"/>
    <n v="650"/>
    <n v="219.70000000000002"/>
    <m/>
  </r>
  <r>
    <x v="2"/>
    <x v="37"/>
    <x v="37"/>
    <x v="3"/>
    <x v="2"/>
    <s v="Tammiku kodu"/>
    <s v="hooldaja"/>
    <n v="6"/>
    <m/>
    <n v="748"/>
    <n v="4488"/>
    <n v="12"/>
    <m/>
    <n v="53856"/>
    <n v="18203.328000000001"/>
    <s v="sisaldab palgatõusu"/>
  </r>
  <r>
    <x v="2"/>
    <x v="37"/>
    <x v="37"/>
    <x v="3"/>
    <x v="2"/>
    <s v="Tammiku kodu"/>
    <s v="kokk"/>
    <n v="1"/>
    <m/>
    <n v="660"/>
    <n v="660"/>
    <n v="12"/>
    <m/>
    <n v="7920"/>
    <n v="2676.96"/>
    <s v="sisaldab palgatõusu"/>
  </r>
  <r>
    <x v="2"/>
    <x v="37"/>
    <x v="37"/>
    <x v="3"/>
    <x v="2"/>
    <s v="Tammiku kodu"/>
    <s v="kokk"/>
    <n v="1"/>
    <m/>
    <n v="584"/>
    <n v="584"/>
    <n v="12"/>
    <m/>
    <n v="7008"/>
    <n v="2368.7040000000002"/>
    <s v="sisaldab palgatõusu"/>
  </r>
  <r>
    <x v="2"/>
    <x v="37"/>
    <x v="37"/>
    <x v="3"/>
    <x v="2"/>
    <s v="Tammiku kodu"/>
    <s v="majahoidja"/>
    <n v="0.5"/>
    <m/>
    <n v="584"/>
    <n v="292"/>
    <n v="12"/>
    <m/>
    <n v="3504"/>
    <n v="1184.3520000000001"/>
    <s v="sisaldab palgatõusu"/>
  </r>
  <r>
    <x v="2"/>
    <x v="37"/>
    <x v="37"/>
    <x v="3"/>
    <x v="2"/>
    <s v="Tammiku kodu"/>
    <s v="juhataja"/>
    <n v="1"/>
    <m/>
    <n v="1060"/>
    <n v="1060"/>
    <n v="12"/>
    <m/>
    <n v="12720"/>
    <n v="4299.3600000000006"/>
    <s v="sisaldab palgatõusu"/>
  </r>
  <r>
    <x v="2"/>
    <x v="37"/>
    <x v="37"/>
    <x v="3"/>
    <x v="2"/>
    <s v="Tammiku kodu"/>
    <s v="Lisatasud ja preemiad"/>
    <n v="1"/>
    <m/>
    <m/>
    <n v="0"/>
    <m/>
    <n v="7842"/>
    <n v="7842"/>
    <n v="2650.596"/>
    <m/>
  </r>
  <r>
    <x v="2"/>
    <x v="38"/>
    <x v="38"/>
    <x v="3"/>
    <x v="2"/>
    <s v="Ulvi kodu"/>
    <s v="juhataja"/>
    <n v="1"/>
    <m/>
    <n v="1435"/>
    <n v="1435"/>
    <n v="12"/>
    <m/>
    <n v="17220"/>
    <n v="5820.3600000000006"/>
    <m/>
  </r>
  <r>
    <x v="2"/>
    <x v="38"/>
    <x v="38"/>
    <x v="3"/>
    <x v="2"/>
    <s v="Ulvi kodu"/>
    <s v="Kokk"/>
    <n v="2"/>
    <m/>
    <n v="891"/>
    <n v="1782"/>
    <n v="12"/>
    <m/>
    <n v="21384"/>
    <n v="7227.7920000000004"/>
    <m/>
  </r>
  <r>
    <x v="2"/>
    <x v="38"/>
    <x v="38"/>
    <x v="3"/>
    <x v="2"/>
    <s v="Ulvi kodu"/>
    <s v="majandusjuhataja"/>
    <n v="1"/>
    <m/>
    <n v="880"/>
    <n v="880"/>
    <n v="12"/>
    <m/>
    <n v="10560"/>
    <n v="3569.28"/>
    <m/>
  </r>
  <r>
    <x v="2"/>
    <x v="38"/>
    <x v="38"/>
    <x v="3"/>
    <x v="2"/>
    <s v="Ulvi kodu"/>
    <s v="koristaja"/>
    <n v="1"/>
    <m/>
    <n v="770"/>
    <n v="770"/>
    <n v="12"/>
    <m/>
    <n v="9240"/>
    <n v="3123.1200000000003"/>
    <m/>
  </r>
  <r>
    <x v="2"/>
    <x v="38"/>
    <x v="38"/>
    <x v="3"/>
    <x v="2"/>
    <s v="Ulvi kodu"/>
    <s v="majahoidja"/>
    <n v="1"/>
    <m/>
    <n v="292"/>
    <n v="292"/>
    <n v="12"/>
    <m/>
    <n v="3504"/>
    <n v="1184.3520000000001"/>
    <m/>
  </r>
  <r>
    <x v="2"/>
    <x v="38"/>
    <x v="38"/>
    <x v="3"/>
    <x v="2"/>
    <s v="Ulvi kodu"/>
    <s v="hooldajad"/>
    <n v="6.5"/>
    <m/>
    <n v="948.61540000000002"/>
    <n v="6166.0001000000002"/>
    <n v="12"/>
    <m/>
    <n v="73992.001199999999"/>
    <n v="25009.296405600002"/>
    <m/>
  </r>
  <r>
    <x v="2"/>
    <x v="38"/>
    <x v="38"/>
    <x v="3"/>
    <x v="2"/>
    <s v="Ulvi kodu"/>
    <s v="Lepinguliste töötajate töötasu"/>
    <n v="1"/>
    <m/>
    <m/>
    <n v="0"/>
    <m/>
    <n v="1600"/>
    <n v="1600"/>
    <n v="540.80000000000007"/>
    <m/>
  </r>
  <r>
    <x v="0"/>
    <x v="39"/>
    <x v="39"/>
    <x v="0"/>
    <x v="0"/>
    <s v="Tudu raamatukogu"/>
    <s v="juhataja"/>
    <n v="1"/>
    <m/>
    <n v="591"/>
    <n v="591"/>
    <n v="12"/>
    <m/>
    <n v="7092"/>
    <n v="2397.096"/>
    <m/>
  </r>
  <r>
    <x v="2"/>
    <x v="40"/>
    <x v="40"/>
    <x v="17"/>
    <x v="2"/>
    <s v="Vinni Perekodu"/>
    <s v="juhataja"/>
    <n v="1"/>
    <m/>
    <n v="1800"/>
    <n v="1800"/>
    <n v="12"/>
    <n v="1800"/>
    <n v="23400"/>
    <n v="7909.2000000000007"/>
    <m/>
  </r>
  <r>
    <x v="2"/>
    <x v="40"/>
    <x v="40"/>
    <x v="17"/>
    <x v="2"/>
    <s v="Vinni Perekodu"/>
    <s v="juhiabi"/>
    <n v="1"/>
    <m/>
    <n v="1350"/>
    <n v="1350"/>
    <n v="12"/>
    <n v="1350"/>
    <n v="17550"/>
    <n v="5931.9000000000005"/>
    <m/>
  </r>
  <r>
    <x v="2"/>
    <x v="40"/>
    <x v="40"/>
    <x v="17"/>
    <x v="2"/>
    <s v="Vinni Perekodu"/>
    <s v="majandusjuhataja"/>
    <n v="1"/>
    <m/>
    <n v="1350"/>
    <n v="1350"/>
    <n v="12"/>
    <n v="1350"/>
    <n v="17550"/>
    <n v="5931.9000000000005"/>
    <m/>
  </r>
  <r>
    <x v="2"/>
    <x v="40"/>
    <x v="40"/>
    <x v="17"/>
    <x v="2"/>
    <s v="Vinni Perekodu"/>
    <s v="perevanem Päikese 8"/>
    <n v="1"/>
    <m/>
    <n v="1250"/>
    <n v="1250"/>
    <n v="12"/>
    <n v="1250"/>
    <n v="16250"/>
    <n v="5492.5"/>
    <m/>
  </r>
  <r>
    <x v="2"/>
    <x v="40"/>
    <x v="40"/>
    <x v="17"/>
    <x v="2"/>
    <s v="Vinni Perekodu"/>
    <s v="perevanem Päikese 8"/>
    <n v="1"/>
    <m/>
    <n v="1250"/>
    <n v="1250"/>
    <n v="12"/>
    <n v="1250"/>
    <n v="16250"/>
    <n v="5492.5"/>
    <m/>
  </r>
  <r>
    <x v="2"/>
    <x v="40"/>
    <x v="40"/>
    <x v="17"/>
    <x v="2"/>
    <s v="Vinni Perekodu"/>
    <s v="perevanem Päikese 8"/>
    <n v="1"/>
    <m/>
    <n v="1250"/>
    <n v="1250"/>
    <n v="12"/>
    <n v="1250"/>
    <n v="16250"/>
    <n v="5492.5"/>
    <m/>
  </r>
  <r>
    <x v="2"/>
    <x v="40"/>
    <x v="40"/>
    <x v="17"/>
    <x v="2"/>
    <s v="Vinni Perekodu"/>
    <s v="perevanem Päikese 12"/>
    <n v="1"/>
    <m/>
    <n v="1250"/>
    <n v="1250"/>
    <n v="12"/>
    <n v="1250"/>
    <n v="16250"/>
    <n v="5492.5"/>
    <m/>
  </r>
  <r>
    <x v="2"/>
    <x v="40"/>
    <x v="40"/>
    <x v="17"/>
    <x v="2"/>
    <s v="Vinni Perekodu"/>
    <s v="perevanem Päikese 12"/>
    <n v="1"/>
    <m/>
    <n v="1250"/>
    <n v="1250"/>
    <n v="12"/>
    <n v="1250"/>
    <n v="16250"/>
    <n v="5492.5"/>
    <m/>
  </r>
  <r>
    <x v="2"/>
    <x v="40"/>
    <x v="40"/>
    <x v="17"/>
    <x v="2"/>
    <s v="Vinni Perekodu"/>
    <s v="perevanem Päikese 12"/>
    <n v="1"/>
    <m/>
    <n v="1250"/>
    <n v="1250"/>
    <n v="12"/>
    <n v="1250"/>
    <n v="16250"/>
    <n v="5492.5"/>
    <m/>
  </r>
  <r>
    <x v="2"/>
    <x v="40"/>
    <x v="40"/>
    <x v="17"/>
    <x v="2"/>
    <s v="Vinni Perekodu"/>
    <s v="perevanem Päikese 14"/>
    <n v="1"/>
    <m/>
    <n v="1250"/>
    <n v="1250"/>
    <n v="12"/>
    <n v="1250"/>
    <n v="16250"/>
    <n v="5492.5"/>
    <m/>
  </r>
  <r>
    <x v="2"/>
    <x v="40"/>
    <x v="40"/>
    <x v="17"/>
    <x v="2"/>
    <s v="Vinni Perekodu"/>
    <s v="perevanem Päikese 14"/>
    <n v="1"/>
    <m/>
    <n v="1250"/>
    <n v="1250"/>
    <n v="12"/>
    <n v="1250"/>
    <n v="16250"/>
    <n v="5492.5"/>
    <m/>
  </r>
  <r>
    <x v="2"/>
    <x v="40"/>
    <x v="40"/>
    <x v="17"/>
    <x v="2"/>
    <s v="Vinni Perekodu"/>
    <s v="perevanem Päikese 14"/>
    <n v="1"/>
    <m/>
    <n v="1250"/>
    <n v="1250"/>
    <n v="12"/>
    <n v="1250"/>
    <n v="16250"/>
    <n v="5492.5"/>
    <m/>
  </r>
  <r>
    <x v="2"/>
    <x v="40"/>
    <x v="40"/>
    <x v="17"/>
    <x v="2"/>
    <s v="Vinni Perekodu"/>
    <s v="perevanem Päikese 4"/>
    <n v="1"/>
    <m/>
    <n v="1250"/>
    <n v="1250"/>
    <n v="12"/>
    <n v="1250"/>
    <n v="16250"/>
    <n v="5492.5"/>
    <m/>
  </r>
  <r>
    <x v="2"/>
    <x v="40"/>
    <x v="40"/>
    <x v="17"/>
    <x v="2"/>
    <s v="Vinni Perekodu"/>
    <s v="perevanem Päikese 4"/>
    <n v="1"/>
    <m/>
    <n v="1250"/>
    <n v="1250"/>
    <n v="12"/>
    <n v="1250"/>
    <n v="16250"/>
    <n v="5492.5"/>
    <m/>
  </r>
  <r>
    <x v="2"/>
    <x v="40"/>
    <x v="40"/>
    <x v="17"/>
    <x v="2"/>
    <s v="Vinni Perekodu"/>
    <s v="perevanem Päikese 4"/>
    <n v="1"/>
    <m/>
    <n v="1250"/>
    <n v="1250"/>
    <n v="12"/>
    <n v="1250"/>
    <n v="16250"/>
    <n v="5492.5"/>
    <m/>
  </r>
  <r>
    <x v="2"/>
    <x v="40"/>
    <x v="40"/>
    <x v="17"/>
    <x v="2"/>
    <s v="Vinni Perekodu"/>
    <s v="perevanem Päikese 2"/>
    <n v="1"/>
    <m/>
    <n v="1250"/>
    <n v="1250"/>
    <n v="12"/>
    <n v="1250"/>
    <n v="16250"/>
    <n v="5492.5"/>
    <m/>
  </r>
  <r>
    <x v="2"/>
    <x v="40"/>
    <x v="40"/>
    <x v="17"/>
    <x v="2"/>
    <s v="Vinni Perekodu"/>
    <s v="perevanem Päikese 2"/>
    <n v="1"/>
    <m/>
    <n v="1250"/>
    <n v="1250"/>
    <n v="12"/>
    <n v="1250"/>
    <n v="16250"/>
    <n v="5492.5"/>
    <m/>
  </r>
  <r>
    <x v="2"/>
    <x v="40"/>
    <x v="40"/>
    <x v="17"/>
    <x v="2"/>
    <s v="Vinni Perekodu"/>
    <s v="perevanem Päikese 2"/>
    <n v="1"/>
    <m/>
    <n v="1250"/>
    <n v="1250"/>
    <n v="12"/>
    <n v="1250"/>
    <n v="16250"/>
    <n v="5492.5"/>
    <m/>
  </r>
  <r>
    <x v="2"/>
    <x v="40"/>
    <x v="40"/>
    <x v="17"/>
    <x v="2"/>
    <s v="Vinni Perekodu"/>
    <s v="abi"/>
    <n v="1"/>
    <m/>
    <n v="900"/>
    <n v="900"/>
    <n v="12"/>
    <n v="900"/>
    <n v="11700"/>
    <n v="3954.6000000000004"/>
    <m/>
  </r>
  <r>
    <x v="2"/>
    <x v="40"/>
    <x v="40"/>
    <x v="17"/>
    <x v="2"/>
    <s v="Vinni Perekodu"/>
    <s v="puhkusteasendaja"/>
    <n v="1"/>
    <m/>
    <n v="1250"/>
    <n v="1250"/>
    <n v="12"/>
    <n v="1250"/>
    <n v="16250"/>
    <n v="5492.5"/>
    <m/>
  </r>
  <r>
    <x v="2"/>
    <x v="40"/>
    <x v="40"/>
    <x v="17"/>
    <x v="2"/>
    <s v="Vinni Perekodu"/>
    <s v="õuealahool, remont 0,5"/>
    <n v="1"/>
    <m/>
    <n v="670"/>
    <n v="670"/>
    <n v="12"/>
    <n v="670"/>
    <n v="8710"/>
    <n v="2943.98"/>
    <m/>
  </r>
  <r>
    <x v="2"/>
    <x v="40"/>
    <x v="40"/>
    <x v="17"/>
    <x v="2"/>
    <s v="Vinni Perekodu"/>
    <s v="autojuht 0,5"/>
    <n v="1"/>
    <m/>
    <n v="670"/>
    <n v="670"/>
    <n v="12"/>
    <n v="670"/>
    <n v="8710"/>
    <n v="2943.98"/>
    <m/>
  </r>
  <r>
    <x v="2"/>
    <x v="40"/>
    <x v="40"/>
    <x v="17"/>
    <x v="2"/>
    <s v="Vinni Perekodu"/>
    <s v="koristaja 0.2"/>
    <n v="1"/>
    <s v="in"/>
    <n v="120"/>
    <n v="120"/>
    <n v="12"/>
    <n v="120"/>
    <n v="1560"/>
    <n v="527.28000000000009"/>
    <m/>
  </r>
  <r>
    <x v="1"/>
    <x v="41"/>
    <x v="41"/>
    <x v="1"/>
    <x v="1"/>
    <s v="Tudu Põhikool"/>
    <s v="infojuht"/>
    <n v="0.30063699999999999"/>
    <m/>
    <n v="785"/>
    <n v="236.000045"/>
    <n v="12"/>
    <m/>
    <n v="2832.00054"/>
    <n v="957.21618252000007"/>
    <m/>
  </r>
  <r>
    <x v="1"/>
    <x v="41"/>
    <x v="41"/>
    <x v="1"/>
    <x v="1"/>
    <s v="Tudu Põhikool"/>
    <s v="ringijuht"/>
    <n v="1"/>
    <s v="in"/>
    <n v="580"/>
    <n v="580"/>
    <n v="12"/>
    <m/>
    <n v="6960"/>
    <n v="2352.48"/>
    <m/>
  </r>
  <r>
    <x v="1"/>
    <x v="41"/>
    <x v="41"/>
    <x v="1"/>
    <x v="1"/>
    <s v="Tudu Põhikool"/>
    <s v="kõneravi koolis"/>
    <n v="0.100034"/>
    <m/>
    <n v="978"/>
    <n v="97.833252000000002"/>
    <n v="12"/>
    <m/>
    <n v="1173.999024"/>
    <n v="396.811670112"/>
    <m/>
  </r>
  <r>
    <x v="1"/>
    <x v="42"/>
    <x v="42"/>
    <x v="2"/>
    <x v="1"/>
    <s v="Tudu Lasteaed"/>
    <s v="kõneravi lasteaias"/>
    <n v="0.100034"/>
    <m/>
    <n v="978"/>
    <n v="97.833252000000002"/>
    <n v="12"/>
    <m/>
    <n v="1173.999024"/>
    <n v="396.811670112"/>
    <m/>
  </r>
  <r>
    <x v="1"/>
    <x v="42"/>
    <x v="42"/>
    <x v="2"/>
    <x v="1"/>
    <s v="Tudu Lasteaed"/>
    <s v="abiõpetaja lasteaias"/>
    <n v="1"/>
    <m/>
    <n v="760"/>
    <n v="760"/>
    <n v="12"/>
    <m/>
    <n v="9120"/>
    <n v="3082.5600000000004"/>
    <m/>
  </r>
  <r>
    <x v="1"/>
    <x v="42"/>
    <x v="42"/>
    <x v="2"/>
    <x v="1"/>
    <s v="Tudu Lasteaed"/>
    <s v="lasteaiaõpetaja"/>
    <n v="1.83"/>
    <m/>
    <n v="1183.5"/>
    <n v="2165.8050000000003"/>
    <n v="12"/>
    <m/>
    <n v="25989.660000000003"/>
    <n v="8784.5050800000026"/>
    <m/>
  </r>
  <r>
    <x v="1"/>
    <x v="42"/>
    <x v="42"/>
    <x v="2"/>
    <x v="1"/>
    <s v="Tudu Lasteaed"/>
    <s v="lasteaia muusikaõpetaja"/>
    <n v="0.12978000000000001"/>
    <m/>
    <n v="1183.5"/>
    <n v="153.59463"/>
    <n v="12"/>
    <m/>
    <n v="1843.1355599999999"/>
    <n v="622.97981928000002"/>
    <m/>
  </r>
  <r>
    <x v="1"/>
    <x v="42"/>
    <x v="42"/>
    <x v="2"/>
    <x v="1"/>
    <s v="Tudu Lasteaed"/>
    <s v="lasteaia liikumisõpetaja"/>
    <n v="0.12978000000000001"/>
    <m/>
    <n v="1183.5"/>
    <n v="153.59463"/>
    <n v="12"/>
    <m/>
    <n v="1843.1355599999999"/>
    <n v="622.97981928000002"/>
    <m/>
  </r>
  <r>
    <x v="1"/>
    <x v="41"/>
    <x v="41"/>
    <x v="1"/>
    <x v="1"/>
    <s v="Tudu Põhikool"/>
    <s v="aednik-majahoidja"/>
    <n v="0.5"/>
    <m/>
    <n v="584"/>
    <n v="292"/>
    <n v="12"/>
    <m/>
    <n v="3504"/>
    <n v="1184.3520000000001"/>
    <m/>
  </r>
  <r>
    <x v="1"/>
    <x v="41"/>
    <x v="41"/>
    <x v="1"/>
    <x v="1"/>
    <s v="Tudu Põhikool"/>
    <s v="katlakütja"/>
    <n v="2"/>
    <m/>
    <n v="584"/>
    <n v="1168"/>
    <n v="12"/>
    <m/>
    <n v="14016"/>
    <n v="4737.4080000000004"/>
    <m/>
  </r>
  <r>
    <x v="1"/>
    <x v="41"/>
    <x v="41"/>
    <x v="1"/>
    <x v="1"/>
    <s v="Tudu Põhikool"/>
    <s v="bussijuht"/>
    <n v="0.5"/>
    <m/>
    <n v="901"/>
    <n v="450.5"/>
    <n v="12"/>
    <m/>
    <n v="5406"/>
    <n v="1827.2280000000001"/>
    <m/>
  </r>
  <r>
    <x v="1"/>
    <x v="41"/>
    <x v="41"/>
    <x v="1"/>
    <x v="1"/>
    <s v="Tudu Põhikool"/>
    <s v="koristaja"/>
    <n v="2"/>
    <m/>
    <n v="584"/>
    <n v="1168"/>
    <n v="12"/>
    <m/>
    <n v="14016"/>
    <n v="4737.4080000000004"/>
    <m/>
  </r>
  <r>
    <x v="1"/>
    <x v="41"/>
    <x v="41"/>
    <x v="1"/>
    <x v="1"/>
    <s v="Tudu Põhikool"/>
    <s v="remondimees"/>
    <n v="0.5"/>
    <m/>
    <n v="584"/>
    <n v="292"/>
    <n v="12"/>
    <m/>
    <n v="3504"/>
    <n v="1184.3520000000001"/>
    <m/>
  </r>
  <r>
    <x v="1"/>
    <x v="41"/>
    <x v="41"/>
    <x v="1"/>
    <x v="1"/>
    <s v="Tudu Põhikool"/>
    <s v="pesumasinist"/>
    <n v="0.25"/>
    <m/>
    <n v="584"/>
    <n v="146"/>
    <n v="12"/>
    <m/>
    <n v="1752"/>
    <n v="592.17600000000004"/>
    <m/>
  </r>
  <r>
    <x v="1"/>
    <x v="41"/>
    <x v="41"/>
    <x v="1"/>
    <x v="1"/>
    <s v="Tudu Põhikool"/>
    <s v="kokk+abitööline"/>
    <n v="1"/>
    <m/>
    <n v="703"/>
    <n v="703"/>
    <n v="12"/>
    <m/>
    <n v="8436"/>
    <n v="2851.3680000000004"/>
    <m/>
  </r>
  <r>
    <x v="1"/>
    <x v="41"/>
    <x v="41"/>
    <x v="1"/>
    <x v="1"/>
    <s v="Tudu Põhikool"/>
    <s v="Lisatasud ja preemiad"/>
    <m/>
    <m/>
    <m/>
    <n v="0"/>
    <n v="1"/>
    <n v="300"/>
    <n v="300"/>
    <n v="101.4"/>
    <m/>
  </r>
  <r>
    <x v="0"/>
    <x v="43"/>
    <x v="43"/>
    <x v="14"/>
    <x v="0"/>
    <s v="Roela Rahvamaja"/>
    <s v="Juhataja"/>
    <n v="1"/>
    <m/>
    <n v="966"/>
    <n v="966"/>
    <n v="12"/>
    <m/>
    <n v="11592"/>
    <n v="3918.0960000000005"/>
    <m/>
  </r>
  <r>
    <x v="0"/>
    <x v="43"/>
    <x v="43"/>
    <x v="14"/>
    <x v="0"/>
    <s v="Roela Rahvamaja"/>
    <s v="Perenaine"/>
    <n v="1"/>
    <m/>
    <n v="584"/>
    <n v="584"/>
    <n v="12"/>
    <m/>
    <n v="7008"/>
    <n v="2368.7040000000002"/>
    <m/>
  </r>
  <r>
    <x v="0"/>
    <x v="43"/>
    <x v="43"/>
    <x v="14"/>
    <x v="0"/>
    <s v="Roela Rahvamaja"/>
    <s v="Naistantsurühma juhendaja"/>
    <n v="1"/>
    <m/>
    <m/>
    <n v="0"/>
    <m/>
    <n v="795"/>
    <n v="795"/>
    <n v="268.71000000000004"/>
    <m/>
  </r>
  <r>
    <x v="0"/>
    <x v="43"/>
    <x v="43"/>
    <x v="14"/>
    <x v="0"/>
    <s v="Roela Rahvamaja"/>
    <s v="Memmede tantsurühma juhendaja"/>
    <n v="1"/>
    <m/>
    <m/>
    <n v="0"/>
    <m/>
    <n v="530"/>
    <n v="530"/>
    <n v="179.14000000000001"/>
    <m/>
  </r>
  <r>
    <x v="0"/>
    <x v="43"/>
    <x v="43"/>
    <x v="14"/>
    <x v="0"/>
    <s v="Roela Rahvamaja"/>
    <s v="Segakoori dirigent"/>
    <n v="1"/>
    <m/>
    <m/>
    <n v="0"/>
    <m/>
    <n v="795"/>
    <n v="795"/>
    <n v="268.71000000000004"/>
    <m/>
  </r>
  <r>
    <x v="0"/>
    <x v="43"/>
    <x v="43"/>
    <x v="14"/>
    <x v="0"/>
    <s v="Roela Rahvamaja"/>
    <s v="Naisansambli juhendaja"/>
    <n v="1"/>
    <m/>
    <m/>
    <n v="0"/>
    <m/>
    <n v="530"/>
    <n v="530"/>
    <n v="179.14000000000001"/>
    <m/>
  </r>
  <r>
    <x v="0"/>
    <x v="43"/>
    <x v="43"/>
    <x v="14"/>
    <x v="0"/>
    <s v="Roela Rahvamaja"/>
    <s v="Meesansambli juhendaja"/>
    <n v="1"/>
    <m/>
    <m/>
    <n v="0"/>
    <m/>
    <n v="530"/>
    <n v="530"/>
    <n v="179.14000000000001"/>
    <m/>
  </r>
  <r>
    <x v="0"/>
    <x v="43"/>
    <x v="43"/>
    <x v="14"/>
    <x v="0"/>
    <s v="Roela Rahvamaja"/>
    <s v="Kvartett ,,Sära´´ juhendaja"/>
    <n v="1"/>
    <m/>
    <m/>
    <n v="0"/>
    <m/>
    <n v="530"/>
    <n v="530"/>
    <n v="179.14000000000001"/>
    <m/>
  </r>
  <r>
    <x v="0"/>
    <x v="43"/>
    <x v="43"/>
    <x v="14"/>
    <x v="0"/>
    <s v="Roela Rahvamaja"/>
    <s v="ZUMBA tantsutrenni juhendaja"/>
    <n v="1"/>
    <m/>
    <m/>
    <n v="0"/>
    <m/>
    <n v="530"/>
    <n v="530"/>
    <n v="179.14000000000001"/>
    <m/>
  </r>
  <r>
    <x v="0"/>
    <x v="43"/>
    <x v="43"/>
    <x v="14"/>
    <x v="0"/>
    <s v="Roela Rahvamaja"/>
    <s v="Näiteringi ,,Kartoffel´´ juhendaja"/>
    <n v="1"/>
    <m/>
    <m/>
    <n v="0"/>
    <m/>
    <n v="795"/>
    <n v="795"/>
    <n v="268.71000000000004"/>
    <m/>
  </r>
  <r>
    <x v="0"/>
    <x v="43"/>
    <x v="43"/>
    <x v="14"/>
    <x v="0"/>
    <s v="Roela Rahvamaja"/>
    <s v="Laste pilliõpe"/>
    <n v="1"/>
    <m/>
    <m/>
    <n v="0"/>
    <m/>
    <m/>
    <n v="0"/>
    <n v="0"/>
    <s v="juhendaja tasustamine kuni eelmise aastani kooli eelarvest, vallavanem ei ole veel teinud otsust millisel moel edaspidi jätkata"/>
  </r>
  <r>
    <x v="6"/>
    <x v="44"/>
    <x v="44"/>
    <x v="18"/>
    <x v="6"/>
    <s v="Noorsoo- ja spordinõunik"/>
    <s v="Valmisolekutasud"/>
    <n v="7"/>
    <s v="in"/>
    <n v="30.963000000000001"/>
    <n v="216.74100000000001"/>
    <n v="4"/>
    <m/>
    <n v="866.96400000000006"/>
    <n v="293.03383200000002"/>
    <m/>
  </r>
  <r>
    <x v="4"/>
    <x v="45"/>
    <x v="45"/>
    <x v="19"/>
    <x v="4"/>
    <s v="Vallavanem"/>
    <s v="IT spetsialist"/>
    <n v="1"/>
    <m/>
    <n v="1560"/>
    <n v="1560"/>
    <n v="12"/>
    <m/>
    <n v="18720"/>
    <n v="6327.3600000000006"/>
    <m/>
  </r>
  <r>
    <x v="4"/>
    <x v="15"/>
    <x v="15"/>
    <x v="12"/>
    <x v="4"/>
    <s v="Vallavanem"/>
    <s v="teede- ja ühistranspordinõunik"/>
    <n v="1"/>
    <m/>
    <n v="1675"/>
    <n v="1675"/>
    <n v="12"/>
    <m/>
    <n v="20100"/>
    <n v="6793.8"/>
    <m/>
  </r>
  <r>
    <x v="3"/>
    <x v="4"/>
    <x v="4"/>
    <x v="4"/>
    <x v="3"/>
    <s v="Vallavanem"/>
    <s v="Valitsuse liikme tasud"/>
    <n v="3"/>
    <s v="in"/>
    <n v="45"/>
    <n v="135"/>
    <n v="56"/>
    <m/>
    <n v="7560"/>
    <n v="2555.2800000000002"/>
    <m/>
  </r>
  <r>
    <x v="0"/>
    <x v="46"/>
    <x v="46"/>
    <x v="20"/>
    <x v="0"/>
    <s v="Vallavanem"/>
    <s v="Kultuuri-ja avalike suhete nõunik"/>
    <n v="1"/>
    <m/>
    <n v="1560"/>
    <n v="1560"/>
    <n v="12"/>
    <m/>
    <n v="18720"/>
    <n v="6327.3600000000006"/>
    <m/>
  </r>
  <r>
    <x v="0"/>
    <x v="47"/>
    <x v="47"/>
    <x v="14"/>
    <x v="0"/>
    <s v="Kadila seltsimaja"/>
    <s v="Perenaine"/>
    <n v="1"/>
    <m/>
    <n v="584"/>
    <n v="584"/>
    <n v="12"/>
    <m/>
    <n v="7008"/>
    <n v="2368.7040000000002"/>
    <m/>
  </r>
  <r>
    <x v="0"/>
    <x v="48"/>
    <x v="48"/>
    <x v="14"/>
    <x v="0"/>
    <s v="Tudu Rahvamaja"/>
    <s v="Juhataja"/>
    <n v="1"/>
    <m/>
    <n v="160"/>
    <n v="160"/>
    <n v="12"/>
    <m/>
    <n v="1920"/>
    <n v="648.96"/>
    <m/>
  </r>
  <r>
    <x v="0"/>
    <x v="48"/>
    <x v="48"/>
    <x v="14"/>
    <x v="0"/>
    <s v="Tudu Rahvamaja"/>
    <s v="Lepinguliste töötajate töötasu"/>
    <n v="1"/>
    <s v="in"/>
    <n v="152"/>
    <n v="152"/>
    <n v="12"/>
    <m/>
    <n v="1824"/>
    <n v="616.51200000000006"/>
    <m/>
  </r>
  <r>
    <x v="0"/>
    <x v="49"/>
    <x v="49"/>
    <x v="14"/>
    <x v="0"/>
    <s v="Pajusti klubi"/>
    <s v="Juhataja"/>
    <n v="1"/>
    <m/>
    <n v="1150"/>
    <n v="1150"/>
    <n v="12"/>
    <m/>
    <n v="13800"/>
    <n v="4664.4000000000005"/>
    <m/>
  </r>
  <r>
    <x v="0"/>
    <x v="49"/>
    <x v="49"/>
    <x v="14"/>
    <x v="0"/>
    <s v="Pajusti klubi"/>
    <s v="Koristaja"/>
    <n v="1"/>
    <m/>
    <n v="584"/>
    <n v="584"/>
    <n v="12"/>
    <m/>
    <n v="7008"/>
    <n v="2368.7040000000002"/>
    <m/>
  </r>
  <r>
    <x v="0"/>
    <x v="49"/>
    <x v="49"/>
    <x v="14"/>
    <x v="0"/>
    <s v="Pajusti klubi"/>
    <s v="Lepingulised"/>
    <n v="1"/>
    <m/>
    <n v="897.5"/>
    <n v="897.5"/>
    <n v="12"/>
    <m/>
    <n v="10770"/>
    <n v="3640.26"/>
    <m/>
  </r>
  <r>
    <x v="1"/>
    <x v="50"/>
    <x v="50"/>
    <x v="21"/>
    <x v="1"/>
    <s v="Roela Õpilaskodu"/>
    <s v="ÕK kasvataja"/>
    <n v="1"/>
    <m/>
    <n v="820"/>
    <n v="820"/>
    <n v="12"/>
    <m/>
    <n v="9840"/>
    <n v="3325.92"/>
    <m/>
  </r>
  <r>
    <x v="1"/>
    <x v="50"/>
    <x v="50"/>
    <x v="21"/>
    <x v="1"/>
    <s v="Roela Õpilaskodu"/>
    <s v="ÕK öökasvataja"/>
    <n v="1"/>
    <m/>
    <n v="690"/>
    <n v="690"/>
    <n v="12"/>
    <m/>
    <n v="8280"/>
    <n v="2798.6400000000003"/>
    <m/>
  </r>
  <r>
    <x v="1"/>
    <x v="50"/>
    <x v="50"/>
    <x v="21"/>
    <x v="1"/>
    <s v="Roela Õpilaskodu"/>
    <s v="koristaja"/>
    <n v="1"/>
    <m/>
    <n v="390"/>
    <n v="390"/>
    <n v="12"/>
    <m/>
    <n v="4680"/>
    <n v="1581.8400000000001"/>
    <m/>
  </r>
  <r>
    <x v="1"/>
    <x v="51"/>
    <x v="51"/>
    <x v="2"/>
    <x v="1"/>
    <s v="Muuga-Laekvere kool"/>
    <s v="Õpetaja+ klassijuhatamine"/>
    <n v="0"/>
    <m/>
    <n v="1315"/>
    <n v="0"/>
    <n v="12"/>
    <m/>
    <n v="0"/>
    <n v="0"/>
    <m/>
  </r>
  <r>
    <x v="1"/>
    <x v="51"/>
    <x v="51"/>
    <x v="2"/>
    <x v="1"/>
    <s v="Muuga-Laekvere kool"/>
    <s v="õpiabi"/>
    <n v="0"/>
    <m/>
    <n v="1315"/>
    <n v="0"/>
    <n v="12"/>
    <m/>
    <n v="0"/>
    <n v="0"/>
    <m/>
  </r>
  <r>
    <x v="1"/>
    <x v="51"/>
    <x v="51"/>
    <x v="2"/>
    <x v="1"/>
    <s v="Muuga-Laekvere kool"/>
    <s v="õppejuht "/>
    <n v="0"/>
    <m/>
    <n v="1315"/>
    <n v="0"/>
    <n v="12"/>
    <m/>
    <n v="0"/>
    <n v="0"/>
    <m/>
  </r>
  <r>
    <x v="1"/>
    <x v="51"/>
    <x v="51"/>
    <x v="2"/>
    <x v="1"/>
    <s v="Muuga-Laekvere kool"/>
    <s v="direktor"/>
    <n v="0"/>
    <m/>
    <n v="1414"/>
    <n v="0"/>
    <n v="12"/>
    <m/>
    <n v="0"/>
    <n v="0"/>
    <m/>
  </r>
  <r>
    <x v="1"/>
    <x v="51"/>
    <x v="51"/>
    <x v="2"/>
    <x v="1"/>
    <s v="Muuga-Laekvere kool"/>
    <s v="sotsiaalpedagoog "/>
    <n v="0.25"/>
    <m/>
    <n v="1315"/>
    <n v="328.75"/>
    <n v="12"/>
    <m/>
    <n v="3945"/>
    <n v="1333.41"/>
    <m/>
  </r>
  <r>
    <x v="1"/>
    <x v="51"/>
    <x v="51"/>
    <x v="2"/>
    <x v="1"/>
    <s v="Muuga-Laekvere kool"/>
    <s v="logopeed"/>
    <n v="0.5"/>
    <m/>
    <n v="1315"/>
    <n v="657.5"/>
    <n v="12"/>
    <m/>
    <n v="7890"/>
    <n v="2666.82"/>
    <m/>
  </r>
  <r>
    <x v="1"/>
    <x v="51"/>
    <x v="51"/>
    <x v="2"/>
    <x v="1"/>
    <s v="Muuga-Laekvere kool"/>
    <s v="lasteaia õpetaja"/>
    <n v="3.25"/>
    <m/>
    <n v="1183.5"/>
    <n v="3846.375"/>
    <n v="12"/>
    <m/>
    <n v="46156.5"/>
    <n v="15600.897000000001"/>
    <m/>
  </r>
  <r>
    <x v="1"/>
    <x v="51"/>
    <x v="51"/>
    <x v="2"/>
    <x v="1"/>
    <s v="Muuga-Laekvere kool"/>
    <s v="lasteaia õpetaja"/>
    <n v="0.25"/>
    <m/>
    <n v="1315"/>
    <n v="328.75"/>
    <n v="12"/>
    <m/>
    <n v="3945"/>
    <n v="1333.41"/>
    <m/>
  </r>
  <r>
    <x v="1"/>
    <x v="51"/>
    <x v="51"/>
    <x v="2"/>
    <x v="1"/>
    <s v="Muuga-Laekvere kool"/>
    <s v="õpetaja abi"/>
    <n v="2"/>
    <m/>
    <n v="702"/>
    <n v="1404"/>
    <n v="12"/>
    <m/>
    <n v="16848"/>
    <n v="5694.6240000000007"/>
    <m/>
  </r>
  <r>
    <x v="1"/>
    <x v="51"/>
    <x v="51"/>
    <x v="2"/>
    <x v="1"/>
    <s v="Muuga-Laekvere kool"/>
    <s v="hoidja"/>
    <n v="2"/>
    <m/>
    <n v="702"/>
    <n v="1404"/>
    <n v="12"/>
    <m/>
    <n v="16848"/>
    <n v="5694.6240000000007"/>
    <m/>
  </r>
  <r>
    <x v="1"/>
    <x v="51"/>
    <x v="51"/>
    <x v="2"/>
    <x v="1"/>
    <s v="Muuga-Laekvere kool"/>
    <s v="õpetaja assistent"/>
    <n v="1"/>
    <m/>
    <n v="1183.5"/>
    <n v="1183.5"/>
    <n v="12"/>
    <m/>
    <n v="14202"/>
    <n v="4800.2760000000007"/>
    <m/>
  </r>
  <r>
    <x v="1"/>
    <x v="51"/>
    <x v="51"/>
    <x v="2"/>
    <x v="1"/>
    <s v="Muuga-Laekvere kool"/>
    <s v="pikkpäev "/>
    <n v="0"/>
    <m/>
    <n v="756"/>
    <n v="0"/>
    <n v="12"/>
    <m/>
    <n v="0"/>
    <n v="0"/>
    <m/>
  </r>
  <r>
    <x v="1"/>
    <x v="51"/>
    <x v="51"/>
    <x v="2"/>
    <x v="1"/>
    <s v="Muuga-Laekvere kool"/>
    <s v="koristaja"/>
    <n v="0"/>
    <m/>
    <n v="584"/>
    <n v="0"/>
    <n v="12"/>
    <m/>
    <n v="0"/>
    <n v="0"/>
    <m/>
  </r>
  <r>
    <x v="1"/>
    <x v="51"/>
    <x v="51"/>
    <x v="2"/>
    <x v="1"/>
    <s v="Muuga-Laekvere kool"/>
    <s v="majahoidja"/>
    <n v="1"/>
    <m/>
    <n v="584"/>
    <n v="584"/>
    <n v="12"/>
    <m/>
    <n v="7008"/>
    <n v="2368.7040000000002"/>
    <m/>
  </r>
  <r>
    <x v="1"/>
    <x v="51"/>
    <x v="51"/>
    <x v="2"/>
    <x v="1"/>
    <s v="Muuga-Laekvere kool"/>
    <s v="majandusjuhataja"/>
    <n v="0"/>
    <m/>
    <n v="805"/>
    <n v="0"/>
    <n v="12"/>
    <m/>
    <n v="0"/>
    <n v="0"/>
    <m/>
  </r>
  <r>
    <x v="1"/>
    <x v="51"/>
    <x v="51"/>
    <x v="2"/>
    <x v="1"/>
    <s v="Muuga-Laekvere kool"/>
    <s v="mõisa perenaine"/>
    <n v="0"/>
    <m/>
    <n v="691"/>
    <n v="0"/>
    <n v="12"/>
    <m/>
    <n v="0"/>
    <n v="0"/>
    <m/>
  </r>
  <r>
    <x v="1"/>
    <x v="51"/>
    <x v="51"/>
    <x v="2"/>
    <x v="1"/>
    <s v="Muuga-Laekvere kool"/>
    <s v="kokk"/>
    <n v="0"/>
    <m/>
    <n v="724"/>
    <n v="0"/>
    <n v="12"/>
    <m/>
    <n v="0"/>
    <n v="0"/>
    <m/>
  </r>
  <r>
    <x v="1"/>
    <x v="51"/>
    <x v="51"/>
    <x v="2"/>
    <x v="1"/>
    <s v="Muuga-Laekvere kool"/>
    <s v="kokk"/>
    <n v="0"/>
    <m/>
    <n v="632"/>
    <n v="0"/>
    <n v="12"/>
    <m/>
    <n v="0"/>
    <n v="0"/>
    <m/>
  </r>
  <r>
    <x v="1"/>
    <x v="51"/>
    <x v="51"/>
    <x v="2"/>
    <x v="1"/>
    <s v="Muuga-Laekvere kool"/>
    <s v="koka abi"/>
    <n v="0"/>
    <m/>
    <n v="632"/>
    <n v="0"/>
    <n v="12"/>
    <m/>
    <n v="0"/>
    <n v="0"/>
    <m/>
  </r>
  <r>
    <x v="1"/>
    <x v="51"/>
    <x v="51"/>
    <x v="2"/>
    <x v="1"/>
    <s v="Muuga-Laekvere kool"/>
    <s v="infojuht"/>
    <n v="0"/>
    <m/>
    <n v="853"/>
    <n v="0"/>
    <n v="12"/>
    <m/>
    <n v="0"/>
    <n v="0"/>
    <m/>
  </r>
  <r>
    <x v="1"/>
    <x v="51"/>
    <x v="51"/>
    <x v="2"/>
    <x v="1"/>
    <s v="Muuga-Laekvere kool"/>
    <s v="laborant"/>
    <n v="0"/>
    <m/>
    <n v="584"/>
    <n v="0"/>
    <n v="12"/>
    <m/>
    <n v="0"/>
    <n v="0"/>
    <m/>
  </r>
  <r>
    <x v="1"/>
    <x v="51"/>
    <x v="51"/>
    <x v="2"/>
    <x v="1"/>
    <s v="Muuga-Laekvere kool"/>
    <s v="ringid (1,29+1,31)"/>
    <n v="0"/>
    <m/>
    <n v="664"/>
    <n v="0"/>
    <n v="12"/>
    <m/>
    <n v="0"/>
    <n v="0"/>
    <m/>
  </r>
  <r>
    <x v="1"/>
    <x v="52"/>
    <x v="52"/>
    <x v="1"/>
    <x v="1"/>
    <s v="Muuga-Laekvere kool"/>
    <s v="sotsiaalpedagoog "/>
    <n v="0.5"/>
    <m/>
    <n v="1250"/>
    <n v="625"/>
    <n v="12"/>
    <m/>
    <n v="7500"/>
    <n v="2535"/>
    <m/>
  </r>
  <r>
    <x v="1"/>
    <x v="52"/>
    <x v="52"/>
    <x v="1"/>
    <x v="1"/>
    <s v="Muuga-Laekvere kool"/>
    <s v="logopeed"/>
    <n v="0.25"/>
    <m/>
    <n v="1250"/>
    <n v="312.5"/>
    <n v="12"/>
    <m/>
    <n v="3750"/>
    <n v="1267.5"/>
    <m/>
  </r>
  <r>
    <x v="1"/>
    <x v="52"/>
    <x v="52"/>
    <x v="1"/>
    <x v="1"/>
    <s v="Muuga-Laekvere kool"/>
    <s v="õpetaja abi"/>
    <n v="0"/>
    <m/>
    <n v="702"/>
    <n v="0"/>
    <n v="12"/>
    <m/>
    <n v="0"/>
    <n v="0"/>
    <m/>
  </r>
  <r>
    <x v="1"/>
    <x v="52"/>
    <x v="52"/>
    <x v="1"/>
    <x v="1"/>
    <s v="Muuga-Laekvere kool"/>
    <s v="hoidja"/>
    <n v="0"/>
    <m/>
    <n v="702"/>
    <n v="0"/>
    <n v="12"/>
    <m/>
    <n v="0"/>
    <n v="0"/>
    <m/>
  </r>
  <r>
    <x v="1"/>
    <x v="52"/>
    <x v="52"/>
    <x v="1"/>
    <x v="1"/>
    <s v="Muuga-Laekvere kool"/>
    <s v="õpetaja assistent"/>
    <n v="0"/>
    <m/>
    <n v="1000"/>
    <n v="0"/>
    <n v="12"/>
    <m/>
    <n v="0"/>
    <n v="0"/>
    <m/>
  </r>
  <r>
    <x v="1"/>
    <x v="52"/>
    <x v="52"/>
    <x v="1"/>
    <x v="1"/>
    <s v="Muuga-Laekvere kool"/>
    <s v="pikkpäev "/>
    <n v="0.7"/>
    <m/>
    <n v="756"/>
    <n v="529.19999999999993"/>
    <n v="10"/>
    <m/>
    <n v="5291.9999999999991"/>
    <n v="1788.6959999999999"/>
    <m/>
  </r>
  <r>
    <x v="1"/>
    <x v="52"/>
    <x v="52"/>
    <x v="1"/>
    <x v="1"/>
    <s v="Muuga-Laekvere kool"/>
    <s v="koristaja"/>
    <n v="2"/>
    <m/>
    <n v="584"/>
    <n v="1168"/>
    <n v="12"/>
    <m/>
    <n v="14016"/>
    <n v="4737.4080000000004"/>
    <m/>
  </r>
  <r>
    <x v="1"/>
    <x v="52"/>
    <x v="52"/>
    <x v="1"/>
    <x v="1"/>
    <s v="Muuga-Laekvere kool"/>
    <s v="majahoidja"/>
    <n v="0"/>
    <m/>
    <n v="584"/>
    <n v="0"/>
    <n v="12"/>
    <m/>
    <n v="0"/>
    <n v="0"/>
    <m/>
  </r>
  <r>
    <x v="1"/>
    <x v="52"/>
    <x v="52"/>
    <x v="1"/>
    <x v="1"/>
    <s v="Muuga-Laekvere kool"/>
    <s v="majandusjuhataja"/>
    <n v="1"/>
    <m/>
    <n v="805"/>
    <n v="805"/>
    <n v="12"/>
    <m/>
    <n v="9660"/>
    <n v="3265.0800000000004"/>
    <m/>
  </r>
  <r>
    <x v="1"/>
    <x v="52"/>
    <x v="52"/>
    <x v="1"/>
    <x v="1"/>
    <s v="Muuga-Laekvere kool"/>
    <s v="mõisa perenaine"/>
    <n v="0"/>
    <m/>
    <n v="691"/>
    <n v="0"/>
    <n v="12"/>
    <m/>
    <n v="0"/>
    <n v="0"/>
    <m/>
  </r>
  <r>
    <x v="1"/>
    <x v="52"/>
    <x v="52"/>
    <x v="1"/>
    <x v="1"/>
    <s v="Muuga-Laekvere kool"/>
    <s v="kokk"/>
    <n v="1"/>
    <m/>
    <n v="724"/>
    <n v="724"/>
    <n v="12"/>
    <m/>
    <n v="8688"/>
    <n v="2936.5440000000003"/>
    <m/>
  </r>
  <r>
    <x v="1"/>
    <x v="52"/>
    <x v="52"/>
    <x v="1"/>
    <x v="1"/>
    <s v="Muuga-Laekvere kool"/>
    <s v="kokk"/>
    <n v="0"/>
    <m/>
    <n v="632"/>
    <n v="0"/>
    <n v="12"/>
    <m/>
    <n v="0"/>
    <n v="0"/>
    <m/>
  </r>
  <r>
    <x v="1"/>
    <x v="52"/>
    <x v="52"/>
    <x v="1"/>
    <x v="1"/>
    <s v="Muuga-Laekvere kool"/>
    <s v="koka abi"/>
    <n v="1"/>
    <m/>
    <n v="632"/>
    <n v="632"/>
    <n v="12"/>
    <m/>
    <n v="7584"/>
    <n v="2563.3920000000003"/>
    <m/>
  </r>
  <r>
    <x v="1"/>
    <x v="52"/>
    <x v="52"/>
    <x v="1"/>
    <x v="1"/>
    <s v="Muuga-Laekvere kool"/>
    <s v="infojuht"/>
    <n v="0"/>
    <m/>
    <n v="853"/>
    <n v="0"/>
    <n v="12"/>
    <m/>
    <n v="0"/>
    <n v="0"/>
    <m/>
  </r>
  <r>
    <x v="1"/>
    <x v="52"/>
    <x v="52"/>
    <x v="1"/>
    <x v="1"/>
    <s v="Muuga-Laekvere kool"/>
    <s v="laborant"/>
    <n v="0.3"/>
    <m/>
    <n v="584"/>
    <n v="175.2"/>
    <n v="12"/>
    <m/>
    <n v="2102.3999999999996"/>
    <n v="710.61119999999994"/>
    <m/>
  </r>
  <r>
    <x v="1"/>
    <x v="52"/>
    <x v="52"/>
    <x v="1"/>
    <x v="1"/>
    <s v="Muuga-Laekvere kool"/>
    <s v="ringid (1,29+1,31)"/>
    <n v="1.29"/>
    <m/>
    <n v="664"/>
    <n v="856.56000000000006"/>
    <n v="9"/>
    <m/>
    <n v="7709.0400000000009"/>
    <n v="2605.6555200000003"/>
    <m/>
  </r>
  <r>
    <x v="1"/>
    <x v="53"/>
    <x v="53"/>
    <x v="1"/>
    <x v="1"/>
    <s v="Muuga-Laekvere kool"/>
    <s v="sotsiaalpedagoog "/>
    <n v="0.25"/>
    <m/>
    <n v="1250"/>
    <n v="312.5"/>
    <n v="12"/>
    <m/>
    <n v="3750"/>
    <n v="1267.5"/>
    <m/>
  </r>
  <r>
    <x v="1"/>
    <x v="53"/>
    <x v="53"/>
    <x v="1"/>
    <x v="1"/>
    <s v="Muuga-Laekvere kool"/>
    <s v="logopeed"/>
    <n v="0.25"/>
    <m/>
    <n v="1250"/>
    <n v="312.5"/>
    <n v="12"/>
    <m/>
    <n v="3750"/>
    <n v="1267.5"/>
    <m/>
  </r>
  <r>
    <x v="1"/>
    <x v="53"/>
    <x v="53"/>
    <x v="1"/>
    <x v="1"/>
    <s v="Muuga-Laekvere kool"/>
    <s v="õpetaja abi"/>
    <n v="0"/>
    <m/>
    <n v="702"/>
    <n v="0"/>
    <n v="12"/>
    <m/>
    <n v="0"/>
    <n v="0"/>
    <m/>
  </r>
  <r>
    <x v="1"/>
    <x v="53"/>
    <x v="53"/>
    <x v="1"/>
    <x v="1"/>
    <s v="Muuga-Laekvere kool"/>
    <s v="hoidja"/>
    <n v="0"/>
    <m/>
    <n v="702"/>
    <n v="0"/>
    <n v="12"/>
    <m/>
    <n v="0"/>
    <n v="0"/>
    <m/>
  </r>
  <r>
    <x v="1"/>
    <x v="53"/>
    <x v="53"/>
    <x v="1"/>
    <x v="1"/>
    <s v="Muuga-Laekvere kool"/>
    <s v="õpetaja assistent"/>
    <n v="0"/>
    <m/>
    <n v="1000"/>
    <n v="0"/>
    <n v="12"/>
    <m/>
    <n v="0"/>
    <n v="0"/>
    <m/>
  </r>
  <r>
    <x v="1"/>
    <x v="53"/>
    <x v="53"/>
    <x v="1"/>
    <x v="1"/>
    <s v="Muuga-Laekvere kool"/>
    <s v="pikkpäev "/>
    <n v="0.7"/>
    <m/>
    <n v="756"/>
    <n v="529.19999999999993"/>
    <n v="12"/>
    <m/>
    <n v="6350.4"/>
    <n v="2146.4351999999999"/>
    <m/>
  </r>
  <r>
    <x v="1"/>
    <x v="53"/>
    <x v="53"/>
    <x v="1"/>
    <x v="1"/>
    <s v="Muuga-Laekvere kool"/>
    <s v="koristaja"/>
    <n v="1"/>
    <m/>
    <n v="584"/>
    <n v="584"/>
    <n v="12"/>
    <m/>
    <n v="7008"/>
    <n v="2368.7040000000002"/>
    <m/>
  </r>
  <r>
    <x v="1"/>
    <x v="53"/>
    <x v="53"/>
    <x v="1"/>
    <x v="1"/>
    <s v="Muuga-Laekvere kool"/>
    <s v="majahoidja"/>
    <n v="1"/>
    <m/>
    <n v="584"/>
    <n v="584"/>
    <n v="12"/>
    <m/>
    <n v="7008"/>
    <n v="2368.7040000000002"/>
    <m/>
  </r>
  <r>
    <x v="1"/>
    <x v="53"/>
    <x v="53"/>
    <x v="1"/>
    <x v="1"/>
    <s v="Muuga-Laekvere kool"/>
    <s v="majandusjuhataja"/>
    <n v="0"/>
    <m/>
    <n v="805"/>
    <n v="0"/>
    <n v="12"/>
    <m/>
    <n v="0"/>
    <n v="0"/>
    <m/>
  </r>
  <r>
    <x v="1"/>
    <x v="53"/>
    <x v="53"/>
    <x v="1"/>
    <x v="1"/>
    <s v="Muuga-Laekvere kool"/>
    <s v="mõisa perenaine"/>
    <n v="1"/>
    <m/>
    <n v="691"/>
    <n v="691"/>
    <n v="12"/>
    <m/>
    <n v="8292"/>
    <n v="2802.6960000000004"/>
    <m/>
  </r>
  <r>
    <x v="1"/>
    <x v="53"/>
    <x v="53"/>
    <x v="1"/>
    <x v="1"/>
    <s v="Muuga-Laekvere kool"/>
    <s v="kokk"/>
    <n v="0"/>
    <m/>
    <n v="724"/>
    <n v="0"/>
    <n v="12"/>
    <m/>
    <n v="0"/>
    <n v="0"/>
    <m/>
  </r>
  <r>
    <x v="1"/>
    <x v="53"/>
    <x v="53"/>
    <x v="1"/>
    <x v="1"/>
    <s v="Muuga-Laekvere kool"/>
    <s v="kokk"/>
    <n v="1"/>
    <m/>
    <n v="632"/>
    <n v="632"/>
    <n v="12"/>
    <m/>
    <n v="7584"/>
    <n v="2563.3920000000003"/>
    <m/>
  </r>
  <r>
    <x v="1"/>
    <x v="53"/>
    <x v="53"/>
    <x v="1"/>
    <x v="1"/>
    <s v="Muuga-Laekvere kool"/>
    <s v="koka abi"/>
    <n v="0"/>
    <m/>
    <n v="632"/>
    <n v="0"/>
    <n v="12"/>
    <m/>
    <n v="0"/>
    <n v="0"/>
    <m/>
  </r>
  <r>
    <x v="1"/>
    <x v="53"/>
    <x v="53"/>
    <x v="1"/>
    <x v="1"/>
    <s v="Muuga-Laekvere kool"/>
    <s v="infojuht"/>
    <n v="0.25"/>
    <m/>
    <n v="853"/>
    <n v="213.25"/>
    <n v="12"/>
    <m/>
    <n v="2559"/>
    <n v="864.94200000000001"/>
    <m/>
  </r>
  <r>
    <x v="1"/>
    <x v="53"/>
    <x v="53"/>
    <x v="1"/>
    <x v="1"/>
    <s v="Muuga-Laekvere kool"/>
    <s v="laborant"/>
    <n v="0"/>
    <m/>
    <n v="584"/>
    <n v="0"/>
    <n v="12"/>
    <m/>
    <n v="0"/>
    <n v="0"/>
    <m/>
  </r>
  <r>
    <x v="1"/>
    <x v="53"/>
    <x v="53"/>
    <x v="1"/>
    <x v="1"/>
    <s v="Muuga-Laekvere kool"/>
    <s v="ringid "/>
    <n v="1.31"/>
    <m/>
    <n v="664"/>
    <n v="869.84"/>
    <n v="9"/>
    <m/>
    <n v="7828.56"/>
    <n v="2646.0532800000001"/>
    <m/>
  </r>
  <r>
    <x v="5"/>
    <x v="54"/>
    <x v="54"/>
    <x v="13"/>
    <x v="5"/>
    <s v="Vinni-Pajusti piirkond"/>
    <s v="Heakorratööline"/>
    <n v="1"/>
    <s v="in"/>
    <n v="390"/>
    <n v="390"/>
    <n v="12"/>
    <m/>
    <n v="4680"/>
    <n v="1581.8400000000001"/>
    <m/>
  </r>
  <r>
    <x v="5"/>
    <x v="54"/>
    <x v="54"/>
    <x v="13"/>
    <x v="5"/>
    <s v="Vinni-Pajusti piirkond"/>
    <s v="Ehitus-, remondi ja majandustöötaja"/>
    <n v="170"/>
    <s v="tundi"/>
    <n v="6"/>
    <n v="1020"/>
    <n v="12"/>
    <m/>
    <n v="12240"/>
    <n v="4137.12"/>
    <m/>
  </r>
  <r>
    <x v="5"/>
    <x v="54"/>
    <x v="54"/>
    <x v="13"/>
    <x v="5"/>
    <s v="Vinni-Pajusti piirkond"/>
    <s v="Ehitus-, remondi ja majandustöötaja"/>
    <n v="170"/>
    <s v="tundi"/>
    <n v="6"/>
    <n v="1020"/>
    <n v="12"/>
    <m/>
    <n v="12240"/>
    <n v="97.92"/>
    <s v="töövõimetus, ei maksa sotsiaalmaksu"/>
  </r>
  <r>
    <x v="5"/>
    <x v="54"/>
    <x v="54"/>
    <x v="13"/>
    <x v="5"/>
    <s v="Vinni-Pajusti piirkond"/>
    <s v="remondi- ja elektritööline"/>
    <n v="170"/>
    <s v="tundi"/>
    <n v="6"/>
    <n v="1020"/>
    <n v="12"/>
    <m/>
    <n v="12240"/>
    <n v="4137.12"/>
    <m/>
  </r>
  <r>
    <x v="5"/>
    <x v="54"/>
    <x v="54"/>
    <x v="13"/>
    <x v="5"/>
    <s v="Vinni-Pajusti piirkond"/>
    <s v="remonditööline"/>
    <n v="170"/>
    <s v="tundi"/>
    <n v="6"/>
    <n v="1020"/>
    <n v="12"/>
    <m/>
    <n v="12240"/>
    <n v="4137.12"/>
    <m/>
  </r>
  <r>
    <x v="5"/>
    <x v="54"/>
    <x v="54"/>
    <x v="13"/>
    <x v="5"/>
    <s v="Vinni-Pajusti piirkond"/>
    <s v="Lepinguliste töötajate töötasu"/>
    <n v="90"/>
    <s v="tundi"/>
    <n v="5"/>
    <n v="450"/>
    <n v="12"/>
    <m/>
    <n v="5400"/>
    <n v="1825.2"/>
    <m/>
  </r>
  <r>
    <x v="3"/>
    <x v="4"/>
    <x v="4"/>
    <x v="4"/>
    <x v="3"/>
    <s v="Kantselei"/>
    <s v="Arhiivi korrastamise teenus (töövõtuleping)"/>
    <n v="1"/>
    <m/>
    <m/>
    <n v="0"/>
    <n v="1"/>
    <n v="2000"/>
    <n v="2000"/>
    <n v="676"/>
    <m/>
  </r>
  <r>
    <x v="3"/>
    <x v="4"/>
    <x v="4"/>
    <x v="4"/>
    <x v="3"/>
    <s v="Kantselei"/>
    <s v="Preemia juubilaridele (ametnik+töötaja)"/>
    <n v="1"/>
    <m/>
    <m/>
    <n v="0"/>
    <n v="1"/>
    <n v="6000"/>
    <n v="6000"/>
    <n v="2028.0000000000002"/>
    <m/>
  </r>
  <r>
    <x v="0"/>
    <x v="49"/>
    <x v="49"/>
    <x v="14"/>
    <x v="0"/>
    <s v="Pajusti klubi"/>
    <s v="Lisatasu kultuuriasutuste koordineerimise eest"/>
    <n v="1"/>
    <m/>
    <m/>
    <n v="0"/>
    <m/>
    <n v="6624"/>
    <n v="6624"/>
    <n v="2238.9120000000003"/>
    <m/>
  </r>
  <r>
    <x v="0"/>
    <x v="55"/>
    <x v="55"/>
    <x v="22"/>
    <x v="0"/>
    <s v="Muuseumi juhataja"/>
    <s v="Käsunduslepingud arhivaalide kogumiseks"/>
    <n v="6"/>
    <s v="in"/>
    <n v="747.38400000000001"/>
    <n v="4484.3040000000001"/>
    <n v="3"/>
    <m/>
    <n v="13452.912"/>
    <n v="4547.0842560000001"/>
    <m/>
  </r>
  <r>
    <x v="0"/>
    <x v="55"/>
    <x v="55"/>
    <x v="22"/>
    <x v="0"/>
    <s v="Muuseumi juhataja"/>
    <s v="Juhataja"/>
    <n v="1"/>
    <s v="in"/>
    <n v="1200"/>
    <n v="1200"/>
    <n v="12"/>
    <m/>
    <n v="14400"/>
    <n v="4867.2000000000007"/>
    <m/>
  </r>
  <r>
    <x v="6"/>
    <x v="44"/>
    <x v="44"/>
    <x v="18"/>
    <x v="6"/>
    <s v="Noorsoo- ja spordinõunik"/>
    <s v="Lisatasud tulekahju kustutamiste korral"/>
    <n v="7"/>
    <s v="in"/>
    <n v="30"/>
    <n v="210"/>
    <n v="4"/>
    <m/>
    <n v="840"/>
    <n v="283.92"/>
    <m/>
  </r>
  <r>
    <x v="1"/>
    <x v="35"/>
    <x v="35"/>
    <x v="16"/>
    <x v="1"/>
    <s v="Noorsoo- ja spordinõunik"/>
    <s v="Ujumise juhendamine"/>
    <n v="1"/>
    <s v="aasta"/>
    <n v="1440"/>
    <n v="1440"/>
    <n v="1"/>
    <m/>
    <n v="1440"/>
    <n v="486.72"/>
    <s v="Tudu, Roela, V-Jaagupi, Pajusti, Vinni lapsed 7-26 a."/>
  </r>
  <r>
    <x v="1"/>
    <x v="35"/>
    <x v="35"/>
    <x v="16"/>
    <x v="1"/>
    <s v="Noorsoo- ja spordinõunik"/>
    <s v="Ujumise juhendamine"/>
    <n v="1"/>
    <s v="aasta"/>
    <n v="1440"/>
    <n v="1440"/>
    <n v="1"/>
    <m/>
    <n v="1440"/>
    <n v="486.72"/>
    <s v="Laekvere, Muuga lapsed 7-26a."/>
  </r>
  <r>
    <x v="1"/>
    <x v="1"/>
    <x v="1"/>
    <x v="1"/>
    <x v="1"/>
    <s v=" Roela kool"/>
    <s v="Juhtide tööjõukulu"/>
    <n v="1"/>
    <s v="aasta"/>
    <n v="5399.85"/>
    <n v="5399.85"/>
    <n v="1"/>
    <m/>
    <n v="5399.85"/>
    <n v="1825.1493000000003"/>
    <m/>
  </r>
  <r>
    <x v="1"/>
    <x v="1"/>
    <x v="1"/>
    <x v="1"/>
    <x v="1"/>
    <s v=" Roela kool"/>
    <s v="noorsootöötaja"/>
    <n v="1"/>
    <m/>
    <n v="1250"/>
    <n v="1250"/>
    <n v="12"/>
    <m/>
    <n v="15000"/>
    <n v="5070"/>
    <m/>
  </r>
  <r>
    <x v="1"/>
    <x v="41"/>
    <x v="41"/>
    <x v="1"/>
    <x v="1"/>
    <s v="Tudu Põhikool"/>
    <s v="Juhtide tööjõukulu"/>
    <n v="1"/>
    <s v="aasta"/>
    <n v="5399.85"/>
    <n v="5399.85"/>
    <n v="1"/>
    <m/>
    <n v="5399.85"/>
    <n v="1825.1493000000003"/>
    <m/>
  </r>
  <r>
    <x v="1"/>
    <x v="32"/>
    <x v="32"/>
    <x v="1"/>
    <x v="1"/>
    <s v="Vinni-Pajusti Gümnaasium"/>
    <s v="Juhtide tööjõukulu"/>
    <n v="1"/>
    <s v="aasta"/>
    <n v="50458.146000000001"/>
    <n v="50458.146000000001"/>
    <n v="1"/>
    <m/>
    <n v="50458.146000000001"/>
    <n v="17054.853348000001"/>
    <m/>
  </r>
  <r>
    <x v="5"/>
    <x v="16"/>
    <x v="16"/>
    <x v="13"/>
    <x v="5"/>
    <s v="Laekvere piirkond"/>
    <s v="Lepingule"/>
    <n v="1"/>
    <s v="in"/>
    <n v="250"/>
    <n v="250"/>
    <n v="12"/>
    <m/>
    <n v="3000"/>
    <n v="1014.0000000000001"/>
    <m/>
  </r>
  <r>
    <x v="0"/>
    <x v="26"/>
    <x v="26"/>
    <x v="14"/>
    <x v="0"/>
    <s v="Laekvere Rahva Maja"/>
    <s v="MTÜ Eha kapelli juhendaja tasu"/>
    <n v="1"/>
    <s v="aasta"/>
    <n v="825.11"/>
    <n v="825.11"/>
    <n v="1"/>
    <m/>
    <n v="825.11"/>
    <n v="278.88718"/>
    <m/>
  </r>
  <r>
    <x v="1"/>
    <x v="32"/>
    <x v="32"/>
    <x v="1"/>
    <x v="1"/>
    <s v="Vinni-Pajusti Gümnaasium"/>
    <s v="PK õpetajate tööjõukulu"/>
    <n v="1"/>
    <s v="aasta"/>
    <n v="470852.02"/>
    <n v="470852.02"/>
    <n v="1"/>
    <m/>
    <n v="470852.02"/>
    <n v="159147.98276000001"/>
    <m/>
  </r>
  <r>
    <x v="1"/>
    <x v="56"/>
    <x v="32"/>
    <x v="23"/>
    <x v="1"/>
    <s v="Vinni-Pajusti Gümnaasium"/>
    <s v="G õpetajate tööjõukulu"/>
    <n v="1"/>
    <s v="aasta"/>
    <n v="82511.210999999996"/>
    <n v="82511.210999999996"/>
    <n v="1"/>
    <m/>
    <n v="82511.210999999996"/>
    <n v="27888.789317999999"/>
    <m/>
  </r>
  <r>
    <x v="1"/>
    <x v="1"/>
    <x v="1"/>
    <x v="1"/>
    <x v="1"/>
    <s v=" Roela kool"/>
    <s v="PK õpetajate tööjõukulu"/>
    <n v="1"/>
    <s v="aasta"/>
    <n v="171898.356"/>
    <n v="171898.356"/>
    <n v="1"/>
    <m/>
    <n v="171898.356"/>
    <n v="58101.644328000002"/>
    <m/>
  </r>
  <r>
    <x v="1"/>
    <x v="41"/>
    <x v="41"/>
    <x v="1"/>
    <x v="1"/>
    <s v="Tudu Põhikool"/>
    <s v="Pk õpetajate tööjõukulu"/>
    <n v="1"/>
    <s v="aasta"/>
    <n v="52316.89"/>
    <n v="52316.89"/>
    <n v="1"/>
    <m/>
    <n v="52316.89"/>
    <n v="17683.108820000001"/>
    <m/>
  </r>
  <r>
    <x v="1"/>
    <x v="52"/>
    <x v="52"/>
    <x v="1"/>
    <x v="1"/>
    <s v="Muuga-Laekvere kool"/>
    <s v="Juhtide tööjõukulu"/>
    <n v="1"/>
    <s v="aasta"/>
    <n v="5399.85"/>
    <n v="5399.85"/>
    <n v="1"/>
    <m/>
    <n v="5399.85"/>
    <n v="1825.1493000000003"/>
    <m/>
  </r>
  <r>
    <x v="1"/>
    <x v="52"/>
    <x v="52"/>
    <x v="1"/>
    <x v="1"/>
    <s v="Muuga-Laekvere kool"/>
    <s v="Pk õpetajate tööjõukulu"/>
    <n v="1"/>
    <s v="aasta"/>
    <n v="313901.34499999997"/>
    <n v="313901.34499999997"/>
    <n v="1"/>
    <m/>
    <n v="313901.34499999997"/>
    <n v="106098.65461"/>
    <m/>
  </r>
  <r>
    <x v="1"/>
    <x v="57"/>
    <x v="56"/>
    <x v="15"/>
    <x v="1"/>
    <s v="Haridusenõunik"/>
    <s v="Pedagoogiliste vahendite reserv"/>
    <n v="1"/>
    <s v="aasta"/>
    <n v="58554.559999999998"/>
    <n v="58554.559999999998"/>
    <n v="1"/>
    <m/>
    <n v="58554.559999999998"/>
    <n v="19791.441279999999"/>
    <m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27">
  <r>
    <x v="0"/>
    <s v="01112           "/>
    <s v=" Valla- ja linnavalitsus"/>
    <s v="Valla- ja linnavalitsus"/>
    <s v="Üldised valitsussektori teenused"/>
    <s v="Ehitusnõunik"/>
    <x v="0"/>
    <n v="10000"/>
    <m/>
    <n v="1551"/>
    <s v="Rajatiste ja hoonete soetamine ja renoveerimine"/>
    <n v="15"/>
    <s v="15"/>
    <s v="Põhivara soetus (-)"/>
    <s v="Põhivara soetus (-)"/>
    <s v="Investeerimistegevus"/>
  </r>
  <r>
    <x v="0"/>
    <s v="01112           "/>
    <s v=" Valla- ja linnavalitsus"/>
    <s v="Valla- ja linnavalitsus"/>
    <s v="Üldised valitsussektori teenused"/>
    <s v="Ehitusnõunik"/>
    <x v="1"/>
    <n v="25000"/>
    <m/>
    <n v="1551"/>
    <s v="Rajatiste ja hoonete soetamine ja renoveerimine"/>
    <n v="15"/>
    <s v="15"/>
    <s v="Põhivara soetus (-)"/>
    <s v="Põhivara soetus (-)"/>
    <s v="Investeerimistegevus"/>
  </r>
  <r>
    <x v="0"/>
    <s v="01112           "/>
    <s v=" Valla- ja linnavalitsus"/>
    <s v="Valla- ja linnavalitsus"/>
    <s v="Üldised valitsussektori teenused"/>
    <s v="Vallavalitsus"/>
    <x v="2"/>
    <n v="30000"/>
    <m/>
    <n v="1551"/>
    <s v="Rajatiste ja hoonete soetamine ja renoveerimine"/>
    <n v="15"/>
    <s v="15"/>
    <s v="Põhivara soetus (-)"/>
    <s v="Põhivara soetus (-)"/>
    <s v="Investeerimistegevus"/>
  </r>
  <r>
    <x v="0"/>
    <s v="01112           "/>
    <s v=" Valla- ja linnavalitsus"/>
    <s v="Valla- ja linnavalitsus"/>
    <s v="Üldised valitsussektori teenused"/>
    <s v="Arendusnõunik"/>
    <x v="3"/>
    <n v="54000"/>
    <m/>
    <n v="1564"/>
    <s v="Arenguväljaminekud"/>
    <n v="15"/>
    <s v="15"/>
    <s v="Põhivara soetus (-)"/>
    <s v="Põhivara soetus (-)"/>
    <s v="Investeerimistegevus"/>
  </r>
  <r>
    <x v="0"/>
    <s v="01114           "/>
    <s v=" Kohaliku omavalitsuse üksuse reservfond"/>
    <s v="Kohaliku omavalitsuse üksuse reservfond"/>
    <s v="Üldised valitsussektori teenused"/>
    <s v="Vallavanem"/>
    <x v="4"/>
    <n v="25000"/>
    <m/>
    <n v="1551"/>
    <s v="Rajatiste ja hoonete soetamine ja renoveerimine"/>
    <n v="15"/>
    <s v="15"/>
    <s v="Põhivara soetus (-)"/>
    <s v="Põhivara soetus (-)"/>
    <s v="Investeerimistegevus"/>
  </r>
  <r>
    <x v="1"/>
    <s v="04510           "/>
    <s v="Maanteetransport"/>
    <s v="Maanteetransport"/>
    <s v="Majandus"/>
    <s v="Teede- ja ühistranspordinõunik"/>
    <x v="5"/>
    <n v="10000"/>
    <m/>
    <n v="1551"/>
    <s v="Rajatiste ja hoonete soetamine ja renoveerimine"/>
    <n v="15"/>
    <s v="15"/>
    <s v="Põhivara soetus (-)"/>
    <s v="Põhivara soetus (-)"/>
    <s v="Investeerimistegevus"/>
  </r>
  <r>
    <x v="2"/>
    <s v="06300           "/>
    <s v="Veevarustus"/>
    <s v="Veevarustus"/>
    <s v="Elamu- ja kommunaalmajandus"/>
    <s v="Ehitusnõunik"/>
    <x v="6"/>
    <n v="68000"/>
    <m/>
    <n v="1551"/>
    <s v="Rajatiste ja hoonete soetamine ja renoveerimine"/>
    <n v="15"/>
    <s v="15"/>
    <s v="Põhivara soetus (-)"/>
    <s v="Põhivara soetus (-)"/>
    <s v="Investeerimistegevus"/>
  </r>
  <r>
    <x v="2"/>
    <s v="06300           "/>
    <s v="Veevarustus"/>
    <s v="Veevarustus"/>
    <s v="Elamu- ja kommunaalmajandus"/>
    <s v="Arendusnõunik"/>
    <x v="7"/>
    <n v="200000"/>
    <m/>
    <n v="1551"/>
    <s v="Rajatiste ja hoonete soetamine ja renoveerimine"/>
    <n v="15"/>
    <s v="15"/>
    <s v="Põhivara soetus (-)"/>
    <s v="Põhivara soetus (-)"/>
    <s v="Investeerimistegevus"/>
  </r>
  <r>
    <x v="2"/>
    <s v="06400           "/>
    <s v="Tänavavalgustus"/>
    <s v="Tänavavalgustus"/>
    <s v="Elamu- ja kommunaalmajandus"/>
    <s v="Ehitusnõunik"/>
    <x v="8"/>
    <n v="230000"/>
    <m/>
    <n v="1551"/>
    <s v="Rajatiste ja hoonete soetamine ja renoveerimine"/>
    <n v="15"/>
    <s v="15"/>
    <s v="Põhivara soetus (-)"/>
    <s v="Põhivara soetus (-)"/>
    <s v="Investeerimistegevus"/>
  </r>
  <r>
    <x v="2"/>
    <s v="06400           "/>
    <s v="Tänavavalgustus"/>
    <s v="Tänavavalgustus"/>
    <s v="Elamu- ja kommunaalmajandus"/>
    <s v="Ehitusnõunik"/>
    <x v="8"/>
    <n v="470000"/>
    <s v="Ühtekuuluvusfond"/>
    <n v="1551"/>
    <s v="Rajatiste ja hoonete soetamine ja renoveerimine"/>
    <n v="15"/>
    <s v="15"/>
    <s v="Põhivara soetus (-)"/>
    <s v="Põhivara soetus (-)"/>
    <s v="Investeerimistegevus"/>
  </r>
  <r>
    <x v="2"/>
    <s v="0660501         "/>
    <s v="Laekvere halduspiirkond"/>
    <s v="Muu elamu- ja kommunaalmajanduse tegevus"/>
    <s v="Elamu- ja kommunaalmajandus"/>
    <s v="Laekvere piirkond"/>
    <x v="9"/>
    <n v="5000"/>
    <s v="maa soetus"/>
    <n v="1550"/>
    <s v="Maa soetamine"/>
    <n v="15"/>
    <s v="15"/>
    <s v="Põhivara soetus (-)"/>
    <s v="Põhivara soetus (-)"/>
    <s v="Investeerimistegevus"/>
  </r>
  <r>
    <x v="3"/>
    <s v="0810905         "/>
    <s v=" Kergliiklusteed"/>
    <s v="Vaba aja üritused"/>
    <s v="Vabaaeg, kultuur ja religioon"/>
    <s v="Ehitusnõunik"/>
    <x v="10"/>
    <n v="25000"/>
    <m/>
    <n v="1551"/>
    <s v="Rajatiste ja hoonete soetamine ja renoveerimine"/>
    <n v="15"/>
    <s v="15"/>
    <s v="Põhivara soetus (-)"/>
    <s v="Põhivara soetus (-)"/>
    <s v="Investeerimistegevus"/>
  </r>
  <r>
    <x v="3"/>
    <s v="0810905         "/>
    <s v=" Kergliiklusteed"/>
    <s v="Vaba aja üritused"/>
    <s v="Vabaaeg, kultuur ja religioon"/>
    <s v="Ehitusnõunik"/>
    <x v="11"/>
    <n v="250000"/>
    <m/>
    <n v="1551"/>
    <s v="Rajatiste ja hoonete soetamine ja renoveerimine"/>
    <n v="15"/>
    <s v="15"/>
    <s v="Põhivara soetus (-)"/>
    <s v="Põhivara soetus (-)"/>
    <s v="Investeerimistegevus"/>
  </r>
  <r>
    <x v="3"/>
    <s v="0820102         "/>
    <s v=" Viru-Jaagupi Raamatukogu"/>
    <s v="Raamatukogud"/>
    <s v="Vabaaeg, kultuur ja religioon"/>
    <s v="Ehitusnõunik"/>
    <x v="12"/>
    <n v="130000"/>
    <m/>
    <n v="1551"/>
    <s v="Rajatiste ja hoonete soetamine ja renoveerimine"/>
    <n v="15"/>
    <s v="15"/>
    <s v="Põhivara soetus (-)"/>
    <s v="Põhivara soetus (-)"/>
    <s v="Investeerimistegevus"/>
  </r>
  <r>
    <x v="3"/>
    <s v="0820202         "/>
    <s v=" Pajusti klubi"/>
    <s v="Rahvakultuur"/>
    <s v="Vabaaeg, kultuur ja religioon"/>
    <s v="Ehitusnõunik"/>
    <x v="13"/>
    <n v="40000"/>
    <m/>
    <n v="1551"/>
    <s v="Rajatiste ja hoonete soetamine ja renoveerimine"/>
    <n v="15"/>
    <s v="15"/>
    <s v="Põhivara soetus (-)"/>
    <s v="Põhivara soetus (-)"/>
    <s v="Investeerimistegevus"/>
  </r>
  <r>
    <x v="3"/>
    <s v="0820205         "/>
    <s v=" Laekvere Rahvamaja"/>
    <s v="Rahvakultuur"/>
    <s v="Vabaaeg, kultuur ja religioon"/>
    <s v="Ehitusnõunik"/>
    <x v="14"/>
    <n v="64820"/>
    <m/>
    <n v="1551"/>
    <s v="Rajatiste ja hoonete soetamine ja renoveerimine"/>
    <n v="15"/>
    <s v="15"/>
    <s v="Põhivara soetus (-)"/>
    <s v="Põhivara soetus (-)"/>
    <s v="Investeerimistegevus"/>
  </r>
  <r>
    <x v="3"/>
    <s v="0820205         "/>
    <s v=" Laekvere Rahvamaja"/>
    <s v="Rahvakultuur"/>
    <s v="Vabaaeg, kultuur ja religioon"/>
    <s v="Ehitusnõunik"/>
    <x v="15"/>
    <n v="32000"/>
    <m/>
    <n v="1551"/>
    <s v="Rajatiste ja hoonete soetamine ja renoveerimine"/>
    <n v="15"/>
    <s v="15"/>
    <s v="Põhivara soetus (-)"/>
    <s v="Põhivara soetus (-)"/>
    <s v="Investeerimistegevus"/>
  </r>
  <r>
    <x v="3"/>
    <s v="0820205         "/>
    <s v=" Laekvere Rahvamaja"/>
    <s v="Rahvakultuur"/>
    <s v="Vabaaeg, kultuur ja religioon"/>
    <s v="Ehitusnõunik"/>
    <x v="14"/>
    <n v="20000"/>
    <s v="PRIA toetus"/>
    <n v="1551"/>
    <s v="Rajatiste ja hoonete soetamine ja renoveerimine"/>
    <n v="15"/>
    <s v="15"/>
    <s v="Põhivara soetus (-)"/>
    <s v="Põhivara soetus (-)"/>
    <s v="Investeerimistegevus"/>
  </r>
  <r>
    <x v="3"/>
    <s v="08600           "/>
    <s v=" Muu vaba aeg, kultuur, religioon, sh haldus"/>
    <s v="Muu vaba aeg, kultuur, religioon, sh haldus"/>
    <s v="Vabaaeg, kultuur ja religioon"/>
    <s v="Arendusnõunik"/>
    <x v="16"/>
    <n v="20000"/>
    <m/>
    <n v="1551"/>
    <s v="Rajatiste ja hoonete soetamine ja renoveerimine"/>
    <n v="15"/>
    <s v="15"/>
    <s v="Põhivara soetus (-)"/>
    <s v="Põhivara soetus (-)"/>
    <s v="Investeerimistegevus"/>
  </r>
  <r>
    <x v="4"/>
    <s v="0911002         "/>
    <s v=" Pajusti Lasteaed"/>
    <s v="Alusharidus"/>
    <s v="Haridus"/>
    <s v="Ehitusnõunik"/>
    <x v="17"/>
    <n v="80000"/>
    <m/>
    <n v="1551"/>
    <s v="Rajatiste ja hoonete soetamine ja renoveerimine"/>
    <n v="15"/>
    <s v="15"/>
    <s v="Põhivara soetus (-)"/>
    <s v="Põhivara soetus (-)"/>
    <s v="Investeerimistegevus"/>
  </r>
  <r>
    <x v="4"/>
    <s v="0921201         "/>
    <s v=" Muuga-laekvere kool-Laekvere õppehoone"/>
    <s v="Põhihariduse otsekulud"/>
    <s v="Haridus"/>
    <s v="Ehitusnõunik"/>
    <x v="18"/>
    <n v="290000"/>
    <m/>
    <n v="1551"/>
    <s v="Rajatiste ja hoonete soetamine ja renoveerimine"/>
    <n v="15"/>
    <s v="15"/>
    <s v="Põhivara soetus (-)"/>
    <s v="Põhivara soetus (-)"/>
    <s v="Investeerimistegevus"/>
  </r>
  <r>
    <x v="4"/>
    <s v="0921203         "/>
    <s v=" Roela kool"/>
    <s v="Põhihariduse otsekulud"/>
    <s v="Haridus"/>
    <s v="Ehitusnõunik"/>
    <x v="19"/>
    <n v="95000"/>
    <m/>
    <n v="1551"/>
    <s v="Rajatiste ja hoonete soetamine ja renoveerimine"/>
    <n v="15"/>
    <s v="15"/>
    <s v="Põhivara soetus (-)"/>
    <s v="Põhivara soetus (-)"/>
    <s v="Investeerimistegevus"/>
  </r>
  <r>
    <x v="4"/>
    <s v="0921204         "/>
    <s v=" Tudu kool"/>
    <s v="Põhihariduse otsekulud"/>
    <s v="Haridus"/>
    <s v="Ehitusnõunik"/>
    <x v="20"/>
    <n v="51000"/>
    <m/>
    <n v="1551"/>
    <s v="Rajatiste ja hoonete soetamine ja renoveerimine"/>
    <n v="15"/>
    <s v="15"/>
    <s v="Põhivara soetus (-)"/>
    <s v="Põhivara soetus (-)"/>
    <s v="Investeerimistegevus"/>
  </r>
  <r>
    <x v="4"/>
    <s v="0921205         "/>
    <s v=" Vinni pajusti Gümnaasium"/>
    <s v="Põhihariduse otsekulud"/>
    <s v="Haridus"/>
    <s v="Vinni-Pajusti Gümnaasium"/>
    <x v="21"/>
    <n v="60000"/>
    <m/>
    <n v="1551"/>
    <s v="Rajatiste ja hoonete soetamine ja renoveerimine"/>
    <n v="15"/>
    <s v="15"/>
    <s v="Põhivara soetus (-)"/>
    <s v="Põhivara soetus (-)"/>
    <s v="Investeerimistegevus"/>
  </r>
  <r>
    <x v="4"/>
    <s v="09510           "/>
    <s v=" Noorte huviharidus ja huvitegevus"/>
    <s v="Noorte huviharidus ja huvitegevus"/>
    <s v="Haridus"/>
    <s v="Vallavalitsus"/>
    <x v="22"/>
    <n v="10000"/>
    <m/>
    <n v="1551"/>
    <s v="Rajatiste ja hoonete soetamine ja renoveerimine"/>
    <n v="15"/>
    <s v="15"/>
    <s v="Põhivara soetus (-)"/>
    <s v="Põhivara soetus (-)"/>
    <s v="Investeerimistegevus"/>
  </r>
  <r>
    <x v="5"/>
    <s v="1020002         "/>
    <s v=" Ulvi Hooldekodu"/>
    <s v="Eakate sotsiaalhoolekande asutused"/>
    <s v="Sotsiaalne kaitse"/>
    <s v="Arendusnõunik"/>
    <x v="23"/>
    <n v="400000"/>
    <m/>
    <n v="1551"/>
    <s v="Rajatiste ja hoonete soetamine ja renoveerimine"/>
    <n v="15"/>
    <s v="15"/>
    <s v="Põhivara soetus (-)"/>
    <s v="Põhivara soetus (-)"/>
    <s v="Investeerimistegevus"/>
  </r>
  <r>
    <x v="5"/>
    <s v="10702           "/>
    <s v=" Muu sotsiaalsete riskirühmade kaitse"/>
    <s v="Muu sotsiaalsete riskirühmade kaitse"/>
    <s v="Sotsiaalne kaitse"/>
    <s v="Arendusnõunik"/>
    <x v="24"/>
    <n v="5000"/>
    <m/>
    <n v="1551"/>
    <s v="Rajatiste ja hoonete soetamine ja renoveerimine"/>
    <n v="15"/>
    <s v="15"/>
    <s v="Põhivara soetus (-)"/>
    <s v="Põhivara soetus (-)"/>
    <s v="Investeerimistegevus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count="1227">
  <r>
    <x v="0"/>
    <x v="0"/>
    <x v="0"/>
    <s v="Valla- ja linnavolikogu"/>
    <s v="Üldised valitsussektori teenused"/>
    <s v="Volikogu esimees"/>
    <s v="külaliste vastuvõtt"/>
    <n v="100"/>
    <m/>
    <n v="5500"/>
    <s v="Administreerimiskulud"/>
    <n v="55"/>
    <s v="55"/>
    <s v="Muud tegevuskulud"/>
    <x v="0"/>
    <s v="Põhitegevuse kulu"/>
  </r>
  <r>
    <x v="0"/>
    <x v="0"/>
    <x v="0"/>
    <s v="Valla- ja linnavolikogu"/>
    <s v="Üldised valitsussektori teenused"/>
    <s v="Volikogu esimees"/>
    <s v="postikulu"/>
    <n v="50"/>
    <m/>
    <n v="5500"/>
    <s v="Administreerimiskulud"/>
    <n v="55"/>
    <s v="55"/>
    <s v="Muud tegevuskulud"/>
    <x v="0"/>
    <s v="Põhitegevuse kulu"/>
  </r>
  <r>
    <x v="0"/>
    <x v="0"/>
    <x v="0"/>
    <s v="Valla- ja linnavolikogu"/>
    <s v="Üldised valitsussektori teenused"/>
    <s v="Volikogu esimees"/>
    <s v="tellitud transport"/>
    <n v="500"/>
    <m/>
    <n v="5540"/>
    <s v="Mitmesugused majanduskulud"/>
    <n v="55"/>
    <s v="55"/>
    <s v="Muud tegevuskulud"/>
    <x v="0"/>
    <s v="Põhitegevuse kulu"/>
  </r>
  <r>
    <x v="0"/>
    <x v="0"/>
    <x v="0"/>
    <s v="Valla- ja linnavolikogu"/>
    <s v="Üldised valitsussektori teenused"/>
    <s v="Volikogu esimees"/>
    <s v="komisjonide töö korraldamised"/>
    <n v="1250"/>
    <m/>
    <n v="5500"/>
    <s v="Administreerimiskulud"/>
    <n v="55"/>
    <s v="55"/>
    <s v="Muud tegevuskulud"/>
    <x v="0"/>
    <s v="Põhitegevuse kulu"/>
  </r>
  <r>
    <x v="0"/>
    <x v="0"/>
    <x v="0"/>
    <s v="Valla- ja linnavolikogu"/>
    <s v="Üldised valitsussektori teenused"/>
    <s v="Volikogu esimees"/>
    <s v="Koolitused"/>
    <n v="9350"/>
    <s v="17 x 50"/>
    <n v="5504"/>
    <s v="Koolituskulud"/>
    <n v="55"/>
    <s v="55"/>
    <s v="Muud tegevuskulud"/>
    <x v="0"/>
    <s v="Põhitegevuse kulu"/>
  </r>
  <r>
    <x v="0"/>
    <x v="0"/>
    <x v="0"/>
    <s v="Valla- ja linnavolikogu"/>
    <s v="Üldised valitsussektori teenused"/>
    <s v="Volikogu esimees"/>
    <s v="Isikliku sõiduauto komp."/>
    <n v="1800"/>
    <s v="esimees 12*150"/>
    <n v="5513"/>
    <s v="Sõidukite ülalpidamise kulud"/>
    <n v="55"/>
    <s v="55"/>
    <s v="Muud tegevuskulud"/>
    <x v="0"/>
    <s v="Põhitegevuse kulu"/>
  </r>
  <r>
    <x v="0"/>
    <x v="1"/>
    <x v="1"/>
    <s v="Valla- ja linnavalitsus"/>
    <s v="Üldised valitsussektori teenused"/>
    <s v="Vallavalitsus"/>
    <s v="Vallamaja koristusteenus"/>
    <n v="9936"/>
    <s v="Tarvaprojekt"/>
    <n v="5511"/>
    <s v="Kinnistute, hoonete ja ruumide majandamiskulud"/>
    <n v="55"/>
    <s v="55"/>
    <s v="Muud tegevuskulud"/>
    <x v="0"/>
    <s v="Põhitegevuse kulu"/>
  </r>
  <r>
    <x v="0"/>
    <x v="1"/>
    <x v="1"/>
    <s v="Valla- ja linnavalitsus"/>
    <s v="Üldised valitsussektori teenused"/>
    <s v="Finantsosakond"/>
    <s v="Audiitorteenus"/>
    <n v="2000"/>
    <m/>
    <n v="5500"/>
    <s v="Administreerimiskulud"/>
    <n v="55"/>
    <s v="55"/>
    <s v="Muud tegevuskulud"/>
    <x v="0"/>
    <s v="Põhitegevuse kulu"/>
  </r>
  <r>
    <x v="0"/>
    <x v="1"/>
    <x v="1"/>
    <s v="Valla- ja linnavalitsus"/>
    <s v="Üldised valitsussektori teenused"/>
    <s v="Finantsosakond"/>
    <s v="Trükised"/>
    <m/>
    <s v="raamatupidamisuudised jms"/>
    <n v="5500"/>
    <s v="Administreerimiskulud"/>
    <n v="55"/>
    <s v="55"/>
    <s v="Muud tegevuskulud"/>
    <x v="0"/>
    <s v="Põhitegevuse kulu"/>
  </r>
  <r>
    <x v="0"/>
    <x v="1"/>
    <x v="1"/>
    <s v="Valla- ja linnavalitsus"/>
    <s v="Üldised valitsussektori teenused"/>
    <s v="Finantsosakond"/>
    <s v="Omniva arvekeskus"/>
    <n v="7200"/>
    <s v="600x12 kuud"/>
    <n v="5500"/>
    <s v="Administreerimiskulud"/>
    <n v="55"/>
    <s v="55"/>
    <s v="Muud tegevuskulud"/>
    <x v="0"/>
    <s v="Põhitegevuse kulu"/>
  </r>
  <r>
    <x v="0"/>
    <x v="1"/>
    <x v="1"/>
    <s v="Valla- ja linnavalitsus"/>
    <s v="Üldised valitsussektori teenused"/>
    <s v="Finantsosakond"/>
    <s v="Koolitused"/>
    <n v="1500"/>
    <s v="1 inx375€"/>
    <n v="5504"/>
    <s v="Koolituskulud"/>
    <n v="55"/>
    <s v="55"/>
    <s v="Muud tegevuskulud"/>
    <x v="0"/>
    <s v="Põhitegevuse kulu"/>
  </r>
  <r>
    <x v="0"/>
    <x v="1"/>
    <x v="1"/>
    <s v="Valla- ja linnavalitsus"/>
    <s v="Üldised valitsussektori teenused"/>
    <s v="Finantsosakond"/>
    <s v="Koolituslähetuse sõidukulud"/>
    <n v="120"/>
    <m/>
    <n v="5504"/>
    <s v="Koolituskulud"/>
    <n v="55"/>
    <s v="55"/>
    <s v="Muud tegevuskulud"/>
    <x v="0"/>
    <s v="Põhitegevuse kulu"/>
  </r>
  <r>
    <x v="0"/>
    <x v="1"/>
    <x v="1"/>
    <s v="Valla- ja linnavalitsus"/>
    <s v="Üldised valitsussektori teenused"/>
    <s v="Finantsosakond"/>
    <s v="Isikliku sõiduauto komp."/>
    <m/>
    <m/>
    <n v="5513"/>
    <s v="Sõidukite ülalpidamise kulud"/>
    <n v="55"/>
    <s v="55"/>
    <s v="Muud tegevuskulud"/>
    <x v="0"/>
    <s v="Põhitegevuse kulu"/>
  </r>
  <r>
    <x v="0"/>
    <x v="1"/>
    <x v="1"/>
    <s v="Valla- ja linnavalitsus"/>
    <s v="Üldised valitsussektori teenused"/>
    <s v="Finantsosakond"/>
    <s v="Pmen hooldus"/>
    <n v="2880"/>
    <s v="240x12 kuud"/>
    <n v="5514"/>
    <s v="Info- ja kommunikatsioonitehnoliigised kulud"/>
    <n v="55"/>
    <s v="55"/>
    <s v="Muud tegevuskulud"/>
    <x v="0"/>
    <s v="Põhitegevuse kulu"/>
  </r>
  <r>
    <x v="0"/>
    <x v="1"/>
    <x v="1"/>
    <s v="Valla- ja linnavalitsus"/>
    <s v="Üldised valitsussektori teenused"/>
    <s v="Finantsosakond"/>
    <s v="Raamatupidajate kogu liikmemaks"/>
    <n v="120"/>
    <m/>
    <n v="4528"/>
    <s v="Liikmemaksud"/>
    <n v="452"/>
    <s v="45"/>
    <s v="Antavad toetused tegevuskuludeks"/>
    <x v="1"/>
    <s v="Põhitegevuse kulu"/>
  </r>
  <r>
    <x v="0"/>
    <x v="1"/>
    <x v="1"/>
    <s v="Valla- ja linnavalitsus"/>
    <s v="Üldised valitsussektori teenused"/>
    <s v="Finantsosakond"/>
    <s v="Maksumaksjate liidu liikmemaks"/>
    <n v="30"/>
    <m/>
    <n v="4528"/>
    <s v="Liikmemaksud"/>
    <n v="452"/>
    <s v="45"/>
    <s v="Antavad toetused tegevuskuludeks"/>
    <x v="1"/>
    <s v="Põhitegevuse kulu"/>
  </r>
  <r>
    <x v="0"/>
    <x v="1"/>
    <x v="1"/>
    <s v="Valla- ja linnavalitsus"/>
    <s v="Üldised valitsussektori teenused"/>
    <s v="Vallavanem"/>
    <s v="Valitsuse liikmete koolituskulud"/>
    <n v="1000"/>
    <m/>
    <n v="5504"/>
    <s v="Koolituskulud"/>
    <n v="55"/>
    <s v="55"/>
    <s v="Muud tegevuskulud"/>
    <x v="0"/>
    <s v="Põhitegevuse kulu"/>
  </r>
  <r>
    <x v="0"/>
    <x v="1"/>
    <x v="1"/>
    <s v="Valla- ja linnavalitsus"/>
    <s v="Üldised valitsussektori teenused"/>
    <s v="Finantsosakond"/>
    <s v="Pangateenustasud"/>
    <n v="660"/>
    <s v="Swedbank"/>
    <n v="5500"/>
    <s v="Administreerimiskulud"/>
    <n v="55"/>
    <s v="55"/>
    <s v="Muud tegevuskulud"/>
    <x v="0"/>
    <s v="Põhitegevuse kulu"/>
  </r>
  <r>
    <x v="0"/>
    <x v="1"/>
    <x v="1"/>
    <s v="Valla- ja linnavalitsus"/>
    <s v="Üldised valitsussektori teenused"/>
    <s v="Finantsosakond"/>
    <s v="Pangateenustasud"/>
    <n v="480"/>
    <m/>
    <n v="5500"/>
    <s v="Administreerimiskulud"/>
    <n v="55"/>
    <s v="55"/>
    <s v="Muud tegevuskulud"/>
    <x v="0"/>
    <s v="Põhitegevuse kulu"/>
  </r>
  <r>
    <x v="0"/>
    <x v="1"/>
    <x v="1"/>
    <s v="Valla- ja linnavalitsus"/>
    <s v="Üldised valitsussektori teenused"/>
    <s v="Kantselei"/>
    <s v="Arhivaalide hävitamise teenus"/>
    <n v="500"/>
    <m/>
    <n v="5500"/>
    <s v="Administreerimiskulud"/>
    <n v="55"/>
    <s v="55"/>
    <s v="Muud tegevuskulud"/>
    <x v="0"/>
    <s v="Põhitegevuse kulu"/>
  </r>
  <r>
    <x v="0"/>
    <x v="1"/>
    <x v="1"/>
    <s v="Valla- ja linnavalitsus"/>
    <s v="Üldised valitsussektori teenused"/>
    <s v="Kantselei"/>
    <s v="Arhiivi tarvikud"/>
    <n v="500"/>
    <m/>
    <n v="5500"/>
    <s v="Administreerimiskulud"/>
    <n v="55"/>
    <s v="55"/>
    <s v="Muud tegevuskulud"/>
    <x v="0"/>
    <s v="Põhitegevuse kulu"/>
  </r>
  <r>
    <x v="0"/>
    <x v="1"/>
    <x v="1"/>
    <s v="Valla- ja linnavalitsus"/>
    <s v="Üldised valitsussektori teenused"/>
    <s v="Kantselei"/>
    <s v="Kontoritarbed"/>
    <n v="1680"/>
    <m/>
    <n v="5500"/>
    <s v="Administreerimiskulud"/>
    <n v="55"/>
    <s v="55"/>
    <s v="Muud tegevuskulud"/>
    <x v="0"/>
    <s v="Põhitegevuse kulu"/>
  </r>
  <r>
    <x v="0"/>
    <x v="1"/>
    <x v="1"/>
    <s v="Valla- ja linnavalitsus"/>
    <s v="Üldised valitsussektori teenused"/>
    <s v="Kantselei"/>
    <s v="Postikulud"/>
    <n v="960"/>
    <m/>
    <n v="5500"/>
    <s v="Administreerimiskulud"/>
    <n v="55"/>
    <s v="55"/>
    <s v="Muud tegevuskulud"/>
    <x v="0"/>
    <s v="Põhitegevuse kulu"/>
  </r>
  <r>
    <x v="0"/>
    <x v="1"/>
    <x v="1"/>
    <s v="Valla- ja linnavalitsus"/>
    <s v="Üldised valitsussektori teenused"/>
    <s v="Kantselei"/>
    <s v="Koopiapaber"/>
    <n v="1500"/>
    <m/>
    <n v="5500"/>
    <s v="Administreerimiskulud"/>
    <n v="55"/>
    <s v="55"/>
    <s v="Muud tegevuskulud"/>
    <x v="0"/>
    <s v="Põhitegevuse kulu"/>
  </r>
  <r>
    <x v="0"/>
    <x v="1"/>
    <x v="1"/>
    <s v="Valla- ja linnavalitsus"/>
    <s v="Üldised valitsussektori teenused"/>
    <s v="Kantselei"/>
    <s v="Paljunduskulud"/>
    <n v="1440"/>
    <m/>
    <n v="5500"/>
    <s v="Administreerimiskulud"/>
    <n v="55"/>
    <s v="55"/>
    <s v="Muud tegevuskulud"/>
    <x v="0"/>
    <s v="Põhitegevuse kulu"/>
  </r>
  <r>
    <x v="0"/>
    <x v="1"/>
    <x v="1"/>
    <s v="Valla- ja linnavalitsus"/>
    <s v="Üldised valitsussektori teenused"/>
    <s v="Kantselei"/>
    <s v="Kalendrid"/>
    <n v="600"/>
    <m/>
    <n v="5500"/>
    <s v="Administreerimiskulud"/>
    <n v="55"/>
    <s v="55"/>
    <s v="Muud tegevuskulud"/>
    <x v="0"/>
    <s v="Põhitegevuse kulu"/>
  </r>
  <r>
    <x v="0"/>
    <x v="1"/>
    <x v="1"/>
    <s v="Valla- ja linnavalitsus"/>
    <s v="Üldised valitsussektori teenused"/>
    <s v="Kantselei"/>
    <s v="Kalendermärkmikud"/>
    <n v="420"/>
    <m/>
    <n v="5500"/>
    <s v="Administreerimiskulud"/>
    <n v="55"/>
    <s v="55"/>
    <s v="Muud tegevuskulud"/>
    <x v="0"/>
    <s v="Põhitegevuse kulu"/>
  </r>
  <r>
    <x v="0"/>
    <x v="1"/>
    <x v="1"/>
    <s v="Valla- ja linnavalitsus"/>
    <s v="Üldised valitsussektori teenused"/>
    <s v="Kantselei"/>
    <s v="Meened (prillilapp, tassid, pastakad)"/>
    <n v="5000"/>
    <m/>
    <n v="5500"/>
    <s v="Administreerimiskulud"/>
    <n v="55"/>
    <s v="55"/>
    <s v="Muud tegevuskulud"/>
    <x v="0"/>
    <s v="Põhitegevuse kulu"/>
  </r>
  <r>
    <x v="0"/>
    <x v="1"/>
    <x v="1"/>
    <s v="Valla- ja linnavalitsus"/>
    <s v="Üldised valitsussektori teenused"/>
    <s v="Kantselei"/>
    <s v="Lilled sünnipäevalistele jne"/>
    <n v="2520"/>
    <m/>
    <n v="5500"/>
    <s v="Administreerimiskulud"/>
    <n v="55"/>
    <s v="55"/>
    <s v="Muud tegevuskulud"/>
    <x v="0"/>
    <s v="Põhitegevuse kulu"/>
  </r>
  <r>
    <x v="0"/>
    <x v="1"/>
    <x v="1"/>
    <s v="Valla- ja linnavalitsus"/>
    <s v="Üldised valitsussektori teenused"/>
    <s v="Kantselei"/>
    <s v="Lauatelefonid"/>
    <n v="3480"/>
    <m/>
    <n v="5500"/>
    <s v="Administreerimiskulud"/>
    <n v="55"/>
    <s v="55"/>
    <s v="Muud tegevuskulud"/>
    <x v="0"/>
    <s v="Põhitegevuse kulu"/>
  </r>
  <r>
    <x v="0"/>
    <x v="1"/>
    <x v="1"/>
    <s v="Valla- ja linnavalitsus"/>
    <s v="Üldised valitsussektori teenused"/>
    <s v="Kantselei"/>
    <s v="Esinduskulud (kohv)"/>
    <n v="540"/>
    <m/>
    <n v="5500"/>
    <s v="Administreerimiskulud"/>
    <n v="55"/>
    <s v="55"/>
    <s v="Muud tegevuskulud"/>
    <x v="0"/>
    <s v="Põhitegevuse kulu"/>
  </r>
  <r>
    <x v="0"/>
    <x v="1"/>
    <x v="1"/>
    <s v="Valla- ja linnavalitsus"/>
    <s v="Üldised valitsussektori teenused"/>
    <s v="Kantselei"/>
    <s v="Esindus - ja vastuvõtu kulud"/>
    <n v="5500"/>
    <m/>
    <n v="5500"/>
    <s v="Administreerimiskulud"/>
    <n v="55"/>
    <s v="55"/>
    <s v="Muud tegevuskulud"/>
    <x v="0"/>
    <s v="Põhitegevuse kulu"/>
  </r>
  <r>
    <x v="0"/>
    <x v="1"/>
    <x v="1"/>
    <s v="Valla- ja linnavalitsus"/>
    <s v="Üldised valitsussektori teenused"/>
    <s v="Kantselei"/>
    <s v="Kuulutused"/>
    <n v="1000"/>
    <s v="kaastunde avaldused jms"/>
    <n v="5500"/>
    <s v="Administreerimiskulud"/>
    <n v="55"/>
    <s v="55"/>
    <s v="Muud tegevuskulud"/>
    <x v="0"/>
    <s v="Põhitegevuse kulu"/>
  </r>
  <r>
    <x v="0"/>
    <x v="1"/>
    <x v="1"/>
    <s v="Valla- ja linnavalitsus"/>
    <s v="Üldised valitsussektori teenused"/>
    <s v="Kantselei"/>
    <s v="Visiitkaardid"/>
    <n v="60"/>
    <m/>
    <n v="5500"/>
    <s v="Administreerimiskulud"/>
    <n v="55"/>
    <s v="55"/>
    <s v="Muud tegevuskulud"/>
    <x v="0"/>
    <s v="Põhitegevuse kulu"/>
  </r>
  <r>
    <x v="0"/>
    <x v="1"/>
    <x v="1"/>
    <s v="Valla- ja linnavalitsus"/>
    <s v="Üldised valitsussektori teenused"/>
    <s v="Vallavanem"/>
    <s v="R.Võrno lähetused"/>
    <n v="1500"/>
    <m/>
    <n v="5503"/>
    <s v="Lähetuskulud"/>
    <n v="55"/>
    <s v="55"/>
    <s v="Muud tegevuskulud"/>
    <x v="0"/>
    <s v="Põhitegevuse kulu"/>
  </r>
  <r>
    <x v="0"/>
    <x v="1"/>
    <x v="1"/>
    <s v="Valla- ja linnavalitsus"/>
    <s v="Üldised valitsussektori teenused"/>
    <s v="Kantselei"/>
    <s v="Koolitustel osalemine"/>
    <n v="5000"/>
    <s v="Mart, Vaive, Kersti, Tuuli, Inga, Kätlin"/>
    <n v="5504"/>
    <s v="Koolituskulud"/>
    <n v="55"/>
    <s v="55"/>
    <s v="Muud tegevuskulud"/>
    <x v="0"/>
    <s v="Põhitegevuse kulu"/>
  </r>
  <r>
    <x v="0"/>
    <x v="1"/>
    <x v="1"/>
    <s v="Valla- ja linnavalitsus"/>
    <s v="Üldised valitsussektori teenused"/>
    <s v="Kantselei"/>
    <s v="Vallavalitsuse koosseisu hõlmavad üldised koolitused"/>
    <n v="2500"/>
    <m/>
    <n v="5504"/>
    <s v="Koolituskulud"/>
    <n v="55"/>
    <s v="55"/>
    <s v="Muud tegevuskulud"/>
    <x v="0"/>
    <s v="Põhitegevuse kulu"/>
  </r>
  <r>
    <x v="0"/>
    <x v="1"/>
    <x v="1"/>
    <s v="Valla- ja linnavalitsus"/>
    <s v="Üldised valitsussektori teenused"/>
    <s v="Vallavanem"/>
    <s v="Valla meeskonna koolitused"/>
    <n v="12000"/>
    <m/>
    <n v="5504"/>
    <s v="Koolituskulud"/>
    <n v="55"/>
    <s v="55"/>
    <s v="Muud tegevuskulud"/>
    <x v="0"/>
    <s v="Põhitegevuse kulu"/>
  </r>
  <r>
    <x v="0"/>
    <x v="1"/>
    <x v="1"/>
    <s v="Valla- ja linnavalitsus"/>
    <s v="Üldised valitsussektori teenused"/>
    <s v="Kantselei"/>
    <s v="Mastilipud"/>
    <n v="4800"/>
    <m/>
    <n v="5511"/>
    <s v="Kinnistute, hoonete ja ruumide majandamiskulud"/>
    <n v="55"/>
    <s v="55"/>
    <s v="Muud tegevuskulud"/>
    <x v="0"/>
    <s v="Põhitegevuse kulu"/>
  </r>
  <r>
    <x v="0"/>
    <x v="1"/>
    <x v="1"/>
    <s v="Valla- ja linnavalitsus"/>
    <s v="Üldised valitsussektori teenused"/>
    <s v="Vallavanem"/>
    <s v="Saku Läte"/>
    <n v="1440"/>
    <m/>
    <n v="5511"/>
    <s v="Kinnistute, hoonete ja ruumide majandamiskulud"/>
    <n v="55"/>
    <s v="55"/>
    <s v="Muud tegevuskulud"/>
    <x v="0"/>
    <s v="Põhitegevuse kulu"/>
  </r>
  <r>
    <x v="0"/>
    <x v="1"/>
    <x v="1"/>
    <s v="Valla- ja linnavalitsus"/>
    <s v="Üldised valitsussektori teenused"/>
    <s v="Vallavanem"/>
    <s v="Vallamaja elekter"/>
    <n v="4800"/>
    <m/>
    <n v="5511"/>
    <s v="Kinnistute, hoonete ja ruumide majandamiskulud"/>
    <n v="55"/>
    <s v="55"/>
    <s v="Muud tegevuskulud"/>
    <x v="0"/>
    <s v="Põhitegevuse kulu"/>
  </r>
  <r>
    <x v="0"/>
    <x v="1"/>
    <x v="1"/>
    <s v="Valla- ja linnavalitsus"/>
    <s v="Üldised valitsussektori teenused"/>
    <s v="Vallavanem"/>
    <s v="Vallamaja vesi"/>
    <n v="1800"/>
    <m/>
    <n v="5511"/>
    <s v="Kinnistute, hoonete ja ruumide majandamiskulud"/>
    <n v="55"/>
    <s v="55"/>
    <s v="Muud tegevuskulud"/>
    <x v="0"/>
    <s v="Põhitegevuse kulu"/>
  </r>
  <r>
    <x v="0"/>
    <x v="1"/>
    <x v="1"/>
    <s v="Valla- ja linnavalitsus"/>
    <s v="Üldised valitsussektori teenused"/>
    <s v="Vallavanem"/>
    <s v="Vallamaja keskküte"/>
    <n v="20700"/>
    <m/>
    <n v="5511"/>
    <s v="Kinnistute, hoonete ja ruumide majandamiskulud"/>
    <n v="55"/>
    <s v="55"/>
    <s v="Muud tegevuskulud"/>
    <x v="0"/>
    <s v="Põhitegevuse kulu"/>
  </r>
  <r>
    <x v="0"/>
    <x v="1"/>
    <x v="1"/>
    <s v="Valla- ja linnavalitsus"/>
    <s v="Üldised valitsussektori teenused"/>
    <s v="Vallavanem"/>
    <s v="Prügikonteineri rent"/>
    <n v="300"/>
    <m/>
    <n v="5511"/>
    <s v="Kinnistute, hoonete ja ruumide majandamiskulud"/>
    <n v="55"/>
    <s v="55"/>
    <s v="Muud tegevuskulud"/>
    <x v="0"/>
    <s v="Põhitegevuse kulu"/>
  </r>
  <r>
    <x v="0"/>
    <x v="1"/>
    <x v="1"/>
    <s v="Valla- ja linnavalitsus"/>
    <s v="Üldised valitsussektori teenused"/>
    <s v="Vallavanem"/>
    <s v="Jäätmekäitlus"/>
    <n v="840"/>
    <m/>
    <n v="5511"/>
    <s v="Kinnistute, hoonete ja ruumide majandamiskulud"/>
    <n v="55"/>
    <s v="55"/>
    <s v="Muud tegevuskulud"/>
    <x v="0"/>
    <s v="Põhitegevuse kulu"/>
  </r>
  <r>
    <x v="0"/>
    <x v="1"/>
    <x v="1"/>
    <s v="Valla- ja linnavalitsus"/>
    <s v="Üldised valitsussektori teenused"/>
    <s v="Vallavanem"/>
    <s v="Hoone kindlustus"/>
    <n v="260"/>
    <m/>
    <n v="5511"/>
    <s v="Kinnistute, hoonete ja ruumide majandamiskulud"/>
    <n v="55"/>
    <s v="55"/>
    <s v="Muud tegevuskulud"/>
    <x v="0"/>
    <s v="Põhitegevuse kulu"/>
  </r>
  <r>
    <x v="0"/>
    <x v="1"/>
    <x v="1"/>
    <s v="Valla- ja linnavalitsus"/>
    <s v="Üldised valitsussektori teenused"/>
    <s v="Vallavanem"/>
    <s v="Muud kinnistu ja hoonetega seotud kulud"/>
    <n v="15000"/>
    <m/>
    <n v="5511"/>
    <s v="Kinnistute, hoonete ja ruumide majandamiskulud"/>
    <n v="55"/>
    <s v="55"/>
    <s v="Muud tegevuskulud"/>
    <x v="0"/>
    <s v="Põhitegevuse kulu"/>
  </r>
  <r>
    <x v="0"/>
    <x v="1"/>
    <x v="1"/>
    <s v="Valla- ja linnavalitsus"/>
    <s v="Üldised valitsussektori teenused"/>
    <s v="Kantselei"/>
    <s v="Isikliku sõiduauto komp."/>
    <n v="768"/>
    <s v="juhiabi"/>
    <n v="5513"/>
    <s v="Sõidukite ülalpidamise kulud"/>
    <n v="55"/>
    <s v="55"/>
    <s v="Muud tegevuskulud"/>
    <x v="0"/>
    <s v="Põhitegevuse kulu"/>
  </r>
  <r>
    <x v="0"/>
    <x v="1"/>
    <x v="1"/>
    <s v="Valla- ja linnavalitsus"/>
    <s v="Üldised valitsussektori teenused"/>
    <s v="Kantselei"/>
    <s v="Isikliku sõiduauto komp."/>
    <n v="768"/>
    <s v="vallasekretär"/>
    <n v="5513"/>
    <s v="Sõidukite ülalpidamise kulud"/>
    <n v="55"/>
    <s v="55"/>
    <s v="Muud tegevuskulud"/>
    <x v="0"/>
    <s v="Põhitegevuse kulu"/>
  </r>
  <r>
    <x v="0"/>
    <x v="1"/>
    <x v="1"/>
    <s v="Valla- ja linnavalitsus"/>
    <s v="Üldised valitsussektori teenused"/>
    <s v="Vallavanem"/>
    <s v="Isikliku sõiduauto komp."/>
    <n v="1800"/>
    <s v="abivallavanem"/>
    <n v="5513"/>
    <s v="Sõidukite ülalpidamise kulud"/>
    <n v="55"/>
    <s v="55"/>
    <s v="Muud tegevuskulud"/>
    <x v="0"/>
    <s v="Põhitegevuse kulu"/>
  </r>
  <r>
    <x v="0"/>
    <x v="1"/>
    <x v="1"/>
    <s v="Valla- ja linnavalitsus"/>
    <s v="Üldised valitsussektori teenused"/>
    <s v="Vallavanem"/>
    <s v="Vallavanema auto liising"/>
    <n v="5227.2000000000007"/>
    <m/>
    <n v="5513"/>
    <s v="Sõidukite ülalpidamise kulud"/>
    <n v="55"/>
    <s v="55"/>
    <s v="Muud tegevuskulud"/>
    <x v="0"/>
    <s v="Põhitegevuse kulu"/>
  </r>
  <r>
    <x v="0"/>
    <x v="1"/>
    <x v="1"/>
    <s v="Valla- ja linnavalitsus"/>
    <s v="Üldised valitsussektori teenused"/>
    <s v="Vallavanem"/>
    <s v="Vallavanema auto kindlustus"/>
    <n v="650"/>
    <m/>
    <n v="5513"/>
    <s v="Sõidukite ülalpidamise kulud"/>
    <n v="55"/>
    <s v="55"/>
    <s v="Muud tegevuskulud"/>
    <x v="0"/>
    <s v="Põhitegevuse kulu"/>
  </r>
  <r>
    <x v="0"/>
    <x v="1"/>
    <x v="1"/>
    <s v="Valla- ja linnavalitsus"/>
    <s v="Üldised valitsussektori teenused"/>
    <s v="Vallavanem"/>
    <s v="Vallavanema auto kütus"/>
    <n v="4800"/>
    <m/>
    <n v="5513"/>
    <s v="Sõidukite ülalpidamise kulud"/>
    <n v="55"/>
    <s v="55"/>
    <s v="Muud tegevuskulud"/>
    <x v="0"/>
    <s v="Põhitegevuse kulu"/>
  </r>
  <r>
    <x v="0"/>
    <x v="1"/>
    <x v="1"/>
    <s v="Valla- ja linnavalitsus"/>
    <s v="Üldised valitsussektori teenused"/>
    <s v="Vallavanem"/>
    <s v="Vallavanema auto remont ja hooldus"/>
    <n v="1500"/>
    <m/>
    <n v="5513"/>
    <s v="Sõidukite ülalpidamise kulud"/>
    <n v="55"/>
    <s v="55"/>
    <s v="Muud tegevuskulud"/>
    <x v="0"/>
    <s v="Põhitegevuse kulu"/>
  </r>
  <r>
    <x v="0"/>
    <x v="1"/>
    <x v="1"/>
    <s v="Valla- ja linnavalitsus"/>
    <s v="Üldised valitsussektori teenused"/>
    <s v="Kantselei"/>
    <s v="Amphora dokumendihaldustarkvara kuutasud"/>
    <n v="4395.2"/>
    <s v="kuutasu 280,02+km; 2020 hinnatõus 9%"/>
    <n v="5514"/>
    <s v="Info- ja kommunikatsioonitehnoliigised kulud"/>
    <n v="55"/>
    <s v="55"/>
    <s v="Muud tegevuskulud"/>
    <x v="0"/>
    <s v="Põhitegevuse kulu"/>
  </r>
  <r>
    <x v="0"/>
    <x v="1"/>
    <x v="1"/>
    <s v="Valla- ja linnavalitsus"/>
    <s v="Üldised valitsussektori teenused"/>
    <s v="Kantselei"/>
    <s v="Amphora arendamine"/>
    <n v="1500"/>
    <m/>
    <n v="5514"/>
    <s v="Info- ja kommunikatsioonitehnoliigised kulud"/>
    <n v="55"/>
    <s v="55"/>
    <s v="Muud tegevuskulud"/>
    <x v="0"/>
    <s v="Põhitegevuse kulu"/>
  </r>
  <r>
    <x v="0"/>
    <x v="1"/>
    <x v="1"/>
    <s v="Valla- ja linnavalitsus"/>
    <s v="Üldised valitsussektori teenused"/>
    <s v="Vallavanem"/>
    <s v="Kohvimasina rent"/>
    <n v="660"/>
    <m/>
    <n v="5515"/>
    <s v="Inventari kulud, v.a infotehnoloogia ja kaitseotstarbelised kulud"/>
    <n v="55"/>
    <s v="55"/>
    <s v="Muud tegevuskulud"/>
    <x v="0"/>
    <s v="Põhitegevuse kulu"/>
  </r>
  <r>
    <x v="0"/>
    <x v="1"/>
    <x v="1"/>
    <s v="Valla- ja linnavalitsus"/>
    <s v="Üldised valitsussektori teenused"/>
    <s v="Vallavanem"/>
    <s v="Muud inventari vajadused"/>
    <n v="1500"/>
    <m/>
    <n v="5515"/>
    <s v="Inventari kulud, v.a infotehnoloogia ja kaitseotstarbelised kulud"/>
    <n v="55"/>
    <s v="55"/>
    <s v="Muud tegevuskulud"/>
    <x v="0"/>
    <s v="Põhitegevuse kulu"/>
  </r>
  <r>
    <x v="0"/>
    <x v="1"/>
    <x v="1"/>
    <s v="Valla- ja linnavalitsus"/>
    <s v="Üldised valitsussektori teenused"/>
    <s v="Kantselei"/>
    <s v="Töötervishoiuarsti teenused, gripivaktsiin, esmaabi vahendid"/>
    <n v="3500"/>
    <m/>
    <n v="5522"/>
    <s v="Meditsiinikulud ja hügieenitarbed"/>
    <n v="55"/>
    <s v="55"/>
    <s v="Muud tegevuskulud"/>
    <x v="0"/>
    <s v="Põhitegevuse kulu"/>
  </r>
  <r>
    <x v="0"/>
    <x v="1"/>
    <x v="1"/>
    <s v="Valla- ja linnavalitsus"/>
    <s v="Üldised valitsussektori teenused"/>
    <s v="Kantselei"/>
    <s v="Prillide kompensatsioon"/>
    <n v="1000"/>
    <s v="10 in."/>
    <n v="5522"/>
    <s v="Meditsiinikulud ja hügieenitarbed"/>
    <n v="55"/>
    <s v="55"/>
    <s v="Muud tegevuskulud"/>
    <x v="0"/>
    <s v="Põhitegevuse kulu"/>
  </r>
  <r>
    <x v="0"/>
    <x v="1"/>
    <x v="1"/>
    <s v="Valla- ja linnavalitsus"/>
    <s v="Üldised valitsussektori teenused"/>
    <s v="Kantselei"/>
    <s v="Raamatud (meene isa-ema, vanaema-vanaisa)"/>
    <n v="200"/>
    <m/>
    <n v="5523"/>
    <s v="Teavikud ja kunstiesemed"/>
    <n v="55"/>
    <s v="55"/>
    <s v="Muud tegevuskulud"/>
    <x v="0"/>
    <s v="Põhitegevuse kulu"/>
  </r>
  <r>
    <x v="0"/>
    <x v="1"/>
    <x v="1"/>
    <s v="Valla- ja linnavalitsus"/>
    <s v="Üldised valitsussektori teenused"/>
    <s v="Kantselei"/>
    <s v="Kalade ülalpidamine"/>
    <n v="300"/>
    <m/>
    <n v="5500"/>
    <s v="Administreerimiskulud"/>
    <n v="55"/>
    <s v="55"/>
    <s v="Muud tegevuskulud"/>
    <x v="0"/>
    <s v="Põhitegevuse kulu"/>
  </r>
  <r>
    <x v="0"/>
    <x v="1"/>
    <x v="1"/>
    <s v="Valla- ja linnavalitsus"/>
    <s v="Üldised valitsussektori teenused"/>
    <s v="Kantselei"/>
    <s v="Spordikulude hüvitamine"/>
    <n v="11200"/>
    <s v="28 in x 400€"/>
    <n v="5540"/>
    <s v="Mitmesugused majanduskulud"/>
    <n v="55"/>
    <s v="55"/>
    <s v="Muud tegevuskulud"/>
    <x v="0"/>
    <s v="Põhitegevuse kulu"/>
  </r>
  <r>
    <x v="0"/>
    <x v="1"/>
    <x v="1"/>
    <s v="Valla- ja linnavalitsus"/>
    <s v="Üldised valitsussektori teenused"/>
    <s v="Kantselei"/>
    <s v="Fliisid jms"/>
    <n v="1500"/>
    <m/>
    <n v="5532"/>
    <s v="Eri- ja vormiriietus"/>
    <n v="55"/>
    <s v="55"/>
    <s v="Muud tegevuskulud"/>
    <x v="0"/>
    <s v="Põhitegevuse kulu"/>
  </r>
  <r>
    <x v="0"/>
    <x v="1"/>
    <x v="1"/>
    <s v="Valla- ja linnavalitsus"/>
    <s v="Üldised valitsussektori teenused"/>
    <s v="Finantsosakond"/>
    <s v="Eelarve rakenduse Veera Liitumis- ja juurutusprotsess"/>
    <n v="4188"/>
    <m/>
    <n v="5514"/>
    <s v="Info- ja kommunikatsioonitehnoliigised kulud"/>
    <n v="55"/>
    <s v="55"/>
    <s v="Muud tegevuskulud"/>
    <x v="0"/>
    <s v="Põhitegevuse kulu"/>
  </r>
  <r>
    <x v="0"/>
    <x v="1"/>
    <x v="1"/>
    <s v="Valla- ja linnavalitsus"/>
    <s v="Üldised valitsussektori teenused"/>
    <s v="Finantsosakond"/>
    <s v="Eelarve rakenduse Veera kuutasu"/>
    <n v="3732"/>
    <m/>
    <n v="5514"/>
    <s v="Info- ja kommunikatsioonitehnoliigised kulud"/>
    <n v="55"/>
    <s v="55"/>
    <s v="Muud tegevuskulud"/>
    <x v="0"/>
    <s v="Põhitegevuse kulu"/>
  </r>
  <r>
    <x v="0"/>
    <x v="1"/>
    <x v="1"/>
    <s v="Valla- ja linnavalitsus"/>
    <s v="Üldised valitsussektori teenused"/>
    <s v="Vallavanem"/>
    <s v="Muud ettenägematud kulud"/>
    <n v="85000"/>
    <s v="Rauno"/>
    <n v="5540"/>
    <s v="Mitmesugused majanduskulud"/>
    <n v="55"/>
    <s v="55"/>
    <s v="Muud tegevuskulud"/>
    <x v="0"/>
    <s v="Põhitegevuse kulu"/>
  </r>
  <r>
    <x v="0"/>
    <x v="2"/>
    <x v="2"/>
    <s v="Kohaliku omavalitsuse üksuse reservfond"/>
    <s v="Üldised valitsussektori teenused"/>
    <s v="Vallavalitsus"/>
    <s v="Reservfond"/>
    <n v="57769.017578999999"/>
    <s v="Põhitegevustuludest 1%"/>
    <n v="608"/>
    <s v="Muud tegevuskulud"/>
    <n v="60"/>
    <s v="60"/>
    <s v="Muud tegevuskulud"/>
    <x v="2"/>
    <s v="Põhitegevuse kulu"/>
  </r>
  <r>
    <x v="0"/>
    <x v="3"/>
    <x v="3"/>
    <s v="Üldiseloomuga ülekanded valitsussektoris"/>
    <s v="Üldised valitsussektori teenused"/>
    <s v="Vallavalitsus"/>
    <s v="Eesti Linnade ja Valdade Liidu 2020.a. liikmemaks"/>
    <n v="5828"/>
    <m/>
    <n v="4528"/>
    <s v="Liikmemaksud"/>
    <n v="452"/>
    <s v="45"/>
    <s v="Antavad toetused tegevuskuludeks"/>
    <x v="1"/>
    <s v="Põhitegevuse kulu"/>
  </r>
  <r>
    <x v="0"/>
    <x v="3"/>
    <x v="3"/>
    <s v="Üldiseloomuga ülekanded valitsussektoris"/>
    <s v="Üldised valitsussektori teenused"/>
    <s v="Teede- ja ühistranspordinõunik"/>
    <s v="Liikmemaks Põhja- Eesti Ühistranspordikeskus MTÜ-le"/>
    <n v="4474"/>
    <m/>
    <n v="4528"/>
    <s v="Liikmemaksud"/>
    <n v="452"/>
    <s v="45"/>
    <s v="Antavad toetused tegevuskuludeks"/>
    <x v="1"/>
    <s v="Põhitegevuse kulu"/>
  </r>
  <r>
    <x v="0"/>
    <x v="3"/>
    <x v="3"/>
    <s v="Üldiseloomuga ülekanded valitsussektoris"/>
    <s v="Üldised valitsussektori teenused"/>
    <s v="Vallavalitsus"/>
    <s v="Paik MTÜ liikmemaks"/>
    <n v="1500"/>
    <m/>
    <n v="4528"/>
    <s v="Liikmemaksud"/>
    <n v="452"/>
    <s v="45"/>
    <s v="Antavad toetused tegevuskuludeks"/>
    <x v="1"/>
    <s v="Põhitegevuse kulu"/>
  </r>
  <r>
    <x v="0"/>
    <x v="3"/>
    <x v="3"/>
    <s v="Üldiseloomuga ülekanded valitsussektoris"/>
    <s v="Üldised valitsussektori teenused"/>
    <s v="Vallavalitsus"/>
    <s v="Virumaa Koostöökogu MTÜ liikmemaks"/>
    <n v="432"/>
    <s v="2019.a +2%"/>
    <n v="4528"/>
    <s v="Liikmemaksud"/>
    <n v="452"/>
    <s v="45"/>
    <s v="Antavad toetused tegevuskuludeks"/>
    <x v="1"/>
    <s v="Põhitegevuse kulu"/>
  </r>
  <r>
    <x v="0"/>
    <x v="3"/>
    <x v="3"/>
    <s v="Üldiseloomuga ülekanded valitsussektoris"/>
    <s v="Üldised valitsussektori teenused"/>
    <s v="Vallavalitsus"/>
    <s v="VIROL omaosalus projektis &quot;Piirkondlike algatuste tugiprogramm 2020-2023&quot;"/>
    <n v="2066"/>
    <s v="2020-2023 kogumaksumus 8264€"/>
    <n v="4528"/>
    <s v="Liikmemaksud"/>
    <n v="452"/>
    <s v="45"/>
    <s v="Antavad toetused tegevuskuludeks"/>
    <x v="1"/>
    <s v="Põhitegevuse kulu"/>
  </r>
  <r>
    <x v="0"/>
    <x v="3"/>
    <x v="3"/>
    <s v="Üldiseloomuga ülekanded valitsussektoris"/>
    <s v="Üldised valitsussektori teenused"/>
    <s v="Vallavalitsus"/>
    <s v="VIROL liikmemaks 2020"/>
    <n v="14248"/>
    <m/>
    <n v="4528"/>
    <s v="Liikmemaksud"/>
    <n v="452"/>
    <s v="45"/>
    <s v="Antavad toetused tegevuskuludeks"/>
    <x v="1"/>
    <s v="Põhitegevuse kulu"/>
  </r>
  <r>
    <x v="1"/>
    <x v="4"/>
    <x v="4"/>
    <s v="Muu riigikaitse"/>
    <s v="Riigikaitse"/>
    <s v="Vallavalitsus"/>
    <s v="Noorkotkad"/>
    <n v="1000"/>
    <m/>
    <n v="5525"/>
    <s v="Kommunikatsiooni-, kultuuri- ja vaba aja sisustamise kulud"/>
    <n v="55"/>
    <s v="55"/>
    <s v="Muud tegevuskulud"/>
    <x v="0"/>
    <s v="Põhitegevuse kulu"/>
  </r>
  <r>
    <x v="2"/>
    <x v="5"/>
    <x v="5"/>
    <s v="Päästeteenused"/>
    <s v="Avalik kord ja julgeolek"/>
    <s v="Vallavanem"/>
    <s v="Roela Tuletõrjeselts MTÜ toetus"/>
    <n v="15250"/>
    <m/>
    <n v="45008"/>
    <s v="Sihtotstarbelised eraldised muudele residentidele"/>
    <n v="4500"/>
    <s v="45"/>
    <s v="Antavad toetused tegevuskuludeks"/>
    <x v="3"/>
    <s v="Põhitegevuse kulu"/>
  </r>
  <r>
    <x v="2"/>
    <x v="5"/>
    <x v="5"/>
    <s v="Päästeteenused"/>
    <s v="Avalik kord ja julgeolek"/>
    <s v="Noorsoo- ja spordinõunik"/>
    <s v="Elekter"/>
    <n v="900"/>
    <m/>
    <n v="5511"/>
    <s v="Kinnistute, hoonete ja ruumide majandamiskulud"/>
    <n v="55"/>
    <s v="55"/>
    <s v="Muud tegevuskulud"/>
    <x v="0"/>
    <s v="Põhitegevuse kulu"/>
  </r>
  <r>
    <x v="2"/>
    <x v="5"/>
    <x v="5"/>
    <s v="Päästeteenused"/>
    <s v="Avalik kord ja julgeolek"/>
    <s v="Noorsoo- ja spordinõunik"/>
    <s v="Sõidukite remont, hooldus jms"/>
    <n v="700"/>
    <m/>
    <n v="5513"/>
    <s v="Sõidukite ülalpidamise kulud"/>
    <n v="55"/>
    <s v="55"/>
    <s v="Muud tegevuskulud"/>
    <x v="0"/>
    <s v="Põhitegevuse kulu"/>
  </r>
  <r>
    <x v="3"/>
    <x v="6"/>
    <x v="6"/>
    <s v="Maanteetransport"/>
    <s v="Majandus"/>
    <s v="Teede- ja ühistranspordinõunik"/>
    <s v="Teede korrashoiu kulud"/>
    <n v="486305"/>
    <s v="Toetusfond"/>
    <n v="5512"/>
    <s v="Rajatiste majandamiskulud"/>
    <n v="55"/>
    <s v="55"/>
    <s v="Muud tegevuskulud"/>
    <x v="0"/>
    <s v="Põhitegevuse kulu"/>
  </r>
  <r>
    <x v="3"/>
    <x v="6"/>
    <x v="6"/>
    <s v="Maanteetransport"/>
    <s v="Majandus"/>
    <s v="Teede- ja ühistranspordinõunik"/>
    <s v="Uute musta katte lõikude rajamine"/>
    <n v="0"/>
    <s v="Kruusakattaga teedele uute tolmuvabade lõikude rajamine"/>
    <n v="5512"/>
    <s v="Rajatiste majandamiskulud"/>
    <n v="55"/>
    <s v="55"/>
    <s v="Muud tegevuskulud"/>
    <x v="0"/>
    <s v="Põhitegevuse kulu"/>
  </r>
  <r>
    <x v="3"/>
    <x v="7"/>
    <x v="7"/>
    <s v="Side"/>
    <s v="Majandus"/>
    <s v="IT spetsialist"/>
    <s v=" X-tee turvaserveri v6  majutus"/>
    <n v="835.19999999999993"/>
    <s v="AS Andmevara"/>
    <n v="5514"/>
    <s v="Info- ja kommunikatsioonitehnoliigised kulud"/>
    <n v="55"/>
    <s v="55"/>
    <s v="Muud tegevuskulud"/>
    <x v="0"/>
    <s v="Põhitegevuse kulu"/>
  </r>
  <r>
    <x v="3"/>
    <x v="7"/>
    <x v="7"/>
    <s v="Side"/>
    <s v="Majandus"/>
    <s v="IT spetsialist"/>
    <s v="Kohaliku omavalitsuse teenusportaali kasutamine"/>
    <n v="1210.8000000000002"/>
    <s v="AS Andmevara"/>
    <n v="5514"/>
    <s v="Info- ja kommunikatsioonitehnoliigised kulud"/>
    <n v="55"/>
    <s v="55"/>
    <s v="Muud tegevuskulud"/>
    <x v="0"/>
    <s v="Põhitegevuse kulu"/>
  </r>
  <r>
    <x v="3"/>
    <x v="7"/>
    <x v="7"/>
    <s v="Side"/>
    <s v="Majandus"/>
    <s v="IT spetsialist"/>
    <s v="Kodulehe majutus ja e-post"/>
    <n v="4800"/>
    <s v="Telia (e-post)"/>
    <n v="5514"/>
    <s v="Info- ja kommunikatsioonitehnoliigised kulud"/>
    <n v="55"/>
    <s v="55"/>
    <s v="Muud tegevuskulud"/>
    <x v="0"/>
    <s v="Põhitegevuse kulu"/>
  </r>
  <r>
    <x v="3"/>
    <x v="7"/>
    <x v="7"/>
    <s v="Side"/>
    <s v="Majandus"/>
    <s v="IT spetsialist"/>
    <s v="korrashoiuvahendid"/>
    <n v="100"/>
    <m/>
    <n v="5511"/>
    <s v="Kinnistute, hoonete ja ruumide majandamiskulud"/>
    <n v="55"/>
    <s v="55"/>
    <s v="Muud tegevuskulud"/>
    <x v="0"/>
    <s v="Põhitegevuse kulu"/>
  </r>
  <r>
    <x v="3"/>
    <x v="7"/>
    <x v="7"/>
    <s v="Side"/>
    <s v="Majandus"/>
    <s v="IT spetsialist"/>
    <s v="Sideteenused"/>
    <n v="240"/>
    <m/>
    <n v="5500"/>
    <s v="Administreerimiskulud"/>
    <n v="55"/>
    <s v="55"/>
    <s v="Muud tegevuskulud"/>
    <x v="0"/>
    <s v="Põhitegevuse kulu"/>
  </r>
  <r>
    <x v="3"/>
    <x v="7"/>
    <x v="7"/>
    <s v="Side"/>
    <s v="Majandus"/>
    <s v="IT spetsialist"/>
    <s v="Koolitused"/>
    <n v="592.64"/>
    <m/>
    <n v="5504"/>
    <s v="Koolituskulud"/>
    <n v="55"/>
    <s v="55"/>
    <s v="Muud tegevuskulud"/>
    <x v="0"/>
    <s v="Põhitegevuse kulu"/>
  </r>
  <r>
    <x v="3"/>
    <x v="7"/>
    <x v="7"/>
    <s v="Side"/>
    <s v="Majandus"/>
    <s v="IT spetsialist"/>
    <s v="Isikliku sõiduauto komp."/>
    <n v="4020"/>
    <m/>
    <n v="5513"/>
    <s v="Sõidukite ülalpidamise kulud"/>
    <n v="55"/>
    <s v="55"/>
    <s v="Muud tegevuskulud"/>
    <x v="0"/>
    <s v="Põhitegevuse kulu"/>
  </r>
  <r>
    <x v="3"/>
    <x v="7"/>
    <x v="7"/>
    <s v="Side"/>
    <s v="Majandus"/>
    <s v="IT spetsialist"/>
    <s v="Valvekaamerate vahetus"/>
    <n v="5000"/>
    <m/>
    <n v="5515"/>
    <s v="Inventari kulud, v.a infotehnoloogia ja kaitseotstarbelised kulud"/>
    <n v="55"/>
    <s v="55"/>
    <s v="Muud tegevuskulud"/>
    <x v="0"/>
    <s v="Põhitegevuse kulu"/>
  </r>
  <r>
    <x v="3"/>
    <x v="7"/>
    <x v="7"/>
    <s v="Side"/>
    <s v="Majandus"/>
    <s v="IT spetsialist"/>
    <s v="7 arvutit"/>
    <n v="5950"/>
    <m/>
    <n v="5514"/>
    <s v="Info- ja kommunikatsioonitehnoliigised kulud"/>
    <n v="55"/>
    <s v="55"/>
    <s v="Muud tegevuskulud"/>
    <x v="0"/>
    <s v="Põhitegevuse kulu"/>
  </r>
  <r>
    <x v="3"/>
    <x v="7"/>
    <x v="7"/>
    <s v="Side"/>
    <s v="Majandus"/>
    <s v="IT spetsialist"/>
    <s v="7 monitori"/>
    <n v="1750"/>
    <m/>
    <n v="5514"/>
    <s v="Info- ja kommunikatsioonitehnoliigised kulud"/>
    <n v="55"/>
    <s v="55"/>
    <s v="Muud tegevuskulud"/>
    <x v="0"/>
    <s v="Põhitegevuse kulu"/>
  </r>
  <r>
    <x v="3"/>
    <x v="7"/>
    <x v="7"/>
    <s v="Side"/>
    <s v="Majandus"/>
    <s v="IT spetsialist"/>
    <s v="Ruuteri ja Syslogi hooldustasu"/>
    <n v="2124"/>
    <m/>
    <n v="5514"/>
    <s v="Info- ja kommunikatsioonitehnoliigised kulud"/>
    <n v="55"/>
    <s v="55"/>
    <s v="Muud tegevuskulud"/>
    <x v="0"/>
    <s v="Põhitegevuse kulu"/>
  </r>
  <r>
    <x v="3"/>
    <x v="7"/>
    <x v="7"/>
    <s v="Side"/>
    <s v="Majandus"/>
    <s v="IT spetsialist"/>
    <s v="Esri EA aastatasu"/>
    <n v="5000"/>
    <m/>
    <n v="5514"/>
    <s v="Info- ja kommunikatsioonitehnoliigised kulud"/>
    <n v="55"/>
    <s v="55"/>
    <s v="Muud tegevuskulud"/>
    <x v="0"/>
    <s v="Põhitegevuse kulu"/>
  </r>
  <r>
    <x v="3"/>
    <x v="7"/>
    <x v="7"/>
    <s v="Side"/>
    <s v="Majandus"/>
    <s v="IT spetsialist"/>
    <s v="Virtuaalserver"/>
    <n v="149.76"/>
    <m/>
    <n v="5514"/>
    <s v="Info- ja kommunikatsioonitehnoliigised kulud"/>
    <n v="55"/>
    <s v="55"/>
    <s v="Muud tegevuskulud"/>
    <x v="0"/>
    <s v="Põhitegevuse kulu"/>
  </r>
  <r>
    <x v="3"/>
    <x v="7"/>
    <x v="7"/>
    <s v="Side"/>
    <s v="Majandus"/>
    <s v="IT spetsialist"/>
    <s v="Viirusetõrje"/>
    <n v="994.8"/>
    <m/>
    <n v="5514"/>
    <s v="Info- ja kommunikatsioonitehnoliigised kulud"/>
    <n v="55"/>
    <s v="55"/>
    <s v="Muud tegevuskulud"/>
    <x v="0"/>
    <s v="Põhitegevuse kulu"/>
  </r>
  <r>
    <x v="3"/>
    <x v="7"/>
    <x v="7"/>
    <s v="Side"/>
    <s v="Majandus"/>
    <s v="IT spetsialist"/>
    <s v="Muud mitmesugused ennustamatud kulud: 752,6 € kuus"/>
    <n v="9031.44"/>
    <m/>
    <n v="5514"/>
    <s v="Info- ja kommunikatsioonitehnoliigised kulud"/>
    <n v="55"/>
    <s v="55"/>
    <s v="Muud tegevuskulud"/>
    <x v="0"/>
    <s v="Põhitegevuse kulu"/>
  </r>
  <r>
    <x v="3"/>
    <x v="8"/>
    <x v="8"/>
    <s v="Muu majandus (sh majanduse haldus)"/>
    <s v="Majandus"/>
    <s v="Maanõunik"/>
    <s v="Maade mõõdistamised"/>
    <n v="1750"/>
    <m/>
    <n v="5511"/>
    <s v="Kinnistute, hoonete ja ruumide majandamiskulud"/>
    <n v="55"/>
    <s v="55"/>
    <s v="Muud tegevuskulud"/>
    <x v="0"/>
    <s v="Põhitegevuse kulu"/>
  </r>
  <r>
    <x v="3"/>
    <x v="8"/>
    <x v="8"/>
    <s v="Muu majandus (sh majanduse haldus)"/>
    <s v="Majandus"/>
    <s v="Vallavalitsus"/>
    <s v="Sideteenused"/>
    <n v="550"/>
    <m/>
    <n v="5500"/>
    <s v="Administreerimiskulud"/>
    <n v="55"/>
    <s v="55"/>
    <s v="Muud tegevuskulud"/>
    <x v="0"/>
    <s v="Põhitegevuse kulu"/>
  </r>
  <r>
    <x v="3"/>
    <x v="8"/>
    <x v="8"/>
    <s v="Muu majandus (sh majanduse haldus)"/>
    <s v="Majandus"/>
    <s v="Vallavalitsus"/>
    <s v="Isikliku sõiduauto komp."/>
    <n v="10170"/>
    <s v="Irina 150€, Aivar 335€, Gustav 150€, Erik 150€; Kätlyn 150€"/>
    <n v="5513"/>
    <s v="Sõidukite ülalpidamise kulud"/>
    <n v="55"/>
    <s v="55"/>
    <s v="Muud tegevuskulud"/>
    <x v="0"/>
    <s v="Põhitegevuse kulu"/>
  </r>
  <r>
    <x v="3"/>
    <x v="8"/>
    <x v="8"/>
    <s v="Muu majandus (sh majanduse haldus)"/>
    <s v="Majandus"/>
    <s v="Vallavalitsus"/>
    <s v="Koolitused"/>
    <n v="1600"/>
    <s v="Erik 400€; Gustav 400€; Aivar 400€; Irina 400€"/>
    <n v="5504"/>
    <s v="Koolituskulud"/>
    <n v="55"/>
    <s v="55"/>
    <s v="Muud tegevuskulud"/>
    <x v="0"/>
    <s v="Põhitegevuse kulu"/>
  </r>
  <r>
    <x v="3"/>
    <x v="8"/>
    <x v="8"/>
    <s v="Muu majandus (sh majanduse haldus)"/>
    <s v="Majandus"/>
    <s v="Vallavalitsus"/>
    <s v="Tervise- ja spordiarendamise hüvitis"/>
    <n v="1600"/>
    <m/>
    <n v="5540"/>
    <s v="Mitmesugused majanduskulud"/>
    <n v="55"/>
    <s v="55"/>
    <s v="Muud tegevuskulud"/>
    <x v="0"/>
    <s v="Põhitegevuse kulu"/>
  </r>
  <r>
    <x v="3"/>
    <x v="8"/>
    <x v="8"/>
    <s v="Muu majandus (sh majanduse haldus)"/>
    <s v="Majandus"/>
    <s v="Maanõunik"/>
    <s v="Maadega soetud notaritasud"/>
    <n v="1114.5"/>
    <m/>
    <n v="5500"/>
    <s v="Administreerimiskulud"/>
    <n v="55"/>
    <s v="55"/>
    <s v="Muud tegevuskulud"/>
    <x v="0"/>
    <s v="Põhitegevuse kulu"/>
  </r>
  <r>
    <x v="3"/>
    <x v="8"/>
    <x v="8"/>
    <s v="Muu majandus (sh majanduse haldus)"/>
    <s v="Majandus"/>
    <s v="Keskkonna- ja kommunaalnõunik"/>
    <s v="Kaunis kodu auhinnafond"/>
    <n v="1500"/>
    <m/>
    <n v="45008"/>
    <s v="Sihtotstarbelised eraldised muudele residentidele"/>
    <n v="4500"/>
    <s v="45"/>
    <s v="Antavad toetused tegevuskuludeks"/>
    <x v="3"/>
    <s v="Põhitegevuse kulu"/>
  </r>
  <r>
    <x v="3"/>
    <x v="8"/>
    <x v="8"/>
    <s v="Muu majandus (sh majanduse haldus)"/>
    <s v="Majandus"/>
    <s v="Keskkonna- ja kommunaalnõunik"/>
    <s v="Albumid, lilled jms"/>
    <n v="1500"/>
    <s v="Kaunis kodu"/>
    <n v="45008"/>
    <s v="Sihtotstarbelised eraldised muudele residentidele"/>
    <n v="55"/>
    <s v="45"/>
    <s v="Muud tegevuskulud"/>
    <x v="0"/>
    <s v="Põhitegevuse kulu"/>
  </r>
  <r>
    <x v="3"/>
    <x v="8"/>
    <x v="8"/>
    <s v="Muu majandus (sh majanduse haldus)"/>
    <s v="Majandus"/>
    <s v="Teede- ja ühistranspordinõunik"/>
    <s v="Geoarhiivi moodul"/>
    <n v="446.40000000000003"/>
    <s v="GEODATA"/>
    <n v="5514"/>
    <s v="Info- ja kommunikatsioonitehnoliigised kulud"/>
    <n v="55"/>
    <s v="55"/>
    <s v="Muud tegevuskulud"/>
    <x v="0"/>
    <s v="Põhitegevuse kulu"/>
  </r>
  <r>
    <x v="3"/>
    <x v="8"/>
    <x v="8"/>
    <s v="Muu majandus (sh majanduse haldus)"/>
    <s v="Majandus"/>
    <s v="Teede- ja ühistranspordinõunik"/>
    <s v="Kohalike teede moodul"/>
    <n v="288"/>
    <s v="GEODATA"/>
    <n v="5514"/>
    <s v="Info- ja kommunikatsioonitehnoliigised kulud"/>
    <n v="55"/>
    <s v="55"/>
    <s v="Muud tegevuskulud"/>
    <x v="0"/>
    <s v="Põhitegevuse kulu"/>
  </r>
  <r>
    <x v="3"/>
    <x v="8"/>
    <x v="8"/>
    <s v="Muu majandus (sh majanduse haldus)"/>
    <s v="Majandus"/>
    <s v="Vallavalitsus"/>
    <s v="Muud ettenägematud kulud  "/>
    <n v="500"/>
    <m/>
    <n v="5540"/>
    <s v="Mitmesugused majanduskulud"/>
    <n v="55"/>
    <s v="55"/>
    <s v="Muud tegevuskulud"/>
    <x v="0"/>
    <s v="Põhitegevuse kulu"/>
  </r>
  <r>
    <x v="3"/>
    <x v="8"/>
    <x v="8"/>
    <s v="Muu majandus (sh majanduse haldus)"/>
    <s v="Majandus"/>
    <s v="Vallavalitsus"/>
    <s v="Riigilõivud "/>
    <n v="250"/>
    <m/>
    <n v="601"/>
    <s v="Maksu-, riigilõivu- ja trahvikulud"/>
    <n v="60"/>
    <s v="60"/>
    <s v="Muud tegevuskulud"/>
    <x v="2"/>
    <s v="Põhitegevuse kulu"/>
  </r>
  <r>
    <x v="4"/>
    <x v="9"/>
    <x v="9"/>
    <s v="Jäätmekäitlus"/>
    <s v="Keskkonnakaitse"/>
    <s v="Keskkonna- ja kommunaalnõunik"/>
    <s v="Jäätmekava"/>
    <n v="2000"/>
    <m/>
    <n v="5511"/>
    <s v="Kinnistute, hoonete ja ruumide majandamiskulud"/>
    <n v="55"/>
    <s v="55"/>
    <s v="Muud tegevuskulud"/>
    <x v="0"/>
    <s v="Põhitegevuse kulu"/>
  </r>
  <r>
    <x v="4"/>
    <x v="9"/>
    <x v="9"/>
    <s v="Jäätmekäitlus"/>
    <s v="Keskkonnakaitse"/>
    <s v="Keskkonna- ja kommunaalnõunik"/>
    <s v="Jäätmevaldajate register EVALD "/>
    <n v="446.40000000000003"/>
    <m/>
    <n v="5514"/>
    <s v="Info- ja kommunikatsioonitehnoliigised kulud"/>
    <n v="55"/>
    <s v="55"/>
    <s v="Muud tegevuskulud"/>
    <x v="0"/>
    <s v="Põhitegevuse kulu"/>
  </r>
  <r>
    <x v="4"/>
    <x v="10"/>
    <x v="10"/>
    <s v="Muu keskkonnakaitse (sh keskkonnakaitse haldus)"/>
    <s v="Keskkonnakaitse"/>
    <s v="Keskkonna- ja kommunaalnõunik"/>
    <s v="a. Jäätmeringid (ohtlikud jäätmed, sh eterniit); _x000a_b. ebaseaduslikult ladestatud jäätmete koristamine KOV maadelt;_x000a_c. konteinerite tühjendus ja rent (või väljaostmine); Valdavalt püsikulu"/>
    <n v="10107.200000000001"/>
    <m/>
    <n v="5511"/>
    <s v="Kinnistute, hoonete ja ruumide majandamiskulud"/>
    <n v="55"/>
    <s v="55"/>
    <s v="Muud tegevuskulud"/>
    <x v="0"/>
    <s v="Põhitegevuse kulu"/>
  </r>
  <r>
    <x v="4"/>
    <x v="10"/>
    <x v="10"/>
    <s v="Muu keskkonnakaitse (sh keskkonnakaitse haldus)"/>
    <s v="Keskkonnakaitse"/>
    <s v="Keskkonna- ja kommunaalnõunik"/>
    <s v="GEODATA jäätmehalduse moodul"/>
    <n v="446.40000000000003"/>
    <m/>
    <n v="5514"/>
    <s v="Info- ja kommunikatsioonitehnoliigised kulud"/>
    <n v="55"/>
    <s v="55"/>
    <s v="Muud tegevuskulud"/>
    <x v="0"/>
    <s v="Põhitegevuse kulu"/>
  </r>
  <r>
    <x v="5"/>
    <x v="11"/>
    <x v="11"/>
    <s v="Tänavavalgustus"/>
    <s v="Elamu- ja kommunaalmajandus"/>
    <s v="Ehitusnõunik"/>
    <s v="Tänavalguste elektrikulud"/>
    <n v="53000"/>
    <m/>
    <n v="5512"/>
    <s v="Rajatiste majandamis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Laekvere piirkonna varade kindlustus"/>
    <n v="1100"/>
    <s v="2019 eelarves ei olnud planeeritud, kuid kulu tehti, 2018 kohta info puudub"/>
    <n v="5511"/>
    <s v="Kinnistute, hoonete ja ruumide majandamis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Töökoja kasutus ja ruumide rent"/>
    <n v="4500"/>
    <s v="Rendime Laekvere PM OÜ-l Kioti traktorile ja seadmetele garaazi, võtame Kioti traktorile diiselkütet, muruniidukite ja Fiat Doblo bensiini"/>
    <n v="5511"/>
    <s v="Kinnistute, hoonete ja ruumide majandamis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Remondimaterjalid"/>
    <n v="10000"/>
    <s v="Valla korterid, tööliste olmeruumid, avalikud rajatised, bussiootepaviljonid jne"/>
    <n v="5511"/>
    <s v="Kinnistute, hoonete ja ruumide majandamis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Vesi-ja kanalisastioon"/>
    <n v="1700"/>
    <s v="Salutaguse tee 2 ja Paasvere külamaja -Emajõe Veevärk"/>
    <n v="5511"/>
    <s v="Kinnistute, hoonete ja ruumide majandamis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Veeautomaat Saku Läte"/>
    <n v="550"/>
    <s v="Salutaguse tee 2"/>
    <n v="5511"/>
    <s v="Kinnistute, hoonete ja ruumide majandamis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Kohvimasina hooldus"/>
    <n v="120"/>
    <s v="Salutaguse tee 2"/>
    <n v="5511"/>
    <s v="Kinnistute, hoonete ja ruumide majandamis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Porivaipade rent (Linström)"/>
    <n v="650"/>
    <s v="Salutaguse tee 2 "/>
    <n v="5511"/>
    <s v="Kinnistute, hoonete ja ruumide majandamis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Keskküte"/>
    <n v="7500"/>
    <s v="Salutaguse tee 2 terve hoone "/>
    <n v="5511"/>
    <s v="Kinnistute, hoonete ja ruumide majandamis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Elekter "/>
    <n v="7400"/>
    <s v="Salutaguse tee 2 terve hoone ja Paasvere külamaja"/>
    <n v="5511"/>
    <s v="Kinnistute, hoonete ja ruumide majandamis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Elektri käidukorraldus"/>
    <n v="9360"/>
    <s v="Enno Mandel Elektritööd teostabLaekvere piirkonna eletripaigaldiste käidukorraldust"/>
    <n v="5511"/>
    <s v="Kinnistute, hoonete ja ruumide majandamis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Signalisatsiooni hooldus"/>
    <n v="210"/>
    <s v="Salutaguse tee 2 hoone Ennak SEL"/>
    <n v="5511"/>
    <s v="Kinnistute, hoonete ja ruumide majandamis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Korrashoiu vahendid"/>
    <n v="3500"/>
    <s v="Koristustarbed,luuad, harjad wc paber ,kätepaber jne-olen arvestanud ka Laekvere sauna puhastusvahendite  kulu"/>
    <n v="5511"/>
    <s v="Kinnistute, hoonete ja ruumide majandamis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Ohtlike puude raie"/>
    <n v="2100"/>
    <s v="Kokku vaja maha võtta ca 14 ohtlikku puud, arboristi teenus  vähemalt 150€ puu, lõhkuda Laekveres hakkide pesasid"/>
    <n v="5511"/>
    <s v="Kinnistute, hoonete ja ruumide majandamis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Prügivedu "/>
    <n v="600"/>
    <s v="Ragn Sells"/>
    <n v="5511"/>
    <s v="Kinnistute, hoonete ja ruumide majandamis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Paberikonteinerite tühjendus"/>
    <n v="670"/>
    <s v="Väätsa Prügila"/>
    <n v="5511"/>
    <s v="Kinnistute, hoonete ja ruumide majandamis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Korteriühistute tasud"/>
    <n v="12000"/>
    <s v="Remondifond, tühjade valla korterite küte, kommunaalid(peab vaatama 2019 tegelikke kulusid) Kelle eelarvest lähevad sotsiaalkorterite Vassivere põik 4-5;4-18;1-1 ja 1-13 kulud?"/>
    <n v="5511"/>
    <s v="Kinnistute, hoonete ja ruumide majandamis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Amplid, lilled,istikud "/>
    <n v="1300"/>
    <s v="Laekvere parki on vaja istutada uusi puid ca 10 tk 80€ suur potis istik"/>
    <n v="5511"/>
    <s v="Kinnistute, hoonete ja ruumide majandamis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ELISA TV"/>
    <n v="360"/>
    <s v="Vassivere põik 1-1 ja 1-13  sotsiaalkorterite  elanike TV, mille nad vallale kinni maksavad"/>
    <n v="5511"/>
    <s v="Kinnistute, hoonete ja ruumide majandamis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Kontoritarbed"/>
    <n v="400"/>
    <s v="Tahmad, paber, pliiatsid jne."/>
    <n v="5500"/>
    <s v="Administreerimis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Telefon"/>
    <n v="1020"/>
    <m/>
    <n v="5500"/>
    <s v="Administreerimis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Koolitused"/>
    <n v="350"/>
    <m/>
    <n v="5504"/>
    <s v="Koolitus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Peugeo Partner"/>
    <n v="2200"/>
    <s v="kütus"/>
    <n v="5513"/>
    <s v="Sõidukite ülalpidamise 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Peugeo Partner"/>
    <n v="700"/>
    <s v="hooldus, rehvid"/>
    <n v="5513"/>
    <s v="Sõidukite ülalpidamise 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Peugeo Partner"/>
    <n v="400"/>
    <s v="kindlustus(kasko+liiklus)"/>
    <n v="5513"/>
    <s v="Sõidukite ülalpidamise 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Peugeo Partner"/>
    <n v="3024"/>
    <s v="liising"/>
    <n v="5513"/>
    <s v="Sõidukite ülalpidamise 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VW Transporter"/>
    <n v="500"/>
    <s v="hooldus, rehvid , tehnoülevaatus"/>
    <n v="5513"/>
    <s v="Sõidukite ülalpidamise 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VW Transporter"/>
    <n v="2100"/>
    <s v="kütus"/>
    <n v="5513"/>
    <s v="Sõidukite ülalpidamise 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VW Transporter"/>
    <n v="400"/>
    <s v="kindlustus(kasko+liiklus)"/>
    <n v="5513"/>
    <s v="Sõidukite ülalpidamise 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Fiat Doblo"/>
    <n v="100"/>
    <s v="liikluskindlustus"/>
    <n v="5513"/>
    <s v="Sõidukite ülalpidamise 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Fiat Doblo"/>
    <n v="500"/>
    <s v="hooldus, rehvid ,tehnoülevaatud"/>
    <n v="5513"/>
    <s v="Sõidukite ülalpidamise 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Nissan NV300 väikebuss"/>
    <n v="600"/>
    <s v="kindlustus(kasko+liiklus)"/>
    <n v="5513"/>
    <s v="Sõidukite ülalpidamise 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Nisssan NV300 väikebuss"/>
    <n v="1500"/>
    <s v="kütus ( viimasel ajal on läinud Muuga-Laekvere kooli eelarvest?"/>
    <n v="5513"/>
    <s v="Sõidukite ülalpidamise 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Nissan NV300  väikebuss"/>
    <n v="500"/>
    <s v="hooldus, pesu, klaasipesuvedelik jne"/>
    <n v="5513"/>
    <s v="Sõidukite ülalpidamise 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Seadmete ja masinate tarvikud"/>
    <n v="1700"/>
    <s v="Murutraktori rihmad,saagide osad ,ketid,niidukite terad ,kiilrihmad,õlid, filtrid."/>
    <n v="5515"/>
    <s v="Inventari kulud, v.a infotehnoloogia ja kaitseotstarbelised 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Hooldus"/>
    <n v="2800"/>
    <s v="Kioti traktor, murutraktor, haagised, niidukid, nende kindlustus, ülevaatused"/>
    <n v="5515"/>
    <s v="Inventari kulud, v.a infotehnoloogia ja kaitseotstarbelised 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Traktorile KIOTi niiduki OPTIMAL BP-185  soetamine"/>
    <n v="4000"/>
    <s v="Praegune niiduk amortiseerunud, töötab viimase piiri peal"/>
    <n v="5515"/>
    <s v="Inventari kulud, v.a infotehnoloogia ja kaitseotstarbelised 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Talguliste toitlustamine"/>
    <n v="100"/>
    <m/>
    <n v="5525"/>
    <s v="Kommunikatsiooni-, kultuuri- ja vaba aja sisustamise 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Tervisekulud"/>
    <n v="2000"/>
    <s v="5 töötajat x 400 eurot aastas"/>
    <n v="5540"/>
    <s v="Mitmesugused majandus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Töötervishoiu kulud"/>
    <n v="500"/>
    <s v="5 töötajat"/>
    <n v="5522"/>
    <s v="Meditsiinikulud ja hügieenitarbe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Tööriided ja töökindad"/>
    <n v="500"/>
    <s v="5 töötajat"/>
    <n v="5515"/>
    <s v="Inventari kulud, v.a infotehnoloogia ja kaitseotstarbelised 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Prillid"/>
    <n v="200"/>
    <s v="2 töötajat"/>
    <n v="5522"/>
    <s v="Meditsiinikulud ja hügieenitarbe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Teeme ära talgud "/>
    <n v="400"/>
    <m/>
    <n v="5525"/>
    <s v="Kommunikatsiooni-, kultuuri- ja vaba aja sisustamise 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Transport"/>
    <n v="6000"/>
    <s v="M.K.Reis-x teenindatav reedene Venevere-Paasvere-Vassivere poe liin,surnuaaipühal ja jõululaupäeval buss Simuna surnuaiale(FIE Teet Põldoja)"/>
    <n v="5540"/>
    <s v="Mitmesugused majandus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Internetiühendus"/>
    <n v="3050"/>
    <s v="Kõigi Laekvere alevikus valla kuuluvate  hoonete internetiühendus jookseb läbi Salutaguse tee 2 teeninduskeskuse, kust toimub hargnemine"/>
    <n v="5514"/>
    <s v="Info- ja kommunikatsioonitehnoliigised kulud"/>
    <n v="55"/>
    <s v="55"/>
    <s v="Muud tegevuskulud"/>
    <x v="0"/>
    <s v="Põhitegevuse kulu"/>
  </r>
  <r>
    <x v="5"/>
    <x v="12"/>
    <x v="12"/>
    <s v="Muu elamu- ja kommunaalmajanduse tegevus"/>
    <s v="Elamu- ja kommunaalmajandus"/>
    <s v="Laekvere piirkond"/>
    <s v="Riistvara soetamine"/>
    <n v="300"/>
    <s v="Ruuter jne."/>
    <n v="5514"/>
    <s v="Info- ja kommunikatsioonitehnoliigised kulud"/>
    <n v="55"/>
    <s v="55"/>
    <s v="Muud tegevuskulud"/>
    <x v="0"/>
    <s v="Põhitegevuse kulu"/>
  </r>
  <r>
    <x v="5"/>
    <x v="13"/>
    <x v="13"/>
    <s v="Muu elamu- ja kommunaalmajanduse tegevus"/>
    <s v="Elamu- ja kommunaalmajandus"/>
    <s v="Rägavere piirkond"/>
    <s v="Rägavere piirkonna varade kindlustus"/>
    <n v="814"/>
    <m/>
    <n v="5511"/>
    <s v="Kinnistute, hoonete ja ruumide majandamiskulud"/>
    <n v="55"/>
    <s v="55"/>
    <s v="Muud tegevuskulud"/>
    <x v="0"/>
    <s v="Põhitegevuse kulu"/>
  </r>
  <r>
    <x v="5"/>
    <x v="13"/>
    <x v="13"/>
    <s v="Muu elamu- ja kommunaalmajanduse tegevus"/>
    <s v="Elamu- ja kommunaalmajandus"/>
    <s v="Rägavere piirkond"/>
    <s v="Remondimaterjalid"/>
    <n v="10600"/>
    <m/>
    <n v="5511"/>
    <s v="Kinnistute, hoonete ja ruumide majandamiskulud"/>
    <n v="55"/>
    <s v="55"/>
    <s v="Muud tegevuskulud"/>
    <x v="0"/>
    <s v="Põhitegevuse kulu"/>
  </r>
  <r>
    <x v="5"/>
    <x v="13"/>
    <x v="13"/>
    <s v="Muu elamu- ja kommunaalmajanduse tegevus"/>
    <s v="Elamu- ja kommunaalmajandus"/>
    <s v="Rägavere piirkond"/>
    <s v="Vesi-ja kanalisastioon"/>
    <n v="350"/>
    <m/>
    <n v="5511"/>
    <s v="Kinnistute, hoonete ja ruumide majandamiskulud"/>
    <n v="55"/>
    <s v="55"/>
    <s v="Muud tegevuskulud"/>
    <x v="0"/>
    <s v="Põhitegevuse kulu"/>
  </r>
  <r>
    <x v="5"/>
    <x v="13"/>
    <x v="13"/>
    <s v="Muu elamu- ja kommunaalmajanduse tegevus"/>
    <s v="Elamu- ja kommunaalmajandus"/>
    <s v="Rägavere piirkond"/>
    <s v="Veeautomaat Saku Läte"/>
    <n v="110"/>
    <m/>
    <n v="5511"/>
    <s v="Kinnistute, hoonete ja ruumide majandamiskulud"/>
    <n v="55"/>
    <s v="55"/>
    <s v="Muud tegevuskulud"/>
    <x v="0"/>
    <s v="Põhitegevuse kulu"/>
  </r>
  <r>
    <x v="5"/>
    <x v="13"/>
    <x v="13"/>
    <s v="Muu elamu- ja kommunaalmajanduse tegevus"/>
    <s v="Elamu- ja kommunaalmajandus"/>
    <s v="Rägavere piirkond"/>
    <s v="Korrashoiu vahendid"/>
    <n v="200"/>
    <m/>
    <n v="5511"/>
    <s v="Kinnistute, hoonete ja ruumide majandamiskulud"/>
    <n v="55"/>
    <s v="55"/>
    <s v="Muud tegevuskulud"/>
    <x v="0"/>
    <s v="Põhitegevuse kulu"/>
  </r>
  <r>
    <x v="5"/>
    <x v="13"/>
    <x v="13"/>
    <s v="Muu elamu- ja kommunaalmajanduse tegevus"/>
    <s v="Elamu- ja kommunaalmajandus"/>
    <s v="Rägavere piirkond"/>
    <s v="Ohtlike puude raie, niitmis teenus jm"/>
    <n v="500"/>
    <m/>
    <n v="5511"/>
    <s v="Kinnistute, hoonete ja ruumide majandamiskulud"/>
    <n v="55"/>
    <s v="55"/>
    <s v="Muud tegevuskulud"/>
    <x v="0"/>
    <s v="Põhitegevuse kulu"/>
  </r>
  <r>
    <x v="5"/>
    <x v="13"/>
    <x v="13"/>
    <s v="Muu elamu- ja kommunaalmajanduse tegevus"/>
    <s v="Elamu- ja kommunaalmajandus"/>
    <s v="Rägavere piirkond"/>
    <s v="Prügivedu "/>
    <n v="150"/>
    <s v=" Lääne-Viru Jäätmekeskus"/>
    <n v="5511"/>
    <s v="Kinnistute, hoonete ja ruumide majandamiskulud"/>
    <n v="55"/>
    <s v="55"/>
    <s v="Muud tegevuskulud"/>
    <x v="0"/>
    <s v="Põhitegevuse kulu"/>
  </r>
  <r>
    <x v="5"/>
    <x v="13"/>
    <x v="13"/>
    <s v="Muu elamu- ja kommunaalmajanduse tegevus"/>
    <s v="Elamu- ja kommunaalmajandus"/>
    <s v="Rägavere piirkond"/>
    <s v="Korteriühistute tasud"/>
    <n v="540"/>
    <m/>
    <n v="5511"/>
    <s v="Kinnistute, hoonete ja ruumide majandamiskulud"/>
    <n v="55"/>
    <s v="55"/>
    <s v="Muud tegevuskulud"/>
    <x v="0"/>
    <s v="Põhitegevuse kulu"/>
  </r>
  <r>
    <x v="5"/>
    <x v="13"/>
    <x v="13"/>
    <s v="Muu elamu- ja kommunaalmajanduse tegevus"/>
    <s v="Elamu- ja kommunaalmajandus"/>
    <s v="Rägavere piirkond"/>
    <s v="Amplid, lilled,istikud "/>
    <n v="200"/>
    <m/>
    <n v="5511"/>
    <s v="Kinnistute, hoonete ja ruumide majandamiskulud"/>
    <n v="55"/>
    <s v="55"/>
    <s v="Muud tegevuskulud"/>
    <x v="0"/>
    <s v="Põhitegevuse kulu"/>
  </r>
  <r>
    <x v="5"/>
    <x v="13"/>
    <x v="13"/>
    <s v="Muu elamu- ja kommunaalmajanduse tegevus"/>
    <s v="Elamu- ja kommunaalmajandus"/>
    <s v="Rägavere piirkond"/>
    <s v="Valveteenus"/>
    <n v="116"/>
    <m/>
    <n v="5511"/>
    <s v="Kinnistute, hoonete ja ruumide majandamiskulud"/>
    <n v="55"/>
    <s v="55"/>
    <s v="Muud tegevuskulud"/>
    <x v="0"/>
    <s v="Põhitegevuse kulu"/>
  </r>
  <r>
    <x v="5"/>
    <x v="13"/>
    <x v="13"/>
    <s v="Muu elamu- ja kommunaalmajanduse tegevus"/>
    <s v="Elamu- ja kommunaalmajandus"/>
    <s v="Rägavere piirkond"/>
    <s v="Katla hooldus, korstnapühkija"/>
    <n v="300"/>
    <m/>
    <n v="5511"/>
    <s v="Kinnistute, hoonete ja ruumide majandamiskulud"/>
    <n v="55"/>
    <s v="55"/>
    <s v="Muud tegevuskulud"/>
    <x v="0"/>
    <s v="Põhitegevuse kulu"/>
  </r>
  <r>
    <x v="5"/>
    <x v="13"/>
    <x v="13"/>
    <s v="Muu elamu- ja kommunaalmajanduse tegevus"/>
    <s v="Elamu- ja kommunaalmajandus"/>
    <s v="Rägavere piirkond"/>
    <s v="Pelleti ost"/>
    <n v="4000"/>
    <m/>
    <n v="5511"/>
    <s v="Kinnistute, hoonete ja ruumide majandamiskulud"/>
    <n v="55"/>
    <s v="55"/>
    <s v="Muud tegevuskulud"/>
    <x v="0"/>
    <s v="Põhitegevuse kulu"/>
  </r>
  <r>
    <x v="5"/>
    <x v="13"/>
    <x v="13"/>
    <s v="Muu elamu- ja kommunaalmajanduse tegevus"/>
    <s v="Elamu- ja kommunaalmajandus"/>
    <s v="Rägavere piirkond"/>
    <s v="Valve- ja tuletõrje signalisatsiooni hooldus"/>
    <n v="570"/>
    <m/>
    <n v="5511"/>
    <s v="Kinnistute, hoonete ja ruumide majandamiskulud"/>
    <n v="55"/>
    <s v="55"/>
    <s v="Muud tegevuskulud"/>
    <x v="0"/>
    <s v="Põhitegevuse kulu"/>
  </r>
  <r>
    <x v="5"/>
    <x v="13"/>
    <x v="13"/>
    <s v="Muu elamu- ja kommunaalmajanduse tegevus"/>
    <s v="Elamu- ja kommunaalmajandus"/>
    <s v="Rägavere piirkond"/>
    <s v="Elekter"/>
    <n v="3000"/>
    <m/>
    <n v="5511"/>
    <s v="Kinnistute, hoonete ja ruumide majandamiskulud"/>
    <n v="55"/>
    <s v="55"/>
    <s v="Muud tegevuskulud"/>
    <x v="0"/>
    <s v="Põhitegevuse kulu"/>
  </r>
  <r>
    <x v="5"/>
    <x v="13"/>
    <x v="13"/>
    <s v="Muu elamu- ja kommunaalmajanduse tegevus"/>
    <s v="Elamu- ja kommunaalmajandus"/>
    <s v="Rägavere piirkond"/>
    <s v="Kontoritarbed"/>
    <n v="300"/>
    <s v="Tahmad, paber, pliiatsid jne."/>
    <n v="5500"/>
    <s v="Administreerimiskulud"/>
    <n v="55"/>
    <s v="55"/>
    <s v="Muud tegevuskulud"/>
    <x v="0"/>
    <s v="Põhitegevuse kulu"/>
  </r>
  <r>
    <x v="5"/>
    <x v="13"/>
    <x v="13"/>
    <s v="Muu elamu- ja kommunaalmajanduse tegevus"/>
    <s v="Elamu- ja kommunaalmajandus"/>
    <s v="Rägavere piirkond"/>
    <s v="Telefon"/>
    <n v="26.4"/>
    <s v="mobiiltelefon 5783 3232"/>
    <n v="5500"/>
    <s v="Administreerimiskulud"/>
    <n v="55"/>
    <s v="55"/>
    <s v="Muud tegevuskulud"/>
    <x v="0"/>
    <s v="Põhitegevuse kulu"/>
  </r>
  <r>
    <x v="5"/>
    <x v="13"/>
    <x v="13"/>
    <s v="Muu elamu- ja kommunaalmajanduse tegevus"/>
    <s v="Elamu- ja kommunaalmajandus"/>
    <s v="Rägavere piirkond"/>
    <s v="Koolitused"/>
    <n v="200"/>
    <m/>
    <n v="5504"/>
    <s v="Koolituskulud"/>
    <n v="55"/>
    <s v="55"/>
    <s v="Muud tegevuskulud"/>
    <x v="0"/>
    <s v="Põhitegevuse kulu"/>
  </r>
  <r>
    <x v="5"/>
    <x v="13"/>
    <x v="13"/>
    <s v="Muu elamu- ja kommunaalmajanduse tegevus"/>
    <s v="Elamu- ja kommunaalmajandus"/>
    <s v="Rägavere piirkond"/>
    <s v="Väikebussi kütus"/>
    <n v="3500"/>
    <s v="kütus"/>
    <n v="5513"/>
    <s v="Sõidukite ülalpidamise kulud"/>
    <n v="55"/>
    <s v="55"/>
    <s v="Muud tegevuskulud"/>
    <x v="0"/>
    <s v="Põhitegevuse kulu"/>
  </r>
  <r>
    <x v="5"/>
    <x v="13"/>
    <x v="13"/>
    <s v="Muu elamu- ja kommunaalmajanduse tegevus"/>
    <s v="Elamu- ja kommunaalmajandus"/>
    <s v="Rägavere piirkond"/>
    <s v="Väikebuss"/>
    <n v="8000"/>
    <s v="liising, kasko, liiklus, tarvikud"/>
    <n v="5513"/>
    <s v="Sõidukite ülalpidamise kulud"/>
    <n v="55"/>
    <s v="55"/>
    <s v="Muud tegevuskulud"/>
    <x v="0"/>
    <s v="Põhitegevuse kulu"/>
  </r>
  <r>
    <x v="5"/>
    <x v="13"/>
    <x v="13"/>
    <s v="Muu elamu- ja kommunaalmajanduse tegevus"/>
    <s v="Elamu- ja kommunaalmajandus"/>
    <s v="Rägavere piirkond"/>
    <s v="Isikliku sõiduauto komp."/>
    <n v="3600"/>
    <m/>
    <n v="5513"/>
    <s v="Sõidukite ülalpidamise kulud"/>
    <n v="55"/>
    <s v="55"/>
    <s v="Muud tegevuskulud"/>
    <x v="0"/>
    <s v="Põhitegevuse kulu"/>
  </r>
  <r>
    <x v="5"/>
    <x v="13"/>
    <x v="13"/>
    <s v="Muu elamu- ja kommunaalmajanduse tegevus"/>
    <s v="Elamu- ja kommunaalmajandus"/>
    <s v="Rägavere piirkond"/>
    <s v="Seadmete ja masinate tarvikud"/>
    <n v="900"/>
    <s v="Murutraktori rihmad,saagide osad ,ketid,niidukite terad ,kiilrihmad,õlid, filtrid hooldus"/>
    <n v="5515"/>
    <s v="Inventari kulud, v.a infotehnoloogia ja kaitseotstarbelised kulud"/>
    <n v="55"/>
    <s v="55"/>
    <s v="Muud tegevuskulud"/>
    <x v="0"/>
    <s v="Põhitegevuse kulu"/>
  </r>
  <r>
    <x v="5"/>
    <x v="13"/>
    <x v="13"/>
    <s v="Muu elamu- ja kommunaalmajanduse tegevus"/>
    <s v="Elamu- ja kommunaalmajandus"/>
    <s v="Rägavere piirkond"/>
    <s v="Murutraktori, trimmerite kütus"/>
    <n v="2000"/>
    <m/>
    <n v="5515"/>
    <s v="Inventari kulud, v.a infotehnoloogia ja kaitseotstarbelised kulud"/>
    <n v="55"/>
    <s v="55"/>
    <s v="Muud tegevuskulud"/>
    <x v="0"/>
    <s v="Põhitegevuse kulu"/>
  </r>
  <r>
    <x v="5"/>
    <x v="13"/>
    <x v="13"/>
    <s v="Muu elamu- ja kommunaalmajanduse tegevus"/>
    <s v="Elamu- ja kommunaalmajandus"/>
    <s v="Rägavere piirkond"/>
    <s v="Internetiühendus"/>
    <n v="381.6"/>
    <s v="Andigo OÜ internet, kaks lautelefoni"/>
    <n v="5514"/>
    <s v="Info- ja kommunikatsioonitehnoliigised kulud"/>
    <n v="55"/>
    <s v="55"/>
    <s v="Muud tegevuskulud"/>
    <x v="0"/>
    <s v="Põhitegevuse kulu"/>
  </r>
  <r>
    <x v="5"/>
    <x v="14"/>
    <x v="14"/>
    <s v="Muu elamu- ja kommunaalmajanduse tegevus"/>
    <s v="Elamu- ja kommunaalmajandus"/>
    <s v="Roela piirkond"/>
    <s v="Heakorratööd"/>
    <n v="12950"/>
    <s v="Fixsum Service-muruniitmine,Vaarmets,"/>
    <n v="5511"/>
    <s v="Kinnistute, hoonete ja ruumide majandamiskulud"/>
    <n v="55"/>
    <s v="55"/>
    <s v="Muud tegevuskulud"/>
    <x v="0"/>
    <s v="Põhitegevuse kulu"/>
  </r>
  <r>
    <x v="5"/>
    <x v="14"/>
    <x v="14"/>
    <s v="Muu elamu- ja kommunaalmajanduse tegevus"/>
    <s v="Elamu- ja kommunaalmajandus"/>
    <s v="Roela piirkond"/>
    <s v="Prügiveod piirkonna"/>
    <n v="150"/>
    <m/>
    <n v="5511"/>
    <s v="Kinnistute, hoonete ja ruumide majandamiskulud"/>
    <n v="55"/>
    <s v="55"/>
    <s v="Muud tegevuskulud"/>
    <x v="0"/>
    <s v="Põhitegevuse kulu"/>
  </r>
  <r>
    <x v="5"/>
    <x v="14"/>
    <x v="14"/>
    <s v="Muu elamu- ja kommunaalmajanduse tegevus"/>
    <s v="Elamu- ja kommunaalmajandus"/>
    <s v="Roela piirkond"/>
    <s v="Heakorravahendid"/>
    <n v="2000"/>
    <s v="kütus, õli, jõhv trimmerile,luuad, rehad,labidad"/>
    <n v="5511"/>
    <s v="Kinnistute, hoonete ja ruumide majandamiskulud"/>
    <n v="55"/>
    <s v="55"/>
    <s v="Muud tegevuskulud"/>
    <x v="0"/>
    <s v="Põhitegevuse kulu"/>
  </r>
  <r>
    <x v="5"/>
    <x v="14"/>
    <x v="14"/>
    <s v="Muu elamu- ja kommunaalmajanduse tegevus"/>
    <s v="Elamu- ja kommunaalmajandus"/>
    <s v="Roela piirkond"/>
    <s v="Istikud, suvelilled"/>
    <n v="500"/>
    <m/>
    <n v="5511"/>
    <s v="Kinnistute, hoonete ja ruumide majandamiskulud"/>
    <n v="55"/>
    <s v="55"/>
    <s v="Muud tegevuskulud"/>
    <x v="0"/>
    <s v="Põhitegevuse kulu"/>
  </r>
  <r>
    <x v="5"/>
    <x v="14"/>
    <x v="14"/>
    <s v="Muu elamu- ja kommunaalmajanduse tegevus"/>
    <s v="Elamu- ja kommunaalmajandus"/>
    <s v="Roela piirkond"/>
    <s v="Elekter"/>
    <n v="3000"/>
    <s v="Korterid"/>
    <n v="5511"/>
    <s v="Kinnistute, hoonete ja ruumide majandamiskulud"/>
    <n v="55"/>
    <s v="55"/>
    <s v="Muud tegevuskulud"/>
    <x v="0"/>
    <s v="Põhitegevuse kulu"/>
  </r>
  <r>
    <x v="5"/>
    <x v="14"/>
    <x v="14"/>
    <s v="Muu elamu- ja kommunaalmajanduse tegevus"/>
    <s v="Elamu- ja kommunaalmajandus"/>
    <s v="Roela piirkond"/>
    <s v="Vesi- ja kanalisatsioon"/>
    <n v="600"/>
    <s v="Korterid (roela soojus)"/>
    <n v="5511"/>
    <s v="Kinnistute, hoonete ja ruumide majandamiskulud"/>
    <n v="55"/>
    <s v="55"/>
    <s v="Muud tegevuskulud"/>
    <x v="0"/>
    <s v="Põhitegevuse kulu"/>
  </r>
  <r>
    <x v="5"/>
    <x v="14"/>
    <x v="14"/>
    <s v="Muu elamu- ja kommunaalmajanduse tegevus"/>
    <s v="Elamu- ja kommunaalmajandus"/>
    <s v="Roela piirkond"/>
    <s v="Prügivedu"/>
    <n v="160"/>
    <s v="Korter (Aida)"/>
    <n v="5511"/>
    <s v="Kinnistute, hoonete ja ruumide majandamiskulud"/>
    <n v="55"/>
    <s v="55"/>
    <s v="Muud tegevuskulud"/>
    <x v="0"/>
    <s v="Põhitegevuse kulu"/>
  </r>
  <r>
    <x v="5"/>
    <x v="14"/>
    <x v="14"/>
    <s v="Muu elamu- ja kommunaalmajanduse tegevus"/>
    <s v="Elamu- ja kommunaalmajandus"/>
    <s v="Roela piirkond"/>
    <s v="Prügivedu (konteineri rent)"/>
    <n v="155"/>
    <s v="Korter (Aida)"/>
    <n v="5511"/>
    <s v="Kinnistute, hoonete ja ruumide majandamiskulud"/>
    <n v="55"/>
    <s v="55"/>
    <s v="Muud tegevuskulud"/>
    <x v="0"/>
    <s v="Põhitegevuse kulu"/>
  </r>
  <r>
    <x v="5"/>
    <x v="14"/>
    <x v="14"/>
    <s v="Muu elamu- ja kommunaalmajanduse tegevus"/>
    <s v="Elamu- ja kommunaalmajandus"/>
    <s v="Roela piirkond"/>
    <s v="Korstnapühkija"/>
    <n v="250"/>
    <s v="Korter (Aida)"/>
    <n v="5511"/>
    <s v="Kinnistute, hoonete ja ruumide majandamiskulud"/>
    <n v="55"/>
    <s v="55"/>
    <s v="Muud tegevuskulud"/>
    <x v="0"/>
    <s v="Põhitegevuse kulu"/>
  </r>
  <r>
    <x v="5"/>
    <x v="14"/>
    <x v="14"/>
    <s v="Muu elamu- ja kommunaalmajanduse tegevus"/>
    <s v="Elamu- ja kommunaalmajandus"/>
    <s v="Roela piirkond"/>
    <s v="KÜ kommunaalmaksed"/>
    <n v="13500"/>
    <m/>
    <n v="5511"/>
    <s v="Kinnistute, hoonete ja ruumide majandamiskulud"/>
    <n v="55"/>
    <s v="55"/>
    <s v="Muud tegevuskulud"/>
    <x v="0"/>
    <s v="Põhitegevuse kulu"/>
  </r>
  <r>
    <x v="5"/>
    <x v="14"/>
    <x v="14"/>
    <s v="Muu elamu- ja kommunaalmajanduse tegevus"/>
    <s v="Elamu- ja kommunaalmajandus"/>
    <s v="Roela piirkond"/>
    <s v="Kõnnitee truup"/>
    <n v="5000"/>
    <m/>
    <n v="5511"/>
    <s v="Kinnistute, hoonete ja ruumide majandamiskulud"/>
    <n v="55"/>
    <s v="55"/>
    <s v="Muud tegevuskulud"/>
    <x v="0"/>
    <s v="Põhitegevuse kulu"/>
  </r>
  <r>
    <x v="5"/>
    <x v="14"/>
    <x v="14"/>
    <s v="Muu elamu- ja kommunaalmajanduse tegevus"/>
    <s v="Elamu- ja kommunaalmajandus"/>
    <s v="Roela piirkond"/>
    <s v="Teadete tahvlid"/>
    <n v="4800"/>
    <m/>
    <n v="5511"/>
    <s v="Kinnistute, hoonete ja ruumide majandamiskulud"/>
    <n v="55"/>
    <s v="55"/>
    <s v="Muud tegevuskulud"/>
    <x v="0"/>
    <s v="Põhitegevuse kulu"/>
  </r>
  <r>
    <x v="5"/>
    <x v="15"/>
    <x v="15"/>
    <s v="Muu elamu- ja kommunaalmajanduse tegevus"/>
    <s v="Elamu- ja kommunaalmajandus"/>
    <s v="Tudu piirkond"/>
    <s v="Elekter"/>
    <n v="2500"/>
    <s v="Korterid"/>
    <n v="5511"/>
    <s v="Kinnistute, hoonete ja ruumide majandamiskulud"/>
    <n v="55"/>
    <s v="55"/>
    <s v="Muud tegevuskulud"/>
    <x v="0"/>
    <s v="Põhitegevuse kulu"/>
  </r>
  <r>
    <x v="5"/>
    <x v="15"/>
    <x v="15"/>
    <s v="Muu elamu- ja kommunaalmajanduse tegevus"/>
    <s v="Elamu- ja kommunaalmajandus"/>
    <s v="Tudu piirkond"/>
    <s v="Korstnapühkimisteenus"/>
    <n v="400"/>
    <s v="Korterid, katlamaja"/>
    <n v="5511"/>
    <s v="Kinnistute, hoonete ja ruumide majandamiskulud"/>
    <n v="55"/>
    <s v="55"/>
    <s v="Muud tegevuskulud"/>
    <x v="0"/>
    <s v="Põhitegevuse kulu"/>
  </r>
  <r>
    <x v="5"/>
    <x v="15"/>
    <x v="15"/>
    <s v="Muu elamu- ja kommunaalmajanduse tegevus"/>
    <s v="Elamu- ja kommunaalmajandus"/>
    <s v="Tudu piirkond"/>
    <s v="Prügivedu"/>
    <n v="1200"/>
    <s v="Korterid"/>
    <n v="5511"/>
    <s v="Kinnistute, hoonete ja ruumide majandamiskulud"/>
    <n v="55"/>
    <s v="55"/>
    <s v="Muud tegevuskulud"/>
    <x v="0"/>
    <s v="Põhitegevuse kulu"/>
  </r>
  <r>
    <x v="5"/>
    <x v="15"/>
    <x v="15"/>
    <s v="Muu elamu- ja kommunaalmajanduse tegevus"/>
    <s v="Elamu- ja kommunaalmajandus"/>
    <s v="Tudu piirkond"/>
    <s v="Niitmine"/>
    <n v="14300"/>
    <s v="FIE Salin"/>
    <n v="5511"/>
    <s v="Kinnistute, hoonete ja ruumide majandamiskulud"/>
    <n v="55"/>
    <s v="55"/>
    <s v="Muud tegevuskulud"/>
    <x v="0"/>
    <s v="Põhitegevuse kulu"/>
  </r>
  <r>
    <x v="5"/>
    <x v="15"/>
    <x v="15"/>
    <s v="Muu elamu- ja kommunaalmajanduse tegevus"/>
    <s v="Elamu- ja kommunaalmajandus"/>
    <s v="Tudu piirkond"/>
    <s v="Niitmine "/>
    <n v="6500"/>
    <s v="Ehitme OÜ"/>
    <n v="5511"/>
    <s v="Kinnistute, hoonete ja ruumide majandamiskulud"/>
    <n v="55"/>
    <s v="55"/>
    <s v="Muud tegevuskulud"/>
    <x v="0"/>
    <s v="Põhitegevuse kulu"/>
  </r>
  <r>
    <x v="5"/>
    <x v="15"/>
    <x v="15"/>
    <s v="Muu elamu- ja kommunaalmajanduse tegevus"/>
    <s v="Elamu- ja kommunaalmajandus"/>
    <s v="Tudu piirkond"/>
    <s v="Rahvamaja küttepuud"/>
    <n v="3600"/>
    <m/>
    <n v="5511"/>
    <s v="Kinnistute, hoonete ja ruumide majandamiskulud"/>
    <n v="55"/>
    <s v="55"/>
    <s v="Muud tegevuskulud"/>
    <x v="0"/>
    <s v="Põhitegevuse kulu"/>
  </r>
  <r>
    <x v="5"/>
    <x v="15"/>
    <x v="15"/>
    <s v="Muu elamu- ja kommunaalmajanduse tegevus"/>
    <s v="Elamu- ja kommunaalmajandus"/>
    <s v="Tudu piirkond"/>
    <s v="Istikud, suvelilled"/>
    <n v="300"/>
    <m/>
    <n v="5511"/>
    <s v="Kinnistute, hoonete ja ruumide majandamiskulud"/>
    <n v="55"/>
    <s v="55"/>
    <s v="Muud tegevuskulud"/>
    <x v="0"/>
    <s v="Põhitegevuse kulu"/>
  </r>
  <r>
    <x v="5"/>
    <x v="15"/>
    <x v="15"/>
    <s v="Muu elamu- ja kommunaalmajanduse tegevus"/>
    <s v="Elamu- ja kommunaalmajandus"/>
    <s v="Tudu piirkond"/>
    <s v="Heakorravahendid"/>
    <n v="1500"/>
    <s v="rehad, labidad, küte, õli, kindad, jne "/>
    <n v="5511"/>
    <s v="Kinnistute, hoonete ja ruumide majandamiskulud"/>
    <n v="55"/>
    <s v="55"/>
    <s v="Muud tegevuskulud"/>
    <x v="0"/>
    <s v="Põhitegevuse kulu"/>
  </r>
  <r>
    <x v="5"/>
    <x v="15"/>
    <x v="15"/>
    <s v="Muu elamu- ja kommunaalmajanduse tegevus"/>
    <s v="Elamu- ja kommunaalmajandus"/>
    <s v="Tudu piirkond"/>
    <s v="Trimmer"/>
    <n v="500"/>
    <m/>
    <n v="5511"/>
    <s v="Kinnistute, hoonete ja ruumide majandamiskulud"/>
    <n v="55"/>
    <s v="55"/>
    <s v="Muud tegevuskulud"/>
    <x v="0"/>
    <s v="Põhitegevuse kulu"/>
  </r>
  <r>
    <x v="5"/>
    <x v="15"/>
    <x v="15"/>
    <s v="Muu elamu- ja kommunaalmajanduse tegevus"/>
    <s v="Elamu- ja kommunaalmajandus"/>
    <s v="Tudu piirkond"/>
    <s v="Telia"/>
    <n v="580"/>
    <m/>
    <n v="5514"/>
    <s v="Info- ja kommunikatsioonitehnoliigised kulud"/>
    <n v="55"/>
    <s v="55"/>
    <s v="Muud tegevuskulud"/>
    <x v="0"/>
    <s v="Põhitegevuse kulu"/>
  </r>
  <r>
    <x v="5"/>
    <x v="16"/>
    <x v="16"/>
    <s v="Muu elamu- ja kommunaalmajanduse tegevus"/>
    <s v="Elamu- ja kommunaalmajandus"/>
    <s v="Viru-Jaagupi piirkond"/>
    <s v="Prügivedu"/>
    <n v="235"/>
    <s v="Kesk 15"/>
    <n v="5511"/>
    <s v="Kinnistute, hoonete ja ruumide majandamiskulud"/>
    <n v="55"/>
    <s v="55"/>
    <s v="Muud tegevuskulud"/>
    <x v="0"/>
    <s v="Põhitegevuse kulu"/>
  </r>
  <r>
    <x v="5"/>
    <x v="16"/>
    <x v="16"/>
    <s v="Muu elamu- ja kommunaalmajanduse tegevus"/>
    <s v="Elamu- ja kommunaalmajandus"/>
    <s v="Viru-Jaagupi piirkond"/>
    <s v="Konteineri rent"/>
    <n v="92.4"/>
    <s v="Kesk 15"/>
    <n v="5511"/>
    <s v="Kinnistute, hoonete ja ruumide majandamiskulud"/>
    <n v="55"/>
    <s v="55"/>
    <s v="Muud tegevuskulud"/>
    <x v="0"/>
    <s v="Põhitegevuse kulu"/>
  </r>
  <r>
    <x v="5"/>
    <x v="16"/>
    <x v="16"/>
    <s v="Muu elamu- ja kommunaalmajanduse tegevus"/>
    <s v="Elamu- ja kommunaalmajandus"/>
    <s v="Viru-Jaagupi piirkond"/>
    <s v="Vesi- ja kanalisatsioon"/>
    <n v="1400"/>
    <s v="Kesk 15, Koolimaja, saun"/>
    <n v="5511"/>
    <s v="Kinnistute, hoonete ja ruumide majandamiskulud"/>
    <n v="55"/>
    <s v="55"/>
    <s v="Muud tegevuskulud"/>
    <x v="0"/>
    <s v="Põhitegevuse kulu"/>
  </r>
  <r>
    <x v="5"/>
    <x v="16"/>
    <x v="16"/>
    <s v="Muu elamu- ja kommunaalmajanduse tegevus"/>
    <s v="Elamu- ja kommunaalmajandus"/>
    <s v="Viru-Jaagupi piirkond"/>
    <s v="Prügivedu"/>
    <n v="84"/>
    <s v="Kooli tee 7"/>
    <n v="5511"/>
    <s v="Kinnistute, hoonete ja ruumide majandamiskulud"/>
    <n v="55"/>
    <s v="55"/>
    <s v="Muud tegevuskulud"/>
    <x v="0"/>
    <s v="Põhitegevuse kulu"/>
  </r>
  <r>
    <x v="5"/>
    <x v="16"/>
    <x v="16"/>
    <s v="Muu elamu- ja kommunaalmajanduse tegevus"/>
    <s v="Elamu- ja kommunaalmajandus"/>
    <s v="Viru-Jaagupi piirkond"/>
    <s v="Prügivedu"/>
    <n v="350"/>
    <s v="Piirkonna prügi"/>
    <n v="5511"/>
    <s v="Kinnistute, hoonete ja ruumide majandamiskulud"/>
    <n v="55"/>
    <s v="55"/>
    <s v="Muud tegevuskulud"/>
    <x v="0"/>
    <s v="Põhitegevuse kulu"/>
  </r>
  <r>
    <x v="5"/>
    <x v="16"/>
    <x v="16"/>
    <s v="Muu elamu- ja kommunaalmajanduse tegevus"/>
    <s v="Elamu- ja kommunaalmajandus"/>
    <s v="Viru-Jaagupi piirkond"/>
    <s v="Koolimaja küttepuud"/>
    <n v="3600"/>
    <m/>
    <n v="5511"/>
    <s v="Kinnistute, hoonete ja ruumide majandamiskulud"/>
    <n v="55"/>
    <s v="55"/>
    <s v="Muud tegevuskulud"/>
    <x v="0"/>
    <s v="Põhitegevuse kulu"/>
  </r>
  <r>
    <x v="5"/>
    <x v="16"/>
    <x v="16"/>
    <s v="Muu elamu- ja kommunaalmajanduse tegevus"/>
    <s v="Elamu- ja kommunaalmajandus"/>
    <s v="Viru-Jaagupi piirkond"/>
    <s v="Heakorratööd"/>
    <n v="3000"/>
    <m/>
    <n v="5511"/>
    <s v="Kinnistute, hoonete ja ruumide majandamiskulud"/>
    <n v="55"/>
    <s v="55"/>
    <s v="Muud tegevuskulud"/>
    <x v="0"/>
    <s v="Põhitegevuse kulu"/>
  </r>
  <r>
    <x v="5"/>
    <x v="16"/>
    <x v="16"/>
    <s v="Muu elamu- ja kommunaalmajanduse tegevus"/>
    <s v="Elamu- ja kommunaalmajandus"/>
    <s v="Viru-Jaagupi piirkond"/>
    <s v="Elekter"/>
    <n v="18000"/>
    <m/>
    <n v="5511"/>
    <s v="Kinnistute, hoonete ja ruumide majandamiskulud"/>
    <n v="55"/>
    <s v="55"/>
    <s v="Muud tegevuskulud"/>
    <x v="0"/>
    <s v="Põhitegevuse kulu"/>
  </r>
  <r>
    <x v="5"/>
    <x v="16"/>
    <x v="16"/>
    <s v="Muu elamu- ja kommunaalmajanduse tegevus"/>
    <s v="Elamu- ja kommunaalmajandus"/>
    <s v="Viru-Jaagupi piirkond"/>
    <s v="Korrashoiuvahendid"/>
    <n v="1000"/>
    <s v="luuad, rehad, puh.vahendid, paber jne"/>
    <n v="5511"/>
    <s v="Kinnistute, hoonete ja ruumide majandamiskulud"/>
    <n v="55"/>
    <s v="55"/>
    <s v="Muud tegevuskulud"/>
    <x v="0"/>
    <s v="Põhitegevuse kulu"/>
  </r>
  <r>
    <x v="5"/>
    <x v="16"/>
    <x v="16"/>
    <s v="Muu elamu- ja kommunaalmajanduse tegevus"/>
    <s v="Elamu- ja kommunaalmajandus"/>
    <s v="Viru-Jaagupi piirkond"/>
    <s v="Valvekulud"/>
    <n v="84"/>
    <m/>
    <n v="5511"/>
    <s v="Kinnistute, hoonete ja ruumide majandamiskulud"/>
    <n v="55"/>
    <s v="55"/>
    <s v="Muud tegevuskulud"/>
    <x v="0"/>
    <s v="Põhitegevuse kulu"/>
  </r>
  <r>
    <x v="5"/>
    <x v="16"/>
    <x v="16"/>
    <s v="Muu elamu- ja kommunaalmajanduse tegevus"/>
    <s v="Elamu- ja kommunaalmajandus"/>
    <s v="Viru-Jaagupi piirkond"/>
    <s v="Korrashoiuvahendite rendid, õlid"/>
    <n v="1500"/>
    <s v="töövahendite hooldus, tarvikud, küte, õli"/>
    <n v="5511"/>
    <s v="Kinnistute, hoonete ja ruumide majandamiskulud"/>
    <n v="55"/>
    <s v="55"/>
    <s v="Muud tegevuskulud"/>
    <x v="0"/>
    <s v="Põhitegevuse kulu"/>
  </r>
  <r>
    <x v="5"/>
    <x v="16"/>
    <x v="16"/>
    <s v="Muu elamu- ja kommunaalmajanduse tegevus"/>
    <s v="Elamu- ja kommunaalmajandus"/>
    <s v="Viru-Jaagupi piirkond"/>
    <s v="Remondifond"/>
    <n v="314.32"/>
    <s v="Kesk 21 + niitmine"/>
    <n v="5511"/>
    <s v="Kinnistute, hoonete ja ruumide majandamiskulud"/>
    <n v="55"/>
    <s v="55"/>
    <s v="Muud tegevuskulud"/>
    <x v="0"/>
    <s v="Põhitegevuse kulu"/>
  </r>
  <r>
    <x v="5"/>
    <x v="16"/>
    <x v="16"/>
    <s v="Muu elamu- ja kommunaalmajanduse tegevus"/>
    <s v="Elamu- ja kommunaalmajandus"/>
    <s v="Viru-Jaagupi piirkond"/>
    <s v="Tuletõrje süsteem (Telia kuutasu)"/>
    <n v="14.399999999999999"/>
    <s v="Kooli tee 7"/>
    <n v="5511"/>
    <s v="Kinnistute, hoonete ja ruumide majandamiskulud"/>
    <n v="55"/>
    <s v="55"/>
    <s v="Muud tegevuskulud"/>
    <x v="0"/>
    <s v="Põhitegevuse kulu"/>
  </r>
  <r>
    <x v="5"/>
    <x v="16"/>
    <x v="16"/>
    <s v="Muu elamu- ja kommunaalmajanduse tegevus"/>
    <s v="Elamu- ja kommunaalmajandus"/>
    <s v="Viru-Jaagupi piirkond"/>
    <s v="Tuletõrje süsteemi hooldus"/>
    <n v="384"/>
    <s v="Kooli tee 7"/>
    <n v="5511"/>
    <s v="Kinnistute, hoonete ja ruumide majandamiskulud"/>
    <n v="55"/>
    <s v="55"/>
    <s v="Muud tegevuskulud"/>
    <x v="0"/>
    <s v="Põhitegevuse kulu"/>
  </r>
  <r>
    <x v="5"/>
    <x v="16"/>
    <x v="16"/>
    <s v="Muu elamu- ja kommunaalmajanduse tegevus"/>
    <s v="Elamu- ja kommunaalmajandus"/>
    <s v="Viru-Jaagupi piirkond"/>
    <s v="Istikud, ohtlikud puud"/>
    <n v="1500"/>
    <m/>
    <n v="5511"/>
    <s v="Kinnistute, hoonete ja ruumide majandamiskulud"/>
    <n v="55"/>
    <s v="55"/>
    <s v="Muud tegevuskulud"/>
    <x v="0"/>
    <s v="Põhitegevuse kulu"/>
  </r>
  <r>
    <x v="5"/>
    <x v="16"/>
    <x v="16"/>
    <s v="Muu elamu- ja kommunaalmajanduse tegevus"/>
    <s v="Elamu- ja kommunaalmajandus"/>
    <s v="Viru-Jaagupi piirkond"/>
    <s v="Teadete tahvlid"/>
    <n v="3200"/>
    <s v="2tk"/>
    <n v="5511"/>
    <s v="Kinnistute, hoonete ja ruumide majandamiskulud"/>
    <n v="55"/>
    <s v="55"/>
    <s v="Muud tegevuskulud"/>
    <x v="0"/>
    <s v="Põhitegevuse kulu"/>
  </r>
  <r>
    <x v="5"/>
    <x v="16"/>
    <x v="16"/>
    <s v="Muu elamu- ja kommunaalmajanduse tegevus"/>
    <s v="Elamu- ja kommunaalmajandus"/>
    <s v="Viru-Jaagupi piirkond"/>
    <s v="Korstnapühkija"/>
    <n v="300"/>
    <m/>
    <n v="5511"/>
    <s v="Kinnistute, hoonete ja ruumide majandamiskulud"/>
    <n v="55"/>
    <s v="55"/>
    <s v="Muud tegevuskulud"/>
    <x v="0"/>
    <s v="Põhitegevuse kulu"/>
  </r>
  <r>
    <x v="5"/>
    <x v="16"/>
    <x v="16"/>
    <s v="Muu elamu- ja kommunaalmajanduse tegevus"/>
    <s v="Elamu- ja kommunaalmajandus"/>
    <s v="Viru-Jaagupi piirkond"/>
    <s v="Pingid"/>
    <n v="6000"/>
    <m/>
    <n v="5511"/>
    <s v="Kinnistute, hoonete ja ruumide majandamiskulud"/>
    <n v="55"/>
    <s v="55"/>
    <s v="Muud tegevuskulud"/>
    <x v="0"/>
    <s v="Põhitegevuse kulu"/>
  </r>
  <r>
    <x v="5"/>
    <x v="16"/>
    <x v="16"/>
    <s v="Muu elamu- ja kommunaalmajanduse tegevus"/>
    <s v="Elamu- ja kommunaalmajandus"/>
    <s v="Viru-Jaagupi piirkond"/>
    <s v="Telefon, internet"/>
    <n v="300"/>
    <m/>
    <n v="5500"/>
    <s v="Administreerimiskulud"/>
    <n v="55"/>
    <s v="55"/>
    <s v="Muud tegevuskulud"/>
    <x v="0"/>
    <s v="Põhitegevuse kulu"/>
  </r>
  <r>
    <x v="5"/>
    <x v="16"/>
    <x v="16"/>
    <s v="Muu elamu- ja kommunaalmajanduse tegevus"/>
    <s v="Elamu- ja kommunaalmajandus"/>
    <s v="Viru-Jaagupi piirkond"/>
    <s v="Isikliku sõiduauto komp."/>
    <n v="3600"/>
    <s v="12 kuud*300"/>
    <n v="5513"/>
    <s v="Sõidukite ülalpidamise kulud"/>
    <n v="55"/>
    <s v="55"/>
    <s v="Muud tegevuskulud"/>
    <x v="0"/>
    <s v="Põhitegevuse kulu"/>
  </r>
  <r>
    <x v="5"/>
    <x v="16"/>
    <x v="16"/>
    <s v="Muu elamu- ja kommunaalmajanduse tegevus"/>
    <s v="Elamu- ja kommunaalmajandus"/>
    <s v="Viru-Jaagupi piirkond"/>
    <s v="Haagise kindlustus"/>
    <n v="30"/>
    <m/>
    <n v="5513"/>
    <s v="Sõidukite ülalpidamise kulud"/>
    <n v="55"/>
    <s v="55"/>
    <s v="Muud tegevuskulud"/>
    <x v="0"/>
    <s v="Põhitegevuse kulu"/>
  </r>
  <r>
    <x v="5"/>
    <x v="16"/>
    <x v="16"/>
    <s v="Muu elamu- ja kommunaalmajanduse tegevus"/>
    <s v="Elamu- ja kommunaalmajandus"/>
    <s v="Viru-Jaagupi piirkond"/>
    <s v="Haagise pisiremondid"/>
    <n v="250"/>
    <m/>
    <n v="5513"/>
    <s v="Sõidukite ülalpidamise kulud"/>
    <n v="55"/>
    <s v="55"/>
    <s v="Muud tegevuskulud"/>
    <x v="0"/>
    <s v="Põhitegevuse kulu"/>
  </r>
  <r>
    <x v="5"/>
    <x v="16"/>
    <x v="16"/>
    <s v="Muu elamu- ja kommunaalmajanduse tegevus"/>
    <s v="Elamu- ja kommunaalmajandus"/>
    <s v="Viru-Jaagupi piirkond"/>
    <s v="Haagise rehvid"/>
    <n v="160"/>
    <m/>
    <n v="5513"/>
    <s v="Sõidukite ülalpidamise kulud"/>
    <n v="55"/>
    <s v="55"/>
    <s v="Muud tegevuskulud"/>
    <x v="0"/>
    <s v="Põhitegevuse kulu"/>
  </r>
  <r>
    <x v="5"/>
    <x v="16"/>
    <x v="16"/>
    <s v="Muu elamu- ja kommunaalmajanduse tegevus"/>
    <s v="Elamu- ja kommunaalmajandus"/>
    <s v="Viru-Jaagupi piirkond"/>
    <s v="PEUGEOT PARTNER 648BLS kütus"/>
    <n v="3600"/>
    <m/>
    <n v="5513"/>
    <s v="Sõidukite ülalpidamise kulud"/>
    <n v="55"/>
    <s v="55"/>
    <s v="Muud tegevuskulud"/>
    <x v="0"/>
    <s v="Põhitegevuse kulu"/>
  </r>
  <r>
    <x v="5"/>
    <x v="16"/>
    <x v="16"/>
    <s v="Muu elamu- ja kommunaalmajanduse tegevus"/>
    <s v="Elamu- ja kommunaalmajandus"/>
    <s v="Viru-Jaagupi piirkond"/>
    <s v="PEUGEOT PARTNER 648BLS kindlustus"/>
    <n v="70"/>
    <m/>
    <n v="5513"/>
    <s v="Sõidukite ülalpidamise kulud"/>
    <n v="55"/>
    <s v="55"/>
    <s v="Muud tegevuskulud"/>
    <x v="0"/>
    <s v="Põhitegevuse kulu"/>
  </r>
  <r>
    <x v="5"/>
    <x v="16"/>
    <x v="16"/>
    <s v="Muu elamu- ja kommunaalmajanduse tegevus"/>
    <s v="Elamu- ja kommunaalmajandus"/>
    <s v="Viru-Jaagupi piirkond"/>
    <s v="PEUGEOT PARTNER 648BLS rehvid"/>
    <n v="400"/>
    <m/>
    <n v="5513"/>
    <s v="Sõidukite ülalpidamise kulud"/>
    <n v="55"/>
    <s v="55"/>
    <s v="Muud tegevuskulud"/>
    <x v="0"/>
    <s v="Põhitegevuse kulu"/>
  </r>
  <r>
    <x v="5"/>
    <x v="16"/>
    <x v="16"/>
    <s v="Muu elamu- ja kommunaalmajanduse tegevus"/>
    <s v="Elamu- ja kommunaalmajandus"/>
    <s v="Viru-Jaagupi piirkond"/>
    <s v="PEUGEOT PARTNER 648BLS pisiremondid, ülevaatused"/>
    <n v="800"/>
    <m/>
    <n v="5513"/>
    <s v="Sõidukite ülalpidamise kulud"/>
    <n v="55"/>
    <s v="55"/>
    <s v="Muud tegevuskulud"/>
    <x v="0"/>
    <s v="Põhitegevuse kulu"/>
  </r>
  <r>
    <x v="5"/>
    <x v="16"/>
    <x v="16"/>
    <s v="Muu elamu- ja kommunaalmajanduse tegevus"/>
    <s v="Elamu- ja kommunaalmajandus"/>
    <s v="Viru-Jaagupi piirkond"/>
    <s v="tervise ja spordi edendamine"/>
    <n v="400"/>
    <m/>
    <n v="5540"/>
    <s v="Mitmesugused majanduskulud"/>
    <n v="55"/>
    <s v="55"/>
    <s v="Muud tegevuskulud"/>
    <x v="0"/>
    <s v="Põhitegevuse kulu"/>
  </r>
  <r>
    <x v="5"/>
    <x v="16"/>
    <x v="16"/>
    <s v="Muu elamu- ja kommunaalmajanduse tegevus"/>
    <s v="Elamu- ja kommunaalmajandus"/>
    <s v="Viru-Jaagupi piirkond"/>
    <s v="Katuse vahetus"/>
    <n v="7000"/>
    <s v="Kesk 15"/>
    <n v="5511"/>
    <s v="Kinnistute, hoonete ja ruumide majandamiskulud"/>
    <n v="55"/>
    <s v="55"/>
    <s v="Muud tegevuskulud"/>
    <x v="0"/>
    <s v="Põhitegevuse kulu"/>
  </r>
  <r>
    <x v="5"/>
    <x v="17"/>
    <x v="17"/>
    <s v="Muu elamu- ja kommunaalmajanduse tegevus"/>
    <s v="Elamu- ja kommunaalmajandus"/>
    <s v="Vinni-Pajusti piirkond"/>
    <s v="Korterite kommunaalmaksed"/>
    <n v="21000"/>
    <m/>
    <n v="5511"/>
    <s v="Kinnistute, hoonete ja ruumide majandamiskulud"/>
    <n v="55"/>
    <s v="55"/>
    <s v="Muud tegevuskulud"/>
    <x v="0"/>
    <s v="Põhitegevuse kulu"/>
  </r>
  <r>
    <x v="5"/>
    <x v="17"/>
    <x v="17"/>
    <s v="Muu elamu- ja kommunaalmajanduse tegevus"/>
    <s v="Elamu- ja kommunaalmajandus"/>
    <s v="Vinni-Pajusti piirkond"/>
    <s v="valvekaameratega seotud kulud"/>
    <n v="192"/>
    <s v="Telia"/>
    <n v="5511"/>
    <s v="Kinnistute, hoonete ja ruumide majandamiskulud"/>
    <n v="55"/>
    <s v="55"/>
    <s v="Muud tegevuskulud"/>
    <x v="0"/>
    <s v="Põhitegevuse kulu"/>
  </r>
  <r>
    <x v="5"/>
    <x v="17"/>
    <x v="17"/>
    <s v="Muu elamu- ja kommunaalmajanduse tegevus"/>
    <s v="Elamu- ja kommunaalmajandus"/>
    <s v="Vinni-Pajusti piirkond"/>
    <s v="Suuremad niitmised"/>
    <n v="1600"/>
    <s v="Tammikus OÜ"/>
    <n v="5511"/>
    <s v="Kinnistute, hoonete ja ruumide majandamiskulud"/>
    <n v="55"/>
    <s v="55"/>
    <s v="Muud tegevuskulud"/>
    <x v="0"/>
    <s v="Põhitegevuse kulu"/>
  </r>
  <r>
    <x v="5"/>
    <x v="17"/>
    <x v="17"/>
    <s v="Muu elamu- ja kommunaalmajanduse tegevus"/>
    <s v="Elamu- ja kommunaalmajandus"/>
    <s v="Vinni-Pajusti piirkond"/>
    <s v="Prügikonteinerite rent"/>
    <n v="97.199999999999989"/>
    <m/>
    <n v="5511"/>
    <s v="Kinnistute, hoonete ja ruumide majandamiskulud"/>
    <n v="55"/>
    <s v="55"/>
    <s v="Muud tegevuskulud"/>
    <x v="0"/>
    <s v="Põhitegevuse kulu"/>
  </r>
  <r>
    <x v="5"/>
    <x v="17"/>
    <x v="17"/>
    <s v="Muu elamu- ja kommunaalmajanduse tegevus"/>
    <s v="Elamu- ja kommunaalmajandus"/>
    <s v="Vinni-Pajusti piirkond"/>
    <s v="Prügivedu, konteinerite rent"/>
    <n v="2200"/>
    <s v="Jäätmekeskus"/>
    <n v="5511"/>
    <s v="Kinnistute, hoonete ja ruumide majandamiskulud"/>
    <n v="55"/>
    <s v="55"/>
    <s v="Muud tegevuskulud"/>
    <x v="0"/>
    <s v="Põhitegevuse kulu"/>
  </r>
  <r>
    <x v="5"/>
    <x v="17"/>
    <x v="17"/>
    <s v="Muu elamu- ja kommunaalmajanduse tegevus"/>
    <s v="Elamu- ja kommunaalmajandus"/>
    <s v="Vinni-Pajusti piirkond"/>
    <s v="Elektri tarbimine"/>
    <n v="9000"/>
    <m/>
    <n v="5511"/>
    <s v="Kinnistute, hoonete ja ruumide majandamiskulud"/>
    <n v="55"/>
    <s v="55"/>
    <s v="Muud tegevuskulud"/>
    <x v="0"/>
    <s v="Põhitegevuse kulu"/>
  </r>
  <r>
    <x v="5"/>
    <x v="17"/>
    <x v="17"/>
    <s v="Muu elamu- ja kommunaalmajanduse tegevus"/>
    <s v="Elamu- ja kommunaalmajandus"/>
    <s v="Vinni-Pajusti piirkond"/>
    <s v="Heakorra tööde tarbitav kütus"/>
    <n v="4500"/>
    <m/>
    <n v="5511"/>
    <s v="Kinnistute, hoonete ja ruumide majandamiskulud"/>
    <n v="55"/>
    <s v="55"/>
    <s v="Muud tegevuskulud"/>
    <x v="0"/>
    <s v="Põhitegevuse kulu"/>
  </r>
  <r>
    <x v="5"/>
    <x v="17"/>
    <x v="17"/>
    <s v="Muu elamu- ja kommunaalmajanduse tegevus"/>
    <s v="Elamu- ja kommunaalmajandus"/>
    <s v="Vinni-Pajusti piirkond"/>
    <s v="Muud kinnistute ja hoonetega seotud kulud"/>
    <n v="20000"/>
    <m/>
    <n v="5511"/>
    <s v="Kinnistute, hoonete ja ruumide majandamiskulud"/>
    <n v="55"/>
    <s v="55"/>
    <s v="Muud tegevuskulud"/>
    <x v="0"/>
    <s v="Põhitegevuse kulu"/>
  </r>
  <r>
    <x v="5"/>
    <x v="17"/>
    <x v="17"/>
    <s v="Muu elamu- ja kommunaalmajanduse tegevus"/>
    <s v="Elamu- ja kommunaalmajandus"/>
    <s v="Vinni-Pajusti piirkond"/>
    <s v="Pingid"/>
    <n v="6000"/>
    <m/>
    <n v="5511"/>
    <s v="Kinnistute, hoonete ja ruumide majandamiskulud"/>
    <n v="55"/>
    <s v="55"/>
    <s v="Muud tegevuskulud"/>
    <x v="0"/>
    <s v="Põhitegevuse kulu"/>
  </r>
  <r>
    <x v="5"/>
    <x v="17"/>
    <x v="17"/>
    <s v="Muu elamu- ja kommunaalmajanduse tegevus"/>
    <s v="Elamu- ja kommunaalmajandus"/>
    <s v="Arendusnõunik"/>
    <s v="Vinni liiklusväljaku joonimine"/>
    <n v="2000"/>
    <m/>
    <n v="5512"/>
    <s v="Rajatiste majandamiskulud"/>
    <n v="55"/>
    <s v="55"/>
    <s v="Muud tegevuskulud"/>
    <x v="0"/>
    <s v="Põhitegevuse kulu"/>
  </r>
  <r>
    <x v="5"/>
    <x v="17"/>
    <x v="17"/>
    <s v="Muu elamu- ja kommunaalmajanduse tegevus"/>
    <s v="Elamu- ja kommunaalmajandus"/>
    <s v="Vinni-Pajusti piirkond"/>
    <s v="sideteenused"/>
    <n v="255.84"/>
    <m/>
    <n v="5500"/>
    <s v="Administreerimiskulud"/>
    <n v="55"/>
    <s v="55"/>
    <s v="Muud tegevuskulud"/>
    <x v="0"/>
    <s v="Põhitegevuse kulu"/>
  </r>
  <r>
    <x v="5"/>
    <x v="17"/>
    <x v="17"/>
    <s v="Muu elamu- ja kommunaalmajanduse tegevus"/>
    <s v="Elamu- ja kommunaalmajandus"/>
    <s v="Vinni-Pajusti piirkond"/>
    <s v="Isikliku sõiduauto komp."/>
    <n v="650"/>
    <s v="abipolitseid"/>
    <n v="5513"/>
    <s v="Sõidukite ülalpidamise kulud"/>
    <n v="55"/>
    <s v="55"/>
    <s v="Muud tegevuskulud"/>
    <x v="0"/>
    <s v="Põhitegevuse kulu"/>
  </r>
  <r>
    <x v="5"/>
    <x v="17"/>
    <x v="17"/>
    <s v="Muu elamu- ja kommunaalmajanduse tegevus"/>
    <s v="Elamu- ja kommunaalmajandus"/>
    <s v="Vinni-Pajusti piirkond"/>
    <s v="Haagiste, sõidukite kindlustused"/>
    <n v="1670"/>
    <m/>
    <n v="5513"/>
    <s v="Sõidukite ülalpidamise kulud"/>
    <n v="55"/>
    <s v="55"/>
    <s v="Muud tegevuskulud"/>
    <x v="0"/>
    <s v="Põhitegevuse kulu"/>
  </r>
  <r>
    <x v="5"/>
    <x v="17"/>
    <x v="17"/>
    <s v="Muu elamu- ja kommunaalmajanduse tegevus"/>
    <s v="Elamu- ja kommunaalmajandus"/>
    <s v="Vinni-Pajusti piirkond"/>
    <s v="sõidupäeviku teenus"/>
    <n v="1998"/>
    <m/>
    <n v="5513"/>
    <s v="Sõidukite ülalpidamise kulud"/>
    <n v="55"/>
    <s v="55"/>
    <s v="Muud tegevuskulud"/>
    <x v="0"/>
    <s v="Põhitegevuse kulu"/>
  </r>
  <r>
    <x v="5"/>
    <x v="17"/>
    <x v="17"/>
    <s v="Muu elamu- ja kommunaalmajanduse tegevus"/>
    <s v="Elamu- ja kommunaalmajandus"/>
    <s v="Vinni-Pajusti piirkond"/>
    <s v="ülevaatus"/>
    <n v="210"/>
    <m/>
    <n v="5513"/>
    <s v="Sõidukite ülalpidamise kulud"/>
    <n v="55"/>
    <s v="55"/>
    <s v="Muud tegevuskulud"/>
    <x v="0"/>
    <s v="Põhitegevuse kulu"/>
  </r>
  <r>
    <x v="5"/>
    <x v="17"/>
    <x v="17"/>
    <s v="Muu elamu- ja kommunaalmajanduse tegevus"/>
    <s v="Elamu- ja kommunaalmajandus"/>
    <s v="Vinni-Pajusti piirkond"/>
    <s v="liising"/>
    <n v="2607.2400000000002"/>
    <s v="Silberauto"/>
    <n v="5513"/>
    <s v="Sõidukite ülalpidamise kulud"/>
    <n v="55"/>
    <s v="55"/>
    <s v="Muud tegevuskulud"/>
    <x v="0"/>
    <s v="Põhitegevuse kulu"/>
  </r>
  <r>
    <x v="5"/>
    <x v="17"/>
    <x v="17"/>
    <s v="Muu elamu- ja kommunaalmajanduse tegevus"/>
    <s v="Elamu- ja kommunaalmajandus"/>
    <s v="Vinni-Pajusti piirkond"/>
    <s v="liisingauto remont"/>
    <n v="1400"/>
    <s v="Silberauto liisingauto remont"/>
    <n v="5513"/>
    <s v="Sõidukite ülalpidamise kulud"/>
    <n v="55"/>
    <s v="55"/>
    <s v="Muud tegevuskulud"/>
    <x v="0"/>
    <s v="Põhitegevuse kulu"/>
  </r>
  <r>
    <x v="5"/>
    <x v="17"/>
    <x v="17"/>
    <s v="Muu elamu- ja kommunaalmajanduse tegevus"/>
    <s v="Elamu- ja kommunaalmajandus"/>
    <s v="Vinni-Pajusti piirkond"/>
    <s v="kütus"/>
    <n v="13000"/>
    <m/>
    <n v="5513"/>
    <s v="Sõidukite ülalpidamise kulud"/>
    <n v="55"/>
    <s v="55"/>
    <s v="Muud tegevuskulud"/>
    <x v="0"/>
    <s v="Põhitegevuse kulu"/>
  </r>
  <r>
    <x v="5"/>
    <x v="17"/>
    <x v="17"/>
    <s v="Muu elamu- ja kommunaalmajanduse tegevus"/>
    <s v="Elamu- ja kommunaalmajandus"/>
    <s v="Vinni-Pajusti piirkond"/>
    <s v="sõidukite remondi jms kulud"/>
    <n v="3000"/>
    <m/>
    <n v="5513"/>
    <s v="Sõidukite ülalpidamise kulud"/>
    <n v="55"/>
    <s v="55"/>
    <s v="Muud tegevuskulud"/>
    <x v="0"/>
    <s v="Põhitegevuse kulu"/>
  </r>
  <r>
    <x v="5"/>
    <x v="17"/>
    <x v="17"/>
    <s v="Muu elamu- ja kommunaalmajanduse tegevus"/>
    <s v="Elamu- ja kommunaalmajandus"/>
    <s v="Vinni-Pajusti piirkond"/>
    <s v="muud sõidukitega seotud kulud"/>
    <n v="4000"/>
    <m/>
    <n v="5513"/>
    <s v="Sõidukite ülalpidamise kulud"/>
    <n v="55"/>
    <s v="55"/>
    <s v="Muud tegevuskulud"/>
    <x v="0"/>
    <s v="Põhitegevuse kulu"/>
  </r>
  <r>
    <x v="5"/>
    <x v="17"/>
    <x v="17"/>
    <s v="Muu elamu- ja kommunaalmajanduse tegevus"/>
    <s v="Elamu- ja kommunaalmajandus"/>
    <s v="Vinni-Pajusti piirkond"/>
    <s v="Tööriistad"/>
    <n v="6000"/>
    <m/>
    <n v="5515"/>
    <s v="Inventari kulud, v.a infotehnoloogia ja kaitseotstarbelised kulud"/>
    <n v="55"/>
    <s v="55"/>
    <s v="Muud tegevuskulud"/>
    <x v="0"/>
    <s v="Põhitegevuse kulu"/>
  </r>
  <r>
    <x v="5"/>
    <x v="18"/>
    <x v="18"/>
    <s v="Muu elamu- ja kommunaalmajanduse tegevus"/>
    <s v="Elamu- ja kommunaalmajandus"/>
    <s v="Viru-Jaagupi piirkonna juht"/>
    <s v="Küttepuud"/>
    <n v="8600"/>
    <m/>
    <n v="5511"/>
    <s v="Kinnistute, hoonete ja ruumide majandamiskulud"/>
    <n v="55"/>
    <s v="55"/>
    <s v="Muud tegevuskulud"/>
    <x v="0"/>
    <s v="Põhitegevuse kulu"/>
  </r>
  <r>
    <x v="5"/>
    <x v="18"/>
    <x v="18"/>
    <s v="Muu elamu- ja kommunaalmajanduse tegevus"/>
    <s v="Elamu- ja kommunaalmajandus"/>
    <s v="Viru-Jaagupi piirkonna juht"/>
    <s v="Prügivedu"/>
    <n v="35"/>
    <m/>
    <n v="5511"/>
    <s v="Kinnistute, hoonete ja ruumide majandamiskulud"/>
    <n v="55"/>
    <s v="55"/>
    <s v="Muud tegevuskulud"/>
    <x v="0"/>
    <s v="Põhitegevuse kulu"/>
  </r>
  <r>
    <x v="5"/>
    <x v="18"/>
    <x v="18"/>
    <s v="Muu elamu- ja kommunaalmajanduse tegevus"/>
    <s v="Elamu- ja kommunaalmajandus"/>
    <s v="Viru-Jaagupi piirkonna juht"/>
    <s v="Vesi- ja kanalisatsioon"/>
    <n v="800"/>
    <m/>
    <n v="5511"/>
    <s v="Kinnistute, hoonete ja ruumide majandamiskulud"/>
    <n v="55"/>
    <s v="55"/>
    <s v="Muud tegevuskulud"/>
    <x v="0"/>
    <s v="Põhitegevuse kulu"/>
  </r>
  <r>
    <x v="5"/>
    <x v="18"/>
    <x v="18"/>
    <s v="Muu elamu- ja kommunaalmajanduse tegevus"/>
    <s v="Elamu- ja kommunaalmajandus"/>
    <s v="Viru-Jaagupi piirkonna juht"/>
    <s v="Elekter"/>
    <n v="1700"/>
    <m/>
    <n v="5511"/>
    <s v="Kinnistute, hoonete ja ruumide majandamiskulud"/>
    <n v="55"/>
    <s v="55"/>
    <s v="Muud tegevuskulud"/>
    <x v="0"/>
    <s v="Põhitegevuse kulu"/>
  </r>
  <r>
    <x v="5"/>
    <x v="18"/>
    <x v="18"/>
    <s v="Muu elamu- ja kommunaalmajanduse tegevus"/>
    <s v="Elamu- ja kommunaalmajandus"/>
    <s v="Viru-Jaagupi piirkonna juht"/>
    <s v="Pisiremonttööd"/>
    <n v="4500"/>
    <m/>
    <n v="5511"/>
    <s v="Kinnistute, hoonete ja ruumide majandamiskulud"/>
    <n v="55"/>
    <s v="55"/>
    <s v="Muud tegevuskulud"/>
    <x v="0"/>
    <s v="Põhitegevuse kulu"/>
  </r>
  <r>
    <x v="5"/>
    <x v="18"/>
    <x v="18"/>
    <s v="Muu elamu- ja kommunaalmajanduse tegevus"/>
    <s v="Elamu- ja kommunaalmajandus"/>
    <s v="Viru-Jaagupi piirkonna juht"/>
    <s v="Korrashoiuvahendid"/>
    <n v="600"/>
    <m/>
    <n v="5511"/>
    <s v="Kinnistute, hoonete ja ruumide majandamiskulud"/>
    <n v="55"/>
    <s v="55"/>
    <s v="Muud tegevuskulud"/>
    <x v="0"/>
    <s v="Põhitegevuse kulu"/>
  </r>
  <r>
    <x v="5"/>
    <x v="18"/>
    <x v="18"/>
    <s v="Muu elamu- ja kommunaalmajanduse tegevus"/>
    <s v="Elamu- ja kommunaalmajandus"/>
    <s v="Viru-Jaagupi piirkonna juht"/>
    <s v="Korstnapühkimisteenus"/>
    <n v="225"/>
    <m/>
    <n v="5511"/>
    <s v="Kinnistute, hoonete ja ruumide majandamiskulud"/>
    <n v="55"/>
    <s v="55"/>
    <s v="Muud tegevuskulud"/>
    <x v="0"/>
    <s v="Põhitegevuse kulu"/>
  </r>
  <r>
    <x v="5"/>
    <x v="19"/>
    <x v="19"/>
    <s v="Muu elamu- ja kommunaalmajanduse tegevus"/>
    <s v="Elamu- ja kommunaalmajandus"/>
    <s v="Viru-Jaagupi piirkonna juht"/>
    <s v="Välikäimlad"/>
    <n v="624"/>
    <s v="Viru-Jaagupi"/>
    <n v="5511"/>
    <s v="Kinnistute, hoonete ja ruumide majandamiskulud"/>
    <n v="55"/>
    <s v="55"/>
    <s v="Muud tegevuskulud"/>
    <x v="0"/>
    <s v="Põhitegevuse kulu"/>
  </r>
  <r>
    <x v="5"/>
    <x v="19"/>
    <x v="19"/>
    <s v="Muu elamu- ja kommunaalmajanduse tegevus"/>
    <s v="Elamu- ja kommunaalmajandus"/>
    <s v="Viru-Jaagupi piirkonna juht"/>
    <s v="Prügivedu"/>
    <n v="3000"/>
    <m/>
    <n v="5511"/>
    <s v="Kinnistute, hoonete ja ruumide majandamiskulud"/>
    <n v="55"/>
    <s v="55"/>
    <s v="Muud tegevuskulud"/>
    <x v="0"/>
    <s v="Põhitegevuse kulu"/>
  </r>
  <r>
    <x v="5"/>
    <x v="19"/>
    <x v="19"/>
    <s v="Muu elamu- ja kommunaalmajanduse tegevus"/>
    <s v="Elamu- ja kommunaalmajandus"/>
    <s v="Viru-Jaagupi piirkonna juht"/>
    <s v="Konteineri rent"/>
    <n v="411"/>
    <s v="Tudu 2 konteinerit (Ragn Sells, Jäätmekeskus)"/>
    <n v="5511"/>
    <s v="Kinnistute, hoonete ja ruumide majandamiskulud"/>
    <n v="55"/>
    <s v="55"/>
    <s v="Muud tegevuskulud"/>
    <x v="0"/>
    <s v="Põhitegevuse kulu"/>
  </r>
  <r>
    <x v="5"/>
    <x v="19"/>
    <x v="19"/>
    <s v="Muu elamu- ja kommunaalmajanduse tegevus"/>
    <s v="Elamu- ja kommunaalmajandus"/>
    <s v="Viru-Jaagupi piirkonna juht"/>
    <s v="Liiv"/>
    <n v="1000"/>
    <m/>
    <n v="5511"/>
    <s v="Kinnistute, hoonete ja ruumide majandamiskulud"/>
    <n v="55"/>
    <s v="55"/>
    <s v="Muud tegevuskulud"/>
    <x v="0"/>
    <s v="Põhitegevuse kulu"/>
  </r>
  <r>
    <x v="5"/>
    <x v="19"/>
    <x v="19"/>
    <s v="Muu elamu- ja kommunaalmajanduse tegevus"/>
    <s v="Elamu- ja kommunaalmajandus"/>
    <s v="Viru-Jaagupi piirkonna juht"/>
    <s v="Tõrma kalmistu haldamine"/>
    <n v="2400"/>
    <m/>
    <n v="5511"/>
    <s v="Kinnistute, hoonete ja ruumide majandamiskulud"/>
    <n v="55"/>
    <s v="55"/>
    <s v="Muud tegevuskulud"/>
    <x v="0"/>
    <s v="Põhitegevuse kulu"/>
  </r>
  <r>
    <x v="5"/>
    <x v="19"/>
    <x v="19"/>
    <s v="Muu elamu- ja kommunaalmajanduse tegevus"/>
    <s v="Elamu- ja kommunaalmajandus"/>
    <s v="Viru-Jaagupi piirkonna juht"/>
    <s v="Simuna kalmistu haldamine"/>
    <n v="2556.48"/>
    <m/>
    <n v="5511"/>
    <s v="Kinnistute, hoonete ja ruumide majandamiskulud"/>
    <n v="55"/>
    <s v="55"/>
    <s v="Muud tegevuskulud"/>
    <x v="0"/>
    <s v="Põhitegevuse kulu"/>
  </r>
  <r>
    <x v="5"/>
    <x v="19"/>
    <x v="19"/>
    <s v="Muu elamu- ja kommunaalmajanduse tegevus"/>
    <s v="Elamu- ja kommunaalmajandus"/>
    <s v="Viru-Jaagupi piirkonna juht"/>
    <s v="Heakorravahendid"/>
    <n v="500"/>
    <s v="kärud, rehad, kastekannud jms"/>
    <n v="5511"/>
    <s v="Kinnistute, hoonete ja ruumide majandamiskulud"/>
    <n v="55"/>
    <s v="55"/>
    <s v="Muud tegevuskulud"/>
    <x v="0"/>
    <s v="Põhitegevuse kulu"/>
  </r>
  <r>
    <x v="5"/>
    <x v="19"/>
    <x v="19"/>
    <s v="Muu elamu- ja kommunaalmajanduse tegevus"/>
    <s v="Elamu- ja kommunaalmajandus"/>
    <s v="Viru-Jaagupi piirkonna juht"/>
    <s v="Ohtlike puude langetus"/>
    <n v="6000"/>
    <s v="Tudu "/>
    <n v="5511"/>
    <s v="Kinnistute, hoonete ja ruumide majandamiskulud"/>
    <n v="55"/>
    <s v="55"/>
    <s v="Muud tegevuskulud"/>
    <x v="0"/>
    <s v="Põhitegevuse kulu"/>
  </r>
  <r>
    <x v="5"/>
    <x v="19"/>
    <x v="19"/>
    <s v="Muu elamu- ja kommunaalmajanduse tegevus"/>
    <s v="Elamu- ja kommunaalmajandus"/>
    <s v="Viru-Jaagupi piirkonna juht"/>
    <s v="Ohtlike puude langetus, pinnase tasandamine"/>
    <n v="6000"/>
    <s v="Viru-Jaagupi"/>
    <n v="5511"/>
    <s v="Kinnistute, hoonete ja ruumide majandamiskulud"/>
    <n v="55"/>
    <s v="55"/>
    <s v="Muud tegevuskulud"/>
    <x v="0"/>
    <s v="Põhitegevuse kulu"/>
  </r>
  <r>
    <x v="5"/>
    <x v="19"/>
    <x v="19"/>
    <s v="Muu elamu- ja kommunaalmajanduse tegevus"/>
    <s v="Elamu- ja kommunaalmajandus"/>
    <s v="Viru-Jaagupi piirkonna juht"/>
    <s v="Kütus seadmetele"/>
    <n v="500"/>
    <s v="traktor, trimmer, saag"/>
    <n v="5511"/>
    <s v="Kinnistute, hoonete ja ruumide majandamiskulud"/>
    <n v="55"/>
    <s v="55"/>
    <s v="Muud tegevuskulud"/>
    <x v="0"/>
    <s v="Põhitegevuse kulu"/>
  </r>
  <r>
    <x v="5"/>
    <x v="19"/>
    <x v="19"/>
    <s v="Muu elamu- ja kommunaalmajanduse tegevus"/>
    <s v="Elamu- ja kommunaalmajandus"/>
    <s v="Viru-Jaagupi piirkonna juht"/>
    <s v="Viru-Jaagupi kabeli põrand"/>
    <n v="2000"/>
    <m/>
    <n v="5511"/>
    <s v="Kinnistute, hoonete ja ruumide majandamiskulud"/>
    <n v="55"/>
    <s v="55"/>
    <s v="Muud tegevuskulud"/>
    <x v="0"/>
    <s v="Põhitegevuse kulu"/>
  </r>
  <r>
    <x v="5"/>
    <x v="19"/>
    <x v="19"/>
    <s v="Muu elamu- ja kommunaalmajanduse tegevus"/>
    <s v="Elamu- ja kommunaalmajandus"/>
    <s v="Viru-Jaagupi piirkonna juht"/>
    <s v="Viru-Jaagupi kalmistu kiviaed"/>
    <n v="10000"/>
    <m/>
    <n v="5512"/>
    <s v="Rajatiste majandamiskulud"/>
    <n v="55"/>
    <s v="55"/>
    <s v="Muud tegevuskulud"/>
    <x v="0"/>
    <s v="Põhitegevuse kulu"/>
  </r>
  <r>
    <x v="5"/>
    <x v="20"/>
    <x v="20"/>
    <s v="Muu elamu- ja kommunaalmajanduse tegevus"/>
    <s v="Elamu- ja kommunaalmajandus"/>
    <s v="Keskkonna- ja kommunaalnõunik"/>
    <s v="Varjupaikade MTÜ püsitasu kohalikelt + muuda tasud"/>
    <n v="9000"/>
    <m/>
    <n v="5511"/>
    <s v="Kinnistute, hoonete ja ruumide majandamiskulud"/>
    <n v="55"/>
    <s v="55"/>
    <s v="Muud tegevuskulud"/>
    <x v="0"/>
    <s v="Põhitegevuse kulu"/>
  </r>
  <r>
    <x v="5"/>
    <x v="20"/>
    <x v="20"/>
    <s v="Muu elamu- ja kommunaalmajanduse tegevus"/>
    <s v="Elamu- ja kommunaalmajandus"/>
    <s v="Keskkonna- ja kommunaalnõunik"/>
    <s v="muud hulkuvate loomadega seotud kulud"/>
    <n v="837.6"/>
    <m/>
    <n v="5511"/>
    <s v="Kinnistute, hoonete ja ruumide majandamiskulud"/>
    <n v="55"/>
    <s v="55"/>
    <s v="Muud tegevuskulud"/>
    <x v="0"/>
    <s v="Põhitegevuse kulu"/>
  </r>
  <r>
    <x v="5"/>
    <x v="20"/>
    <x v="20"/>
    <s v="Muu elamu- ja kommunaalmajanduse tegevus"/>
    <s v="Elamu- ja kommunaalmajandus"/>
    <s v="Keskkonna- ja kommunaalnõunik"/>
    <s v="Lemmikloomaregister SPIN TEK"/>
    <n v="662.40000000000009"/>
    <m/>
    <n v="5514"/>
    <s v="Info- ja kommunikatsioonitehnoliigised kulud"/>
    <n v="55"/>
    <s v="55"/>
    <s v="Muud tegevuskulud"/>
    <x v="0"/>
    <s v="Põhitegevuse kulu"/>
  </r>
  <r>
    <x v="6"/>
    <x v="21"/>
    <x v="21"/>
    <s v="Muu tervishoid, sh tervishoiu haldamine"/>
    <s v="Tervishoid"/>
    <s v="Finantsosakond"/>
    <s v="Rakvere Haigla MTÜ liikmemaks"/>
    <n v="2500"/>
    <m/>
    <n v="4528"/>
    <s v="Liikmemaksud"/>
    <n v="452"/>
    <s v="45"/>
    <s v="Antavad toetused tegevuskuludeks"/>
    <x v="1"/>
    <s v="Põhitegevuse kulu"/>
  </r>
  <r>
    <x v="6"/>
    <x v="21"/>
    <x v="21"/>
    <s v="Muu tervishoid, sh tervishoiu haldamine"/>
    <s v="Tervishoid"/>
    <s v="Sotsiaalosakond"/>
    <s v="Piret Mets Väike-Maarja TK (Laekvere) kohvimasin"/>
    <n v="600"/>
    <m/>
    <n v="5515"/>
    <s v="Inventari kulud, v.a infotehnoloogia ja kaitseotstarbelised kulud"/>
    <n v="55"/>
    <s v="55"/>
    <s v="Muud tegevuskulud"/>
    <x v="0"/>
    <s v="Põhitegevuse kulu"/>
  </r>
  <r>
    <x v="6"/>
    <x v="21"/>
    <x v="21"/>
    <s v="Muu tervishoid, sh tervishoiu haldamine"/>
    <s v="Tervishoid"/>
    <s v="Sotsiaalosakond"/>
    <s v="Piret Mets Väike-Maarja TK (Laekvere) Transpordikulu"/>
    <n v="2400"/>
    <m/>
    <n v="5540"/>
    <s v="Mitmesugused majanduskulud"/>
    <n v="55"/>
    <s v="55"/>
    <s v="Muud tegevuskulud"/>
    <x v="0"/>
    <s v="Põhitegevuse kulu"/>
  </r>
  <r>
    <x v="6"/>
    <x v="21"/>
    <x v="21"/>
    <s v="Muu tervishoid, sh tervishoiu haldamine"/>
    <s v="Tervishoid"/>
    <s v="Sotsiaalosakond"/>
    <s v="Vinni Tervisekeskusele helikindlad uksed"/>
    <n v="5000"/>
    <m/>
    <n v="5511"/>
    <s v="Kinnistute, hoonete ja ruumide majandamiskulud"/>
    <n v="55"/>
    <s v="55"/>
    <s v="Muud tegevuskulud"/>
    <x v="0"/>
    <s v="Põhitegevuse kulu"/>
  </r>
  <r>
    <x v="7"/>
    <x v="22"/>
    <x v="22"/>
    <s v="Sport"/>
    <s v="Vabaaeg, kultuur ja religioon"/>
    <s v="Vallavalitsus"/>
    <s v="Toetus tegevuskuludeks"/>
    <n v="120000"/>
    <s v="Vinni Spordikompl."/>
    <n v="45008"/>
    <s v="Sihtotstarbelised eraldised muudele residentidele"/>
    <n v="4500"/>
    <s v="45"/>
    <s v="Antavad toetused tegevuskuludeks"/>
    <x v="3"/>
    <s v="Põhitegevuse kulu"/>
  </r>
  <r>
    <x v="7"/>
    <x v="23"/>
    <x v="23"/>
    <s v="Sport"/>
    <s v="Vabaaeg, kultuur ja religioon"/>
    <s v="Muuga Spordihoone"/>
    <s v="bürootarbed"/>
    <n v="100"/>
    <m/>
    <n v="5500"/>
    <s v="Administreerimiskulud"/>
    <n v="55"/>
    <s v="55"/>
    <s v="Muud tegevuskulud"/>
    <x v="0"/>
    <s v="Põhitegevuse kulu"/>
  </r>
  <r>
    <x v="7"/>
    <x v="23"/>
    <x v="23"/>
    <s v="Sport"/>
    <s v="Vabaaeg, kultuur ja religioon"/>
    <s v="Muuga Spordihoone"/>
    <s v="tahmakasssetid, toonerid, tindikasseid"/>
    <n v="400"/>
    <m/>
    <n v="5500"/>
    <s v="Administreerimiskulud"/>
    <n v="55"/>
    <s v="55"/>
    <s v="Muud tegevuskulud"/>
    <x v="0"/>
    <s v="Põhitegevuse kulu"/>
  </r>
  <r>
    <x v="7"/>
    <x v="23"/>
    <x v="23"/>
    <s v="Sport"/>
    <s v="Vabaaeg, kultuur ja religioon"/>
    <s v="Muuga Spordihoone"/>
    <s v="Rent (Isikliku sõiduauto kulude hüvit.)"/>
    <n v="720"/>
    <m/>
    <n v="5513"/>
    <s v="Sõidukite ülalpidamise kulud"/>
    <n v="55"/>
    <s v="55"/>
    <s v="Muud tegevuskulud"/>
    <x v="0"/>
    <s v="Põhitegevuse kulu"/>
  </r>
  <r>
    <x v="7"/>
    <x v="23"/>
    <x v="23"/>
    <s v="Sport"/>
    <s v="Vabaaeg, kultuur ja religioon"/>
    <s v="Muuga Spordihoone"/>
    <s v="Telia internet, TV, lauatelefon"/>
    <n v="920"/>
    <m/>
    <n v="5500"/>
    <s v="Administreerimiskulud"/>
    <n v="55"/>
    <s v="55"/>
    <s v="Muud tegevuskulud"/>
    <x v="0"/>
    <s v="Põhitegevuse kulu"/>
  </r>
  <r>
    <x v="7"/>
    <x v="23"/>
    <x v="23"/>
    <s v="Sport"/>
    <s v="Vabaaeg, kultuur ja religioon"/>
    <s v="Muuga Spordihoone"/>
    <s v="Töötajate tervisekontroll, läbivaatus"/>
    <n v="50"/>
    <m/>
    <n v="5522"/>
    <s v="Meditsiinikulud ja hügieenitarbed"/>
    <n v="55"/>
    <s v="55"/>
    <s v="Muud tegevuskulud"/>
    <x v="0"/>
    <s v="Põhitegevuse kulu"/>
  </r>
  <r>
    <x v="7"/>
    <x v="23"/>
    <x v="23"/>
    <s v="Sport"/>
    <s v="Vabaaeg, kultuur ja religioon"/>
    <s v="Muuga Spordihoone"/>
    <s v="Ürituste korraldamise kulud"/>
    <n v="400"/>
    <m/>
    <n v="5525"/>
    <s v="Kommunikatsiooni-, kultuuri- ja vaba aja sisustamise kulud"/>
    <n v="55"/>
    <s v="55"/>
    <s v="Muud tegevuskulud"/>
    <x v="0"/>
    <s v="Põhitegevuse kulu"/>
  </r>
  <r>
    <x v="7"/>
    <x v="23"/>
    <x v="23"/>
    <s v="Sport"/>
    <s v="Vabaaeg, kultuur ja religioon"/>
    <s v="Muuga Spordihoone"/>
    <s v="osavõtutasud"/>
    <n v="200"/>
    <m/>
    <n v="5525"/>
    <s v="Kommunikatsiooni-, kultuuri- ja vaba aja sisustamise kulud"/>
    <n v="55"/>
    <s v="55"/>
    <s v="Muud tegevuskulud"/>
    <x v="0"/>
    <s v="Põhitegevuse kulu"/>
  </r>
  <r>
    <x v="7"/>
    <x v="23"/>
    <x v="23"/>
    <s v="Sport"/>
    <s v="Vabaaeg, kultuur ja religioon"/>
    <s v="Muuga Spordihoone"/>
    <s v="Spordiüritused"/>
    <n v="900"/>
    <m/>
    <n v="5525"/>
    <s v="Kommunikatsiooni-, kultuuri- ja vaba aja sisustamise kulud"/>
    <n v="55"/>
    <s v="55"/>
    <s v="Muud tegevuskulud"/>
    <x v="0"/>
    <s v="Põhitegevuse kulu"/>
  </r>
  <r>
    <x v="7"/>
    <x v="23"/>
    <x v="23"/>
    <s v="Sport"/>
    <s v="Vabaaeg, kultuur ja religioon"/>
    <s v="Muuga Spordihoone"/>
    <s v="Transpordi kasutus"/>
    <n v="400"/>
    <m/>
    <n v="5525"/>
    <s v="Kommunikatsiooni-, kultuuri- ja vaba aja sisustamise kulud"/>
    <n v="55"/>
    <s v="55"/>
    <s v="Muud tegevuskulud"/>
    <x v="0"/>
    <s v="Põhitegevuse kulu"/>
  </r>
  <r>
    <x v="7"/>
    <x v="23"/>
    <x v="23"/>
    <s v="Sport"/>
    <s v="Vabaaeg, kultuur ja religioon"/>
    <s v="Muuga Spordihoone"/>
    <s v="Elektri kulu"/>
    <n v="10000"/>
    <m/>
    <n v="5511"/>
    <s v="Kinnistute, hoonete ja ruumide majandamiskulud"/>
    <n v="55"/>
    <s v="55"/>
    <s v="Muud tegevuskulud"/>
    <x v="0"/>
    <s v="Põhitegevuse kulu"/>
  </r>
  <r>
    <x v="7"/>
    <x v="23"/>
    <x v="23"/>
    <s v="Sport"/>
    <s v="Vabaaeg, kultuur ja religioon"/>
    <s v="Muuga Spordihoone"/>
    <s v="elektrikäitlemislepingu kulu"/>
    <n v="460"/>
    <m/>
    <n v="5511"/>
    <s v="Kinnistute, hoonete ja ruumide majandamiskulud"/>
    <n v="55"/>
    <s v="55"/>
    <s v="Muud tegevuskulud"/>
    <x v="0"/>
    <s v="Põhitegevuse kulu"/>
  </r>
  <r>
    <x v="7"/>
    <x v="23"/>
    <x v="23"/>
    <s v="Sport"/>
    <s v="Vabaaeg, kultuur ja religioon"/>
    <s v="Muuga Spordihoone"/>
    <s v="korrashoiu- ja pisiremondi materjalid"/>
    <n v="700"/>
    <m/>
    <n v="5511"/>
    <s v="Kinnistute, hoonete ja ruumide majandamiskulud"/>
    <n v="55"/>
    <s v="55"/>
    <s v="Muud tegevuskulud"/>
    <x v="0"/>
    <s v="Põhitegevuse kulu"/>
  </r>
  <r>
    <x v="7"/>
    <x v="23"/>
    <x v="23"/>
    <s v="Sport"/>
    <s v="Vabaaeg, kultuur ja religioon"/>
    <s v="Muuga Spordihoone"/>
    <s v="korrashoiu- ja prügioveoteenused"/>
    <n v="210"/>
    <m/>
    <n v="5511"/>
    <s v="Kinnistute, hoonete ja ruumide majandamiskulud"/>
    <n v="55"/>
    <s v="55"/>
    <s v="Muud tegevuskulud"/>
    <x v="0"/>
    <s v="Põhitegevuse kulu"/>
  </r>
  <r>
    <x v="7"/>
    <x v="23"/>
    <x v="23"/>
    <s v="Sport"/>
    <s v="Vabaaeg, kultuur ja religioon"/>
    <s v="Muuga Spordihoone"/>
    <s v="Vesi- ja kanalisatsioon"/>
    <n v="520"/>
    <m/>
    <n v="5511"/>
    <s v="Kinnistute, hoonete ja ruumide majandamiskulud"/>
    <n v="55"/>
    <s v="55"/>
    <s v="Muud tegevuskulud"/>
    <x v="0"/>
    <s v="Põhitegevuse kulu"/>
  </r>
  <r>
    <x v="7"/>
    <x v="23"/>
    <x v="23"/>
    <s v="Sport"/>
    <s v="Vabaaeg, kultuur ja religioon"/>
    <s v="Muuga Spordihoone"/>
    <s v="remonttööd"/>
    <n v="738"/>
    <m/>
    <n v="5511"/>
    <s v="Kinnistute, hoonete ja ruumide majandamiskulud"/>
    <n v="55"/>
    <s v="55"/>
    <s v="Muud tegevuskulud"/>
    <x v="0"/>
    <s v="Põhitegevuse kulu"/>
  </r>
  <r>
    <x v="7"/>
    <x v="23"/>
    <x v="23"/>
    <s v="Sport"/>
    <s v="Vabaaeg, kultuur ja religioon"/>
    <s v="Muuga Spordihoone"/>
    <s v="ATS signalisatsioon"/>
    <n v="317"/>
    <m/>
    <n v="5511"/>
    <s v="Kinnistute, hoonete ja ruumide majandamiskulud"/>
    <n v="55"/>
    <s v="55"/>
    <s v="Muud tegevuskulud"/>
    <x v="0"/>
    <s v="Põhitegevuse kulu"/>
  </r>
  <r>
    <x v="7"/>
    <x v="23"/>
    <x v="23"/>
    <s v="Sport"/>
    <s v="Vabaaeg, kultuur ja religioon"/>
    <s v="Muuga Spordihoone"/>
    <s v="istikud"/>
    <n v="26.4"/>
    <m/>
    <n v="5511"/>
    <s v="Kinnistute, hoonete ja ruumide majandamiskulud"/>
    <n v="55"/>
    <s v="55"/>
    <s v="Muud tegevuskulud"/>
    <x v="0"/>
    <s v="Põhitegevuse kulu"/>
  </r>
  <r>
    <x v="7"/>
    <x v="23"/>
    <x v="23"/>
    <s v="Sport"/>
    <s v="Vabaaeg, kultuur ja religioon"/>
    <s v="Muuga Spordihoone"/>
    <s v="Lipud,vimplid, sümboolika"/>
    <n v="150"/>
    <m/>
    <n v="5511"/>
    <s v="Kinnistute, hoonete ja ruumide majandamiskulud"/>
    <n v="55"/>
    <s v="55"/>
    <s v="Muud tegevuskulud"/>
    <x v="0"/>
    <s v="Põhitegevuse kulu"/>
  </r>
  <r>
    <x v="7"/>
    <x v="23"/>
    <x v="23"/>
    <s v="Sport"/>
    <s v="Vabaaeg, kultuur ja religioon"/>
    <s v="Muuga Spordihoone"/>
    <s v="infotehnoloogiline riist-ja tarkvara"/>
    <n v="300"/>
    <m/>
    <n v="5514"/>
    <s v="Info- ja kommunikatsioonitehnoliigised kulud"/>
    <n v="55"/>
    <s v="55"/>
    <s v="Muud tegevuskulud"/>
    <x v="0"/>
    <s v="Põhitegevuse kulu"/>
  </r>
  <r>
    <x v="7"/>
    <x v="24"/>
    <x v="24"/>
    <s v="Sport"/>
    <s v="Vabaaeg, kultuur ja religioon"/>
    <s v="Arendusnõunik"/>
    <s v="sisseostetud teenus (kevad- ja järelhooldus)"/>
    <n v="3000"/>
    <m/>
    <n v="5511"/>
    <s v="Kinnistute, hoonete ja ruumide majandamiskulud"/>
    <n v="55"/>
    <s v="55"/>
    <s v="Muud tegevuskulud"/>
    <x v="0"/>
    <s v="Põhitegevuse kulu"/>
  </r>
  <r>
    <x v="7"/>
    <x v="24"/>
    <x v="24"/>
    <s v="Sport"/>
    <s v="Vabaaeg, kultuur ja religioon"/>
    <s v="Arendusnõunik"/>
    <s v="väetis"/>
    <n v="1500"/>
    <m/>
    <n v="5511"/>
    <s v="Kinnistute, hoonete ja ruumide majandamiskulud"/>
    <n v="55"/>
    <s v="55"/>
    <s v="Muud tegevuskulud"/>
    <x v="0"/>
    <s v="Põhitegevuse kulu"/>
  </r>
  <r>
    <x v="7"/>
    <x v="24"/>
    <x v="24"/>
    <s v="Sport"/>
    <s v="Vabaaeg, kultuur ja religioon"/>
    <s v="Arendusnõunik"/>
    <s v="kütus"/>
    <n v="300"/>
    <m/>
    <n v="5511"/>
    <s v="Kinnistute, hoonete ja ruumide majandamiskulud"/>
    <n v="55"/>
    <s v="55"/>
    <s v="Muud tegevuskulud"/>
    <x v="0"/>
    <s v="Põhitegevuse kulu"/>
  </r>
  <r>
    <x v="7"/>
    <x v="24"/>
    <x v="24"/>
    <s v="Sport"/>
    <s v="Vabaaeg, kultuur ja religioon"/>
    <s v="Arendusnõunik"/>
    <s v="töövahendid, remont"/>
    <n v="785"/>
    <m/>
    <n v="5511"/>
    <s v="Kinnistute, hoonete ja ruumide majandamiskulud"/>
    <n v="55"/>
    <s v="55"/>
    <s v="Muud tegevuskulud"/>
    <x v="0"/>
    <s v="Põhitegevuse kulu"/>
  </r>
  <r>
    <x v="7"/>
    <x v="24"/>
    <x v="24"/>
    <s v="Sport"/>
    <s v="Vabaaeg, kultuur ja religioon"/>
    <s v="Arendusnõunik"/>
    <s v="side (Telia)"/>
    <n v="15"/>
    <m/>
    <n v="5511"/>
    <s v="Kinnistute, hoonete ja ruumide majandamiskulud"/>
    <n v="55"/>
    <s v="55"/>
    <s v="Muud tegevuskulud"/>
    <x v="0"/>
    <s v="Põhitegevuse kulu"/>
  </r>
  <r>
    <x v="7"/>
    <x v="25"/>
    <x v="25"/>
    <s v="Sport"/>
    <s v="Vabaaeg, kultuur ja religioon"/>
    <s v="Noorsoo- ja spordinõunik"/>
    <s v="Toetused sportlastele, spordiüritused, kaasfinantseeringud, valla parimate sportlaste tunnustamine. (jooksvalt 2020)"/>
    <n v="8000"/>
    <m/>
    <n v="4500"/>
    <s v="Sihtotstarbelised eraldised jooksvateks kuludeks"/>
    <n v="4500"/>
    <s v="45"/>
    <s v="Antavad toetused tegevuskuludeks"/>
    <x v="3"/>
    <s v="Põhitegevuse kulu"/>
  </r>
  <r>
    <x v="7"/>
    <x v="26"/>
    <x v="26"/>
    <s v="Sport"/>
    <s v="Vabaaeg, kultuur ja religioon"/>
    <s v="Noorsoo- ja spordinõunik"/>
    <s v="Valla koolide ja lasteaedade  2020 aasta suusatamise-ja kergejõustikuvõistlused, spordipäevad."/>
    <n v="800"/>
    <m/>
    <n v="5540"/>
    <s v="Mitmesugused majanduskulud"/>
    <n v="55"/>
    <s v="55"/>
    <s v="Muud tegevuskulud"/>
    <x v="0"/>
    <s v="Põhitegevuse kulu"/>
  </r>
  <r>
    <x v="7"/>
    <x v="26"/>
    <x v="26"/>
    <s v="Sport"/>
    <s v="Vabaaeg, kultuur ja religioon"/>
    <s v="Noorsoo- ja spordinõunik"/>
    <s v="Valla päevadel spordivõistluste korraldamine"/>
    <n v="1000"/>
    <m/>
    <n v="5540"/>
    <s v="Mitmesugused majanduskulud"/>
    <n v="55"/>
    <s v="55"/>
    <s v="Muud tegevuskulud"/>
    <x v="0"/>
    <s v="Põhitegevuse kulu"/>
  </r>
  <r>
    <x v="7"/>
    <x v="26"/>
    <x v="26"/>
    <s v="Sport"/>
    <s v="Vabaaeg, kultuur ja religioon"/>
    <s v="Noorsoo- ja spordinõunik"/>
    <s v="Eesti 2020 aasta omavalitsuste tali-ja suvemängudel osalemine "/>
    <n v="4000"/>
    <m/>
    <n v="5540"/>
    <s v="Mitmesugused majanduskulud"/>
    <n v="55"/>
    <s v="55"/>
    <s v="Muud tegevuskulud"/>
    <x v="0"/>
    <s v="Põhitegevuse kulu"/>
  </r>
  <r>
    <x v="7"/>
    <x v="27"/>
    <x v="27"/>
    <s v="Sport"/>
    <s v="Vabaaeg, kultuur ja religioon"/>
    <s v="Noorsoo- ja spordinõunik"/>
    <s v="Vinni Spordikompleksis elanike tervise ja spordivõimaluste tagamine (lasteaiad, koolid jne.)"/>
    <n v="20000"/>
    <m/>
    <n v="5540"/>
    <s v="Mitmesugused majanduskulud"/>
    <n v="55"/>
    <s v="55"/>
    <s v="Muud tegevuskulud"/>
    <x v="0"/>
    <s v="Põhitegevuse kulu"/>
  </r>
  <r>
    <x v="7"/>
    <x v="27"/>
    <x v="27"/>
    <s v="Sport"/>
    <s v="Vabaaeg, kultuur ja religioon"/>
    <s v="Noorsoo- ja spordinõunik"/>
    <s v="Vinni Spordikompleksis elanike tervise ja spordivõimaluste tagamine (elanikkond)"/>
    <n v="29000"/>
    <m/>
    <n v="5540"/>
    <s v="Mitmesugused majanduskulud"/>
    <n v="55"/>
    <s v="55"/>
    <s v="Muud tegevuskulud"/>
    <x v="0"/>
    <s v="Põhitegevuse kulu"/>
  </r>
  <r>
    <x v="7"/>
    <x v="28"/>
    <x v="28"/>
    <s v="Sport"/>
    <s v="Vabaaeg, kultuur ja religioon"/>
    <s v="Noorsoo- ja spordinõunik"/>
    <s v="Spordiseltside, klubide, mtü-de, andekate sportlaste ja spordiürituste korraldamise toetused"/>
    <n v="26350"/>
    <m/>
    <n v="4500"/>
    <s v="Sihtotstarbelised eraldised jooksvateks kuludeks"/>
    <n v="4500"/>
    <s v="45"/>
    <s v="Antavad toetused tegevuskuludeks"/>
    <x v="3"/>
    <s v="Põhitegevuse kulu"/>
  </r>
  <r>
    <x v="7"/>
    <x v="29"/>
    <x v="29"/>
    <s v="Noorsootöö ja noortekeskused"/>
    <s v="Vabaaeg, kultuur ja religioon"/>
    <s v="Noorsoo- ja spordinõunik"/>
    <s v="Noorte volikogu töö korraldamine, arendamine            "/>
    <n v="2000"/>
    <m/>
    <n v="5540"/>
    <s v="Mitmesugused majanduskulud"/>
    <n v="55"/>
    <s v="55"/>
    <s v="Muud tegevuskulud"/>
    <x v="0"/>
    <s v="Põhitegevuse kulu"/>
  </r>
  <r>
    <x v="7"/>
    <x v="29"/>
    <x v="29"/>
    <s v="Noorsootöö ja noortekeskused"/>
    <s v="Vabaaeg, kultuur ja religioon"/>
    <s v="Noorsoo- ja spordinõunik"/>
    <s v="Isikliku sõiduauto komp."/>
    <n v="4020"/>
    <m/>
    <n v="5513"/>
    <s v="Sõidukite ülalpidamise kulud"/>
    <n v="55"/>
    <s v="55"/>
    <s v="Muud tegevuskulud"/>
    <x v="0"/>
    <s v="Põhitegevuse kulu"/>
  </r>
  <r>
    <x v="7"/>
    <x v="29"/>
    <x v="29"/>
    <s v="Noorsootöö ja noortekeskused"/>
    <s v="Vabaaeg, kultuur ja religioon"/>
    <s v="Noorsoo- ja spordinõunik"/>
    <s v="Sideteenused"/>
    <n v="135"/>
    <m/>
    <n v="5500"/>
    <s v="Administreerimiskulud"/>
    <n v="55"/>
    <s v="55"/>
    <s v="Muud tegevuskulud"/>
    <x v="0"/>
    <s v="Põhitegevuse kulu"/>
  </r>
  <r>
    <x v="7"/>
    <x v="29"/>
    <x v="29"/>
    <s v="Noorsootöö ja noortekeskused"/>
    <s v="Vabaaeg, kultuur ja religioon"/>
    <s v="Noorsoo- ja spordinõunik"/>
    <s v="Seminaridel osalemine"/>
    <n v="150"/>
    <m/>
    <n v="5504"/>
    <s v="Koolituskulud"/>
    <n v="55"/>
    <s v="55"/>
    <s v="Muud tegevuskulud"/>
    <x v="0"/>
    <s v="Põhitegevuse kulu"/>
  </r>
  <r>
    <x v="7"/>
    <x v="29"/>
    <x v="29"/>
    <s v="Noorsootöö ja noortekeskused"/>
    <s v="Vabaaeg, kultuur ja religioon"/>
    <s v="Noorsoo- ja spordinõunik"/>
    <s v="Lauatennise laud Tudu kooli"/>
    <n v="700"/>
    <s v="esialgu taotles vahendeid selle soetuseks Tudu Hariduse ja Spordiselts MTÜ"/>
    <n v="5515"/>
    <s v="Inventari kulud, v.a infotehnoloogia ja kaitseotstarbelised kulud"/>
    <n v="55"/>
    <s v="55"/>
    <s v="Muud tegevuskulud"/>
    <x v="0"/>
    <s v="Põhitegevuse kulu"/>
  </r>
  <r>
    <x v="7"/>
    <x v="30"/>
    <x v="30"/>
    <s v="Noorsootöö ja noortekeskused"/>
    <s v="Vabaaeg, kultuur ja religioon"/>
    <s v="Noorsoo- ja spordinõunik"/>
    <s v="Noorsoo projektide kaasfinantseerimised"/>
    <n v="4000"/>
    <m/>
    <n v="4500"/>
    <s v="Sihtotstarbelised eraldised jooksvateks kuludeks"/>
    <n v="4500"/>
    <s v="45"/>
    <s v="Antavad toetused tegevuskuludeks"/>
    <x v="3"/>
    <s v="Põhitegevuse kulu"/>
  </r>
  <r>
    <x v="7"/>
    <x v="31"/>
    <x v="31"/>
    <s v="Noorsootöö ja noortekeskused"/>
    <s v="Vabaaeg, kultuur ja religioon"/>
    <s v="Noorsoo- ja spordinõunik"/>
    <s v="Laste töö- ja puhkelaagri toitlustuskulud"/>
    <n v="1500"/>
    <m/>
    <n v="5521"/>
    <s v="Toiduained ja toitlustusteenused"/>
    <n v="55"/>
    <s v="55"/>
    <s v="Muud tegevuskulud"/>
    <x v="0"/>
    <s v="Põhitegevuse kulu"/>
  </r>
  <r>
    <x v="7"/>
    <x v="31"/>
    <x v="31"/>
    <s v="Noorsootöö ja noortekeskused"/>
    <s v="Vabaaeg, kultuur ja religioon"/>
    <s v="Noorsoo- ja spordinõunik"/>
    <s v="Laste töö- ja puhkelaagri elektrikulud"/>
    <n v="700"/>
    <m/>
    <n v="5511"/>
    <s v="Kinnistute, hoonete ja ruumide majandamiskulud"/>
    <n v="55"/>
    <s v="55"/>
    <s v="Muud tegevuskulud"/>
    <x v="0"/>
    <s v="Põhitegevuse kulu"/>
  </r>
  <r>
    <x v="7"/>
    <x v="32"/>
    <x v="32"/>
    <s v="Noorsootöö ja noortekeskused"/>
    <s v="Vabaaeg, kultuur ja religioon"/>
    <s v="Noorsoo- ja spordinõunik"/>
    <s v="Vinni Valla Noored MTÜ"/>
    <n v="87252"/>
    <m/>
    <n v="4500"/>
    <s v="Sihtotstarbelised eraldised jooksvateks kuludeks"/>
    <n v="4500"/>
    <s v="45"/>
    <s v="Antavad toetused tegevuskuludeks"/>
    <x v="3"/>
    <s v="Põhitegevuse kulu"/>
  </r>
  <r>
    <x v="7"/>
    <x v="33"/>
    <x v="33"/>
    <s v="Vaba aja üritused"/>
    <s v="Vabaaeg, kultuur ja religioon"/>
    <s v="Vallavanem"/>
    <s v="Vinni Vald 30"/>
    <n v="21000"/>
    <m/>
    <n v="5525"/>
    <s v="Kommunikatsiooni-, kultuuri- ja vaba aja sisustamise kulud"/>
    <n v="55"/>
    <s v="55"/>
    <s v="Muud tegevuskulud"/>
    <x v="0"/>
    <s v="Põhitegevuse kulu"/>
  </r>
  <r>
    <x v="7"/>
    <x v="33"/>
    <x v="33"/>
    <s v="Vaba aja üritused"/>
    <s v="Vabaaeg, kultuur ja religioon"/>
    <s v="Vallavanem"/>
    <s v="Vabariigi aastapäev"/>
    <n v="5000"/>
    <m/>
    <n v="5525"/>
    <s v="Kommunikatsiooni-, kultuuri- ja vaba aja sisustamise kulud"/>
    <n v="55"/>
    <s v="55"/>
    <s v="Muud tegevuskulud"/>
    <x v="0"/>
    <s v="Põhitegevuse kulu"/>
  </r>
  <r>
    <x v="7"/>
    <x v="33"/>
    <x v="33"/>
    <s v="Vaba aja üritused"/>
    <s v="Vabaaeg, kultuur ja religioon"/>
    <s v="Pajusti klubi"/>
    <s v="Vinni Filharmoonikud, advendikingitus"/>
    <n v="4500"/>
    <m/>
    <n v="5525"/>
    <s v="Kommunikatsiooni-, kultuuri- ja vaba aja sisustamise kulud"/>
    <n v="55"/>
    <s v="55"/>
    <s v="Muud tegevuskulud"/>
    <x v="0"/>
    <s v="Põhitegevuse kulu"/>
  </r>
  <r>
    <x v="7"/>
    <x v="33"/>
    <x v="33"/>
    <s v="Vaba aja üritused"/>
    <s v="Vabaaeg, kultuur ja religioon"/>
    <s v="Vallavanem"/>
    <s v="Töötajate juubelid"/>
    <n v="1500"/>
    <m/>
    <n v="5525"/>
    <s v="Kommunikatsiooni-, kultuuri- ja vaba aja sisustamise kulud"/>
    <n v="55"/>
    <s v="55"/>
    <s v="Muud tegevuskulud"/>
    <x v="0"/>
    <s v="Põhitegevuse kulu"/>
  </r>
  <r>
    <x v="7"/>
    <x v="34"/>
    <x v="34"/>
    <s v="Vaba aja üritused"/>
    <s v="Vabaaeg, kultuur ja religioon"/>
    <s v="Kultuurinõunik"/>
    <s v="Kultuuri MTÜ-de toetused"/>
    <n v="12360"/>
    <m/>
    <n v="45008"/>
    <s v="Sihtotstarbelised eraldised muudele residentidele"/>
    <n v="4500"/>
    <s v="45"/>
    <s v="Antavad toetused tegevuskuludeks"/>
    <x v="3"/>
    <s v="Põhitegevuse kulu"/>
  </r>
  <r>
    <x v="7"/>
    <x v="34"/>
    <x v="34"/>
    <s v="Vaba aja üritused"/>
    <s v="Vabaaeg, kultuur ja religioon"/>
    <s v="Kultuurinõunik"/>
    <s v="Kultuuri MTÜ-de toetuste reserv"/>
    <n v="1250"/>
    <s v="10% kultuuri MTÜ-de kogumahust"/>
    <n v="45008"/>
    <s v="Sihtotstarbelised eraldised muudele residentidele"/>
    <n v="4500"/>
    <s v="45"/>
    <s v="Antavad toetused tegevuskuludeks"/>
    <x v="3"/>
    <s v="Põhitegevuse kulu"/>
  </r>
  <r>
    <x v="7"/>
    <x v="35"/>
    <x v="35"/>
    <s v="Vaba aja üritused"/>
    <s v="Vabaaeg, kultuur ja religioon"/>
    <s v="Ehitusnõunik"/>
    <s v="Muud kulud"/>
    <n v="1500"/>
    <m/>
    <n v="5511"/>
    <s v="Kinnistute, hoonete ja ruumide majandamiskulud"/>
    <n v="55"/>
    <s v="55"/>
    <s v="Muud tegevuskulud"/>
    <x v="0"/>
    <s v="Põhitegevuse kulu"/>
  </r>
  <r>
    <x v="7"/>
    <x v="35"/>
    <x v="35"/>
    <s v="Vaba aja üritused"/>
    <s v="Vabaaeg, kultuur ja religioon"/>
    <s v="Ehitusnõunik"/>
    <s v="Elekter"/>
    <n v="3000"/>
    <m/>
    <n v="5512"/>
    <s v="Rajatiste majandamiskulud"/>
    <n v="55"/>
    <s v="55"/>
    <s v="Muud tegevuskulud"/>
    <x v="0"/>
    <s v="Põhitegevuse kulu"/>
  </r>
  <r>
    <x v="7"/>
    <x v="36"/>
    <x v="36"/>
    <s v="Vaba aja üritused"/>
    <s v="Vabaaeg, kultuur ja religioon"/>
    <s v="Pajusti klubi"/>
    <s v="Vilde kirjanduspreemia"/>
    <n v="1000"/>
    <m/>
    <n v="45008"/>
    <s v="Sihtotstarbelised eraldised muudele residentidele"/>
    <n v="4500"/>
    <s v="45"/>
    <s v="Antavad toetused tegevuskuludeks"/>
    <x v="3"/>
    <s v="Põhitegevuse kulu"/>
  </r>
  <r>
    <x v="7"/>
    <x v="36"/>
    <x v="36"/>
    <s v="Vaba aja üritused"/>
    <s v="Vabaaeg, kultuur ja religioon"/>
    <s v="Pajusti klubi"/>
    <s v="Raamatud, lilled, külaliste vastuvõtt jms"/>
    <n v="1000"/>
    <m/>
    <n v="5500"/>
    <s v="Administreerimiskulud"/>
    <n v="55"/>
    <s v="55"/>
    <s v="Muud tegevuskulud"/>
    <x v="0"/>
    <s v="Põhitegevuse kulu"/>
  </r>
  <r>
    <x v="7"/>
    <x v="37"/>
    <x v="37"/>
    <s v="Vaba aja üritused"/>
    <s v="Vabaaeg, kultuur ja religioon"/>
    <s v="Kultuurinõunik"/>
    <s v="Kultuuri projektide kaasfinantseerimised 2020.a"/>
    <n v="8000"/>
    <m/>
    <n v="45008"/>
    <s v="Sihtotstarbelised eraldised muudele residentidele"/>
    <n v="4500"/>
    <s v="45"/>
    <s v="Antavad toetused tegevuskuludeks"/>
    <x v="3"/>
    <s v="Põhitegevuse kulu"/>
  </r>
  <r>
    <x v="7"/>
    <x v="38"/>
    <x v="38"/>
    <s v="Raamatukogud"/>
    <s v="Vabaaeg, kultuur ja religioon"/>
    <s v="Vinni-Pajusti raamatukogu"/>
    <s v="Soojus"/>
    <n v="9000"/>
    <m/>
    <n v="5511"/>
    <s v="Kinnistute, hoonete ja ruumide majandamiskulud"/>
    <n v="55"/>
    <s v="55"/>
    <s v="Muud tegevuskulud"/>
    <x v="0"/>
    <s v="Põhitegevuse kulu"/>
  </r>
  <r>
    <x v="7"/>
    <x v="38"/>
    <x v="38"/>
    <s v="Raamatukogud"/>
    <s v="Vabaaeg, kultuur ja religioon"/>
    <s v="Vinni-Pajusti raamatukogu"/>
    <s v="Elekter"/>
    <n v="2000"/>
    <m/>
    <n v="5511"/>
    <s v="Kinnistute, hoonete ja ruumide majandamiskulud"/>
    <n v="55"/>
    <s v="55"/>
    <s v="Muud tegevuskulud"/>
    <x v="0"/>
    <s v="Põhitegevuse kulu"/>
  </r>
  <r>
    <x v="7"/>
    <x v="38"/>
    <x v="38"/>
    <s v="Raamatukogud"/>
    <s v="Vabaaeg, kultuur ja religioon"/>
    <s v="Vinni-Pajusti raamatukogu"/>
    <s v="Vesi"/>
    <n v="120"/>
    <m/>
    <n v="5511"/>
    <s v="Kinnistute, hoonete ja ruumide majandamiskulud"/>
    <n v="55"/>
    <s v="55"/>
    <s v="Muud tegevuskulud"/>
    <x v="0"/>
    <s v="Põhitegevuse kulu"/>
  </r>
  <r>
    <x v="7"/>
    <x v="38"/>
    <x v="38"/>
    <s v="Raamatukogud"/>
    <s v="Vabaaeg, kultuur ja religioon"/>
    <s v="Vinni-Pajusti raamatukogu"/>
    <s v="Hooldusvahendid, tualettpaber"/>
    <n v="200"/>
    <m/>
    <n v="5511"/>
    <s v="Kinnistute, hoonete ja ruumide majandamiskulud"/>
    <n v="55"/>
    <s v="55"/>
    <s v="Muud tegevuskulud"/>
    <x v="0"/>
    <s v="Põhitegevuse kulu"/>
  </r>
  <r>
    <x v="7"/>
    <x v="38"/>
    <x v="38"/>
    <s v="Raamatukogud"/>
    <s v="Vabaaeg, kultuur ja religioon"/>
    <s v="Vinni-Pajusti raamatukogu"/>
    <s v="Prügi"/>
    <n v="100"/>
    <s v="200l -rk oma, õues 600l -küla oma, meie eelarves"/>
    <n v="5511"/>
    <s v="Kinnistute, hoonete ja ruumide majandamiskulud"/>
    <n v="55"/>
    <s v="55"/>
    <s v="Muud tegevuskulud"/>
    <x v="0"/>
    <s v="Põhitegevuse kulu"/>
  </r>
  <r>
    <x v="7"/>
    <x v="38"/>
    <x v="38"/>
    <s v="Raamatukogud"/>
    <s v="Vabaaeg, kultuur ja religioon"/>
    <s v="Vinni-Pajusti raamatukogu"/>
    <s v="Vaip"/>
    <n v="100"/>
    <m/>
    <n v="5511"/>
    <s v="Kinnistute, hoonete ja ruumide majandamiskulud"/>
    <n v="55"/>
    <s v="55"/>
    <s v="Muud tegevuskulud"/>
    <x v="0"/>
    <s v="Põhitegevuse kulu"/>
  </r>
  <r>
    <x v="7"/>
    <x v="38"/>
    <x v="38"/>
    <s v="Raamatukogud"/>
    <s v="Vabaaeg, kultuur ja religioon"/>
    <s v="Vinni-Pajusti raamatukogu"/>
    <s v="Paber"/>
    <n v="100"/>
    <m/>
    <n v="5500"/>
    <s v="Administreerimiskulud"/>
    <n v="55"/>
    <s v="55"/>
    <s v="Muud tegevuskulud"/>
    <x v="0"/>
    <s v="Põhitegevuse kulu"/>
  </r>
  <r>
    <x v="7"/>
    <x v="38"/>
    <x v="38"/>
    <s v="Raamatukogud"/>
    <s v="Vabaaeg, kultuur ja religioon"/>
    <s v="Vinni-Pajusti raamatukogu"/>
    <s v="Raamatukile"/>
    <n v="190"/>
    <m/>
    <n v="5500"/>
    <s v="Administreerimiskulud"/>
    <n v="55"/>
    <s v="55"/>
    <s v="Muud tegevuskulud"/>
    <x v="0"/>
    <s v="Põhitegevuse kulu"/>
  </r>
  <r>
    <x v="7"/>
    <x v="38"/>
    <x v="38"/>
    <s v="Raamatukogud"/>
    <s v="Vabaaeg, kultuur ja religioon"/>
    <s v="Vinni-Pajusti raamatukogu"/>
    <s v="Raamatuetiketid"/>
    <n v="120"/>
    <m/>
    <n v="5500"/>
    <s v="Administreerimiskulud"/>
    <n v="55"/>
    <s v="55"/>
    <s v="Muud tegevuskulud"/>
    <x v="0"/>
    <s v="Põhitegevuse kulu"/>
  </r>
  <r>
    <x v="7"/>
    <x v="38"/>
    <x v="38"/>
    <s v="Raamatukogud"/>
    <s v="Vabaaeg, kultuur ja religioon"/>
    <s v="Vinni-Pajusti raamatukogu"/>
    <s v="Perioodika"/>
    <n v="2000"/>
    <m/>
    <n v="5500"/>
    <s v="Administreerimiskulud"/>
    <n v="55"/>
    <s v="55"/>
    <s v="Muud tegevuskulud"/>
    <x v="0"/>
    <s v="Põhitegevuse kulu"/>
  </r>
  <r>
    <x v="7"/>
    <x v="38"/>
    <x v="38"/>
    <s v="Raamatukogud"/>
    <s v="Vabaaeg, kultuur ja religioon"/>
    <s v="Vinni-Pajusti raamatukogu"/>
    <s v="Tooner"/>
    <n v="150"/>
    <m/>
    <n v="5500"/>
    <s v="Administreerimiskulud"/>
    <n v="55"/>
    <s v="55"/>
    <s v="Muud tegevuskulud"/>
    <x v="0"/>
    <s v="Põhitegevuse kulu"/>
  </r>
  <r>
    <x v="7"/>
    <x v="38"/>
    <x v="38"/>
    <s v="Raamatukogud"/>
    <s v="Vabaaeg, kultuur ja religioon"/>
    <s v="Vinni-Pajusti raamatukogu"/>
    <s v="Telefon+internet"/>
    <n v="800"/>
    <m/>
    <n v="5500"/>
    <s v="Administreerimiskulud"/>
    <n v="55"/>
    <s v="55"/>
    <s v="Muud tegevuskulud"/>
    <x v="0"/>
    <s v="Põhitegevuse kulu"/>
  </r>
  <r>
    <x v="7"/>
    <x v="38"/>
    <x v="38"/>
    <s v="Raamatukogud"/>
    <s v="Vabaaeg, kultuur ja religioon"/>
    <s v="Vinni-Pajusti raamatukogu"/>
    <s v="Markerid, pastakad, kleepsud, märkmepaber jmt"/>
    <n v="100"/>
    <m/>
    <n v="5500"/>
    <s v="Administreerimiskulud"/>
    <n v="55"/>
    <s v="55"/>
    <s v="Muud tegevuskulud"/>
    <x v="0"/>
    <s v="Põhitegevuse kulu"/>
  </r>
  <r>
    <x v="7"/>
    <x v="38"/>
    <x v="38"/>
    <s v="Raamatukogud"/>
    <s v="Vabaaeg, kultuur ja religioon"/>
    <s v="Vinni-Pajusti raamatukogu"/>
    <s v="Koolituskulud"/>
    <n v="500"/>
    <s v="Muud koolitused (sh Lääne-Virumaa KRK korraldatud)"/>
    <n v="5504"/>
    <s v="Koolituskulud"/>
    <n v="55"/>
    <s v="55"/>
    <s v="Muud tegevuskulud"/>
    <x v="0"/>
    <s v="Põhitegevuse kulu"/>
  </r>
  <r>
    <x v="7"/>
    <x v="38"/>
    <x v="38"/>
    <s v="Raamatukogud"/>
    <s v="Vabaaeg, kultuur ja religioon"/>
    <s v="Vinni-Pajusti raamatukogu"/>
    <s v="Lähetuskulud"/>
    <n v="100"/>
    <s v="Laager Saaremaal; õppereis Soome Oodi raamatukokku"/>
    <n v="5504"/>
    <s v="Koolituskulud"/>
    <n v="55"/>
    <s v="55"/>
    <s v="Muud tegevuskulud"/>
    <x v="0"/>
    <s v="Põhitegevuse kulu"/>
  </r>
  <r>
    <x v="7"/>
    <x v="38"/>
    <x v="38"/>
    <s v="Raamatukogud"/>
    <s v="Vabaaeg, kultuur ja religioon"/>
    <s v="Vinni-Pajusti raamatukogu"/>
    <s v="Tulekahju signalisatsiooni hooldus"/>
    <n v="450"/>
    <m/>
    <n v="5511"/>
    <s v="Kinnistute, hoonete ja ruumide majandamiskulud"/>
    <n v="55"/>
    <s v="55"/>
    <s v="Muud tegevuskulud"/>
    <x v="0"/>
    <s v="Põhitegevuse kulu"/>
  </r>
  <r>
    <x v="7"/>
    <x v="38"/>
    <x v="38"/>
    <s v="Raamatukogud"/>
    <s v="Vabaaeg, kultuur ja religioon"/>
    <s v="Vinni-Pajusti raamatukogu"/>
    <s v="Kindlustus"/>
    <n v="125"/>
    <m/>
    <n v="5511"/>
    <s v="Kinnistute, hoonete ja ruumide majandamiskulud"/>
    <n v="55"/>
    <s v="55"/>
    <s v="Muud tegevuskulud"/>
    <x v="0"/>
    <s v="Põhitegevuse kulu"/>
  </r>
  <r>
    <x v="7"/>
    <x v="38"/>
    <x v="38"/>
    <s v="Raamatukogud"/>
    <s v="Vabaaeg, kultuur ja religioon"/>
    <s v="Vinni-Pajusti raamatukogu"/>
    <s v="Valgustus, lampide vahetus"/>
    <n v="200"/>
    <m/>
    <n v="5511"/>
    <s v="Kinnistute, hoonete ja ruumide majandamiskulud"/>
    <n v="55"/>
    <s v="55"/>
    <s v="Muud tegevuskulud"/>
    <x v="0"/>
    <s v="Põhitegevuse kulu"/>
  </r>
  <r>
    <x v="7"/>
    <x v="38"/>
    <x v="38"/>
    <s v="Raamatukogud"/>
    <s v="Vabaaeg, kultuur ja religioon"/>
    <s v="Vinni-Pajusti raamatukogu"/>
    <s v="Autohüvitis "/>
    <n v="400"/>
    <s v="Kadilas laenutamine iga nädal 1x + linnast raamatute toomine, majandustarvikute toomine"/>
    <n v="5513"/>
    <s v="Sõidukite ülalpidamise kulud"/>
    <n v="55"/>
    <s v="55"/>
    <s v="Muud tegevuskulud"/>
    <x v="0"/>
    <s v="Põhitegevuse kulu"/>
  </r>
  <r>
    <x v="7"/>
    <x v="38"/>
    <x v="38"/>
    <s v="Raamatukogud"/>
    <s v="Vabaaeg, kultuur ja religioon"/>
    <s v="Vinni-Pajusti raamatukogu"/>
    <s v="Töötervishoid"/>
    <n v="200"/>
    <m/>
    <n v="5522"/>
    <s v="Meditsiinikulud ja hügieenitarbed"/>
    <n v="55"/>
    <s v="55"/>
    <s v="Muud tegevuskulud"/>
    <x v="0"/>
    <s v="Põhitegevuse kulu"/>
  </r>
  <r>
    <x v="7"/>
    <x v="38"/>
    <x v="38"/>
    <s v="Raamatukogud"/>
    <s v="Vabaaeg, kultuur ja religioon"/>
    <s v="Vinni-Pajusti raamatukogu"/>
    <s v="Raamatud"/>
    <n v="7200"/>
    <m/>
    <n v="5523"/>
    <s v="Teavikud ja kunstiesemed"/>
    <n v="55"/>
    <s v="55"/>
    <s v="Muud tegevuskulud"/>
    <x v="0"/>
    <s v="Põhitegevuse kulu"/>
  </r>
  <r>
    <x v="7"/>
    <x v="38"/>
    <x v="38"/>
    <s v="Raamatukogud"/>
    <s v="Vabaaeg, kultuur ja religioon"/>
    <s v="Vinni-Pajusti raamatukogu"/>
    <s v="Auhinnad raamatutundides, suvises lugemisprogrammis"/>
    <n v="600"/>
    <m/>
    <n v="5525"/>
    <s v="Kommunikatsiooni-, kultuuri- ja vaba aja sisustamise kulud"/>
    <n v="55"/>
    <s v="55"/>
    <s v="Muud tegevuskulud"/>
    <x v="0"/>
    <s v="Põhitegevuse kulu"/>
  </r>
  <r>
    <x v="7"/>
    <x v="38"/>
    <x v="38"/>
    <s v="Raamatukogud"/>
    <s v="Vabaaeg, kultuur ja religioon"/>
    <s v="Vinni-Pajusti raamatukogu"/>
    <s v="Postkast Kadilasse"/>
    <n v="50"/>
    <m/>
    <n v="5515"/>
    <s v="Inventari kulud, v.a infotehnoloogia ja kaitseotstarbelised kulud"/>
    <n v="55"/>
    <s v="55"/>
    <s v="Muud tegevuskulud"/>
    <x v="0"/>
    <s v="Põhitegevuse kulu"/>
  </r>
  <r>
    <x v="7"/>
    <x v="38"/>
    <x v="38"/>
    <s v="Raamatukogud"/>
    <s v="Vabaaeg, kultuur ja religioon"/>
    <s v="Vinni-Pajusti raamatukogu"/>
    <s v="Ettenägematud kulud"/>
    <n v="89.91"/>
    <m/>
    <n v="5540"/>
    <s v="Mitmesugused majanduskulud"/>
    <n v="55"/>
    <s v="55"/>
    <s v="Muud tegevuskulud"/>
    <x v="0"/>
    <s v="Põhitegevuse kulu"/>
  </r>
  <r>
    <x v="7"/>
    <x v="38"/>
    <x v="38"/>
    <s v="Raamatukogud"/>
    <s v="Vabaaeg, kultuur ja religioon"/>
    <s v="Vinni-Pajusti raamatukogu"/>
    <s v="Tarkvara hooldusleping"/>
    <n v="480"/>
    <s v="Kadila + Vinni, programm Urram"/>
    <n v="5514"/>
    <s v="Info- ja kommunikatsioonitehnoliigised kulud"/>
    <n v="55"/>
    <s v="55"/>
    <s v="Muud tegevuskulud"/>
    <x v="0"/>
    <s v="Põhitegevuse kulu"/>
  </r>
  <r>
    <x v="7"/>
    <x v="38"/>
    <x v="38"/>
    <s v="Raamatukogud"/>
    <s v="Vabaaeg, kultuur ja religioon"/>
    <s v="Vinni-Pajusti raamatukogu"/>
    <s v="Värviprinter"/>
    <n v="500"/>
    <m/>
    <n v="5514"/>
    <s v="Info- ja kommunikatsioonitehnoliigised kulud"/>
    <n v="55"/>
    <s v="55"/>
    <s v="Muud tegevuskulud"/>
    <x v="0"/>
    <s v="Põhitegevuse kulu"/>
  </r>
  <r>
    <x v="7"/>
    <x v="38"/>
    <x v="38"/>
    <s v="Raamatukogud"/>
    <s v="Vabaaeg, kultuur ja religioon"/>
    <s v="Vinni-Pajusti raamatukogu"/>
    <s v="Lisaruumide san.remont vms renoveerimine"/>
    <n v="5000"/>
    <s v="Rauno"/>
    <n v="5511"/>
    <s v="Kinnistute, hoonete ja ruumide majandamiskulud"/>
    <n v="55"/>
    <s v="55"/>
    <s v="Muud tegevuskulud"/>
    <x v="0"/>
    <s v="Põhitegevuse kulu"/>
  </r>
  <r>
    <x v="7"/>
    <x v="38"/>
    <x v="38"/>
    <s v="Raamatukogud"/>
    <s v="Vabaaeg, kultuur ja religioon"/>
    <s v="Vinni-Pajusti raamatukogu"/>
    <s v="Tagastuskast raamatukogu välisukse juurde."/>
    <n v="300"/>
    <m/>
    <n v="5515"/>
    <s v="Inventari kulud, v.a infotehnoloogia ja kaitseotstarbelised kulud"/>
    <n v="55"/>
    <s v="55"/>
    <s v="Muud tegevuskulud"/>
    <x v="0"/>
    <s v="Põhitegevuse kulu"/>
  </r>
  <r>
    <x v="7"/>
    <x v="39"/>
    <x v="39"/>
    <s v="Raamatukogud"/>
    <s v="Vabaaeg, kultuur ja religioon"/>
    <s v="Viru-Jaagupi raamatukogu"/>
    <s v="korrashoiuvahendid(puh.vahendid,prügikotid jne), k.a.muuseumi jaoks"/>
    <n v="80"/>
    <m/>
    <n v="5511"/>
    <s v="Kinnistute, hoonete ja ruumide majandamiskulud"/>
    <n v="55"/>
    <s v="55"/>
    <s v="Muud tegevuskulud"/>
    <x v="0"/>
    <s v="Põhitegevuse kulu"/>
  </r>
  <r>
    <x v="7"/>
    <x v="39"/>
    <x v="39"/>
    <s v="Raamatukogud"/>
    <s v="Vabaaeg, kultuur ja religioon"/>
    <s v="Viru-Jaagupi raamatukogu"/>
    <s v="raamatukogu telefon, ajalehed,ajakirjad, print.tahm(ka kultuuriürituste kuulutused)"/>
    <n v="1380"/>
    <m/>
    <n v="5500"/>
    <s v="Administreerimiskulud"/>
    <n v="55"/>
    <s v="55"/>
    <s v="Muud tegevuskulud"/>
    <x v="0"/>
    <s v="Põhitegevuse kulu"/>
  </r>
  <r>
    <x v="7"/>
    <x v="39"/>
    <x v="39"/>
    <s v="Raamatukogud"/>
    <s v="Vabaaeg, kultuur ja religioon"/>
    <s v="Viru-Jaagupi raamatukogu"/>
    <s v="koolitused"/>
    <n v="50"/>
    <m/>
    <n v="5504"/>
    <s v="Koolituskulud"/>
    <n v="55"/>
    <s v="55"/>
    <s v="Muud tegevuskulud"/>
    <x v="0"/>
    <s v="Põhitegevuse kulu"/>
  </r>
  <r>
    <x v="7"/>
    <x v="39"/>
    <x v="39"/>
    <s v="Raamatukogud"/>
    <s v="Vabaaeg, kultuur ja religioon"/>
    <s v="Viru-Jaagupi raamatukogu"/>
    <s v="uued raamatud kogusse"/>
    <n v="2000"/>
    <m/>
    <n v="5523"/>
    <s v="Teavikud ja kunstiesemed"/>
    <n v="55"/>
    <s v="55"/>
    <s v="Muud tegevuskulud"/>
    <x v="0"/>
    <s v="Põhitegevuse kulu"/>
  </r>
  <r>
    <x v="7"/>
    <x v="39"/>
    <x v="39"/>
    <s v="Raamatukogud"/>
    <s v="Vabaaeg, kultuur ja religioon"/>
    <s v="Viru-Jaagupi raamatukogu"/>
    <s v="planeeritud kultuuriüritused,mida korraldab. raamatukogu koostöös muuseumiga"/>
    <n v="300"/>
    <m/>
    <n v="5525"/>
    <s v="Kommunikatsiooni-, kultuuri- ja vaba aja sisustamise kulud"/>
    <n v="55"/>
    <s v="55"/>
    <s v="Muud tegevuskulud"/>
    <x v="0"/>
    <s v="Põhitegevuse kulu"/>
  </r>
  <r>
    <x v="7"/>
    <x v="39"/>
    <x v="39"/>
    <s v="Raamatukogud"/>
    <s v="Vabaaeg, kultuur ja religioon"/>
    <s v="Viru-Jaagupi raamatukogu"/>
    <s v="riiulitele teavikute kohasildid"/>
    <n v="100"/>
    <s v="jäi osadele riiulitele 2019 puudu! s.h.lastefondile)"/>
    <n v="5500"/>
    <s v="Administreerimiskulud"/>
    <n v="55"/>
    <s v="55"/>
    <s v="Muud tegevuskulud"/>
    <x v="0"/>
    <s v="Põhitegevuse kulu"/>
  </r>
  <r>
    <x v="7"/>
    <x v="39"/>
    <x v="39"/>
    <s v="Raamatukogud"/>
    <s v="Vabaaeg, kultuur ja religioon"/>
    <s v="Viru-Jaagupi raamatukogu"/>
    <s v="Urrami programmi igakuine hooldustasu 20.-x 12 k"/>
    <n v="240"/>
    <m/>
    <n v="5514"/>
    <s v="Info- ja kommunikatsioonitehnoliigised kulud"/>
    <n v="55"/>
    <s v="55"/>
    <s v="Muud tegevuskulud"/>
    <x v="0"/>
    <s v="Põhitegevuse kulu"/>
  </r>
  <r>
    <x v="7"/>
    <x v="39"/>
    <x v="39"/>
    <s v="Raamatukogud"/>
    <s v="Vabaaeg, kultuur ja religioon"/>
    <s v="Viru-Jaagupi raamatukogu"/>
    <s v="Lugejaarvuti"/>
    <n v="400"/>
    <s v="raamatukogul ei ole ainsana valla raamatukogudest lugeja toimivat lugejaarvutit, ehkki igal aastal on vajadus eelarvesse märgitud lugeja kasutab vajadusel raamatukogutöötaja tööarvutit"/>
    <n v="5514"/>
    <s v="Info- ja kommunikatsioonitehnoliigised kulud"/>
    <n v="55"/>
    <s v="55"/>
    <s v="Muud tegevuskulud"/>
    <x v="0"/>
    <s v="Põhitegevuse kulu"/>
  </r>
  <r>
    <x v="7"/>
    <x v="40"/>
    <x v="40"/>
    <s v="Raamatukogud"/>
    <s v="Vabaaeg, kultuur ja religioon"/>
    <s v="Roela Raamatukogu"/>
    <s v="paber,tahm"/>
    <n v="120"/>
    <m/>
    <n v="5500"/>
    <s v="Administreerimiskulud"/>
    <n v="55"/>
    <s v="55"/>
    <s v="Muud tegevuskulud"/>
    <x v="0"/>
    <s v="Põhitegevuse kulu"/>
  </r>
  <r>
    <x v="7"/>
    <x v="40"/>
    <x v="40"/>
    <s v="Raamatukogud"/>
    <s v="Vabaaeg, kultuur ja religioon"/>
    <s v="Roela Raamatukogu"/>
    <s v="Koolituskulud"/>
    <n v="350"/>
    <m/>
    <n v="5504"/>
    <s v="Koolituskulud"/>
    <n v="55"/>
    <s v="55"/>
    <s v="Muud tegevuskulud"/>
    <x v="0"/>
    <s v="Põhitegevuse kulu"/>
  </r>
  <r>
    <x v="7"/>
    <x v="40"/>
    <x v="40"/>
    <s v="Raamatukogud"/>
    <s v="Vabaaeg, kultuur ja religioon"/>
    <s v="Roela Raamatukogu"/>
    <s v="diivan"/>
    <n v="150"/>
    <s v="täiendav vajadus"/>
    <n v="5515"/>
    <s v="Inventari kulud, v.a infotehnoloogia ja kaitseotstarbelised kulud"/>
    <n v="55"/>
    <s v="55"/>
    <s v="Muud tegevuskulud"/>
    <x v="0"/>
    <s v="Põhitegevuse kulu"/>
  </r>
  <r>
    <x v="7"/>
    <x v="40"/>
    <x v="40"/>
    <s v="Raamatukogud"/>
    <s v="Vabaaeg, kultuur ja religioon"/>
    <s v="Roela Raamatukogu"/>
    <s v="liigieraldajad"/>
    <n v="200"/>
    <s v="täiendav vajadus"/>
    <n v="5515"/>
    <s v="Inventari kulud, v.a infotehnoloogia ja kaitseotstarbelised kulud"/>
    <n v="55"/>
    <s v="55"/>
    <s v="Muud tegevuskulud"/>
    <x v="0"/>
    <s v="Põhitegevuse kulu"/>
  </r>
  <r>
    <x v="7"/>
    <x v="40"/>
    <x v="40"/>
    <s v="Raamatukogud"/>
    <s v="Vabaaeg, kultuur ja religioon"/>
    <s v="Roela Raamatukogu"/>
    <s v="raamatud"/>
    <n v="4000"/>
    <m/>
    <n v="5523"/>
    <s v="Teavikud ja kunstiesemed"/>
    <n v="55"/>
    <s v="55"/>
    <s v="Muud tegevuskulud"/>
    <x v="0"/>
    <s v="Põhitegevuse kulu"/>
  </r>
  <r>
    <x v="7"/>
    <x v="40"/>
    <x v="40"/>
    <s v="Raamatukogud"/>
    <s v="Vabaaeg, kultuur ja religioon"/>
    <s v="Roela Raamatukogu"/>
    <s v="perioodika"/>
    <n v="1000"/>
    <m/>
    <n v="5500"/>
    <s v="Administreerimiskulud"/>
    <n v="55"/>
    <s v="55"/>
    <s v="Muud tegevuskulud"/>
    <x v="0"/>
    <s v="Põhitegevuse kulu"/>
  </r>
  <r>
    <x v="7"/>
    <x v="40"/>
    <x v="40"/>
    <s v="Raamatukogud"/>
    <s v="Vabaaeg, kultuur ja religioon"/>
    <s v="Roela Raamatukogu"/>
    <s v="Üritused lastele"/>
    <n v="170"/>
    <m/>
    <n v="5525"/>
    <s v="Kommunikatsiooni-, kultuuri- ja vaba aja sisustamise kulud"/>
    <n v="55"/>
    <s v="55"/>
    <s v="Muud tegevuskulud"/>
    <x v="0"/>
    <s v="Põhitegevuse kulu"/>
  </r>
  <r>
    <x v="7"/>
    <x v="40"/>
    <x v="40"/>
    <s v="Raamatukogud"/>
    <s v="Vabaaeg, kultuur ja religioon"/>
    <s v="Roela Raamatukogu"/>
    <s v="üritused täiskasvanutele"/>
    <n v="170"/>
    <m/>
    <n v="5525"/>
    <s v="Kommunikatsiooni-, kultuuri- ja vaba aja sisustamise kulud"/>
    <n v="55"/>
    <s v="55"/>
    <s v="Muud tegevuskulud"/>
    <x v="0"/>
    <s v="Põhitegevuse kulu"/>
  </r>
  <r>
    <x v="7"/>
    <x v="40"/>
    <x v="40"/>
    <s v="Raamatukogud"/>
    <s v="Vabaaeg, kultuur ja religioon"/>
    <s v="Roela Raamatukogu"/>
    <s v="arvutiprogrammide hooldused"/>
    <n v="240"/>
    <m/>
    <n v="5514"/>
    <s v="Info- ja kommunikatsioonitehnoliigised kulud"/>
    <n v="55"/>
    <s v="55"/>
    <s v="Muud tegevuskulud"/>
    <x v="0"/>
    <s v="Põhitegevuse kulu"/>
  </r>
  <r>
    <x v="7"/>
    <x v="40"/>
    <x v="40"/>
    <s v="Raamatukogud"/>
    <s v="Vabaaeg, kultuur ja religioon"/>
    <s v="Roela Raamatukogu"/>
    <s v="printer"/>
    <n v="200"/>
    <s v="täiendav vajadus"/>
    <n v="5514"/>
    <s v="Info- ja kommunikatsioonitehnoliigised kulud"/>
    <n v="55"/>
    <s v="55"/>
    <s v="Muud tegevuskulud"/>
    <x v="0"/>
    <s v="Põhitegevuse kulu"/>
  </r>
  <r>
    <x v="7"/>
    <x v="40"/>
    <x v="40"/>
    <s v="Raamatukogud"/>
    <s v="Vabaaeg, kultuur ja religioon"/>
    <s v="Roela Raamatukogu"/>
    <s v="sanremondi materjalid(pahtel,värv)"/>
    <n v="500"/>
    <m/>
    <n v="5511"/>
    <s v="Kinnistute, hoonete ja ruumide majandamiskulud"/>
    <n v="55"/>
    <s v="55"/>
    <s v="Muud tegevuskulud"/>
    <x v="0"/>
    <s v="Põhitegevuse kulu"/>
  </r>
  <r>
    <x v="7"/>
    <x v="40"/>
    <x v="40"/>
    <s v="Raamatukogud"/>
    <s v="Vabaaeg, kultuur ja religioon"/>
    <s v="Roela Raamatukogu"/>
    <s v="korrashoiuvahendid"/>
    <n v="100"/>
    <s v="wc paber,kätekuivatuspaber"/>
    <n v="5511"/>
    <s v="Kinnistute, hoonete ja ruumide majandamiskulud"/>
    <n v="55"/>
    <s v="55"/>
    <s v="Muud tegevuskulud"/>
    <x v="0"/>
    <s v="Põhitegevuse kulu"/>
  </r>
  <r>
    <x v="7"/>
    <x v="41"/>
    <x v="41"/>
    <s v="Raamatukogud"/>
    <s v="Vabaaeg, kultuur ja religioon"/>
    <s v="Tudu raamatukogu"/>
    <s v="telefon ja internet"/>
    <n v="660"/>
    <s v="tel 3235645 kõned ja kuutasu + interneti kuutasu"/>
    <n v="5500"/>
    <s v="Administreerimiskulud"/>
    <n v="55"/>
    <s v="55"/>
    <s v="Muud tegevuskulud"/>
    <x v="0"/>
    <s v="Põhitegevuse kulu"/>
  </r>
  <r>
    <x v="7"/>
    <x v="41"/>
    <x v="41"/>
    <s v="Raamatukogud"/>
    <s v="Vabaaeg, kultuur ja religioon"/>
    <s v="Tudu raamatukogu"/>
    <s v="perioodika"/>
    <n v="500"/>
    <s v="ajakirjade arv jääb samaks nagu 2019.a."/>
    <n v="5500"/>
    <s v="Administreerimiskulud"/>
    <n v="55"/>
    <s v="55"/>
    <s v="Muud tegevuskulud"/>
    <x v="0"/>
    <s v="Põhitegevuse kulu"/>
  </r>
  <r>
    <x v="7"/>
    <x v="41"/>
    <x v="41"/>
    <s v="Raamatukogud"/>
    <s v="Vabaaeg, kultuur ja religioon"/>
    <s v="Tudu raamatukogu"/>
    <s v="raamatud"/>
    <n v="1570"/>
    <m/>
    <n v="5523"/>
    <s v="Teavikud ja kunstiesemed"/>
    <n v="55"/>
    <s v="55"/>
    <s v="Muud tegevuskulud"/>
    <x v="0"/>
    <s v="Põhitegevuse kulu"/>
  </r>
  <r>
    <x v="7"/>
    <x v="41"/>
    <x v="41"/>
    <s v="Raamatukogud"/>
    <s v="Vabaaeg, kultuur ja religioon"/>
    <s v="Tudu raamatukogu"/>
    <s v="koolituste plaan"/>
    <n v="30"/>
    <m/>
    <n v="5504"/>
    <s v="Koolituskulud"/>
    <n v="55"/>
    <s v="55"/>
    <s v="Muud tegevuskulud"/>
    <x v="0"/>
    <s v="Põhitegevuse kulu"/>
  </r>
  <r>
    <x v="7"/>
    <x v="41"/>
    <x v="41"/>
    <s v="Raamatukogud"/>
    <s v="Vabaaeg, kultuur ja religioon"/>
    <s v="Tudu raamatukogu"/>
    <s v="kantseleikaup,paber,tahm"/>
    <n v="30"/>
    <m/>
    <n v="5500"/>
    <s v="Administreerimiskulud"/>
    <n v="55"/>
    <s v="55"/>
    <s v="Muud tegevuskulud"/>
    <x v="0"/>
    <s v="Põhitegevuse kulu"/>
  </r>
  <r>
    <x v="7"/>
    <x v="41"/>
    <x v="41"/>
    <s v="Raamatukogud"/>
    <s v="Vabaaeg, kultuur ja religioon"/>
    <s v="Tudu raamatukogu"/>
    <s v="urrami programmihooldus 20.- x12 kuud"/>
    <n v="240"/>
    <m/>
    <n v="5514"/>
    <s v="Info- ja kommunikatsioonitehnoliigised kulud"/>
    <n v="55"/>
    <s v="55"/>
    <s v="Muud tegevuskulud"/>
    <x v="0"/>
    <s v="Põhitegevuse kulu"/>
  </r>
  <r>
    <x v="7"/>
    <x v="41"/>
    <x v="41"/>
    <s v="Raamatukogud"/>
    <s v="Vabaaeg, kultuur ja religioon"/>
    <s v="Tudu raamatukogu"/>
    <s v="Saku Läte"/>
    <n v="135"/>
    <m/>
    <n v="5511"/>
    <s v="Kinnistute, hoonete ja ruumide majandamiskulud"/>
    <n v="55"/>
    <s v="55"/>
    <s v="Muud tegevuskulud"/>
    <x v="0"/>
    <s v="Põhitegevuse kulu"/>
  </r>
  <r>
    <x v="7"/>
    <x v="41"/>
    <x v="41"/>
    <s v="Raamatukogud"/>
    <s v="Vabaaeg, kultuur ja religioon"/>
    <s v="Tudu raamatukogu"/>
    <s v="Hoone kindlustus"/>
    <n v="150"/>
    <m/>
    <n v="5511"/>
    <s v="Kinnistute, hoonete ja ruumide majandamiskulud"/>
    <n v="55"/>
    <s v="55"/>
    <s v="Muud tegevuskulud"/>
    <x v="0"/>
    <s v="Põhitegevuse kulu"/>
  </r>
  <r>
    <x v="7"/>
    <x v="41"/>
    <x v="41"/>
    <s v="Raamatukogud"/>
    <s v="Vabaaeg, kultuur ja religioon"/>
    <s v="Tudu raamatukogu"/>
    <s v="Pisiremondid jms"/>
    <n v="850"/>
    <m/>
    <n v="5511"/>
    <s v="Kinnistute, hoonete ja ruumide majandamiskulud"/>
    <n v="55"/>
    <s v="55"/>
    <s v="Muud tegevuskulud"/>
    <x v="0"/>
    <s v="Põhitegevuse kulu"/>
  </r>
  <r>
    <x v="7"/>
    <x v="42"/>
    <x v="42"/>
    <s v="Raamatukogud"/>
    <s v="Vabaaeg, kultuur ja religioon"/>
    <s v="Ulvi raamatukogu"/>
    <s v="Ulvi mõisamaja turvafirma lepingutasu, korrastusvahendid, puhastusvahendid, paber"/>
    <n v="400"/>
    <m/>
    <n v="5511"/>
    <s v="Kinnistute, hoonete ja ruumide majandamiskulud"/>
    <n v="55"/>
    <s v="55"/>
    <s v="Muud tegevuskulud"/>
    <x v="0"/>
    <s v="Põhitegevuse kulu"/>
  </r>
  <r>
    <x v="7"/>
    <x v="42"/>
    <x v="42"/>
    <s v="Raamatukogud"/>
    <s v="Vabaaeg, kultuur ja religioon"/>
    <s v="Ulvi raamatukogu"/>
    <s v="Telefon, Internet"/>
    <n v="320"/>
    <s v="Interneti püsiühendus, lauatelefon"/>
    <n v="5500"/>
    <s v="Administreerimiskulud"/>
    <n v="55"/>
    <s v="55"/>
    <s v="Muud tegevuskulud"/>
    <x v="0"/>
    <s v="Põhitegevuse kulu"/>
  </r>
  <r>
    <x v="7"/>
    <x v="42"/>
    <x v="42"/>
    <s v="Raamatukogud"/>
    <s v="Vabaaeg, kultuur ja religioon"/>
    <s v="Ulvi raamatukogu"/>
    <s v="kantseleikaup"/>
    <n v="500"/>
    <s v="paber, tahm, raamatukiled, vöötkoodid"/>
    <n v="5500"/>
    <s v="Administreerimiskulud"/>
    <n v="55"/>
    <s v="55"/>
    <s v="Muud tegevuskulud"/>
    <x v="0"/>
    <s v="Põhitegevuse kulu"/>
  </r>
  <r>
    <x v="7"/>
    <x v="42"/>
    <x v="42"/>
    <s v="Raamatukogud"/>
    <s v="Vabaaeg, kultuur ja religioon"/>
    <s v="Ulvi raamatukogu"/>
    <s v="perioodika"/>
    <n v="1200"/>
    <s v="ajalehed,ajakirjad-tellimine 1 kord aastas- novembris"/>
    <n v="5500"/>
    <s v="Administreerimiskulud"/>
    <n v="55"/>
    <s v="55"/>
    <s v="Muud tegevuskulud"/>
    <x v="0"/>
    <s v="Põhitegevuse kulu"/>
  </r>
  <r>
    <x v="7"/>
    <x v="42"/>
    <x v="42"/>
    <s v="Raamatukogud"/>
    <s v="Vabaaeg, kultuur ja religioon"/>
    <s v="Ulvi raamatukogu"/>
    <s v="Koolitused"/>
    <n v="350"/>
    <s v="Erinevad koolitused,seminarid sh maakonna keskraamatukogu korraldatud; Maaraamatukogude suveseminar Saaremaal; Õppereis Soome"/>
    <n v="5504"/>
    <s v="Koolituskulud"/>
    <n v="55"/>
    <s v="55"/>
    <s v="Muud tegevuskulud"/>
    <x v="0"/>
    <s v="Põhitegevuse kulu"/>
  </r>
  <r>
    <x v="7"/>
    <x v="42"/>
    <x v="42"/>
    <s v="Raamatukogud"/>
    <s v="Vabaaeg, kultuur ja religioon"/>
    <s v="Ulvi raamatukogu"/>
    <s v="Isikliku sõiduauto komp."/>
    <n v="220"/>
    <s v="teavikute transport Rakverest, kojuteenindus, tööga seotud koosolekutest, koolitustest osavõtt"/>
    <n v="5513"/>
    <s v="Sõidukite ülalpidamise kulud"/>
    <n v="55"/>
    <s v="55"/>
    <s v="Muud tegevuskulud"/>
    <x v="0"/>
    <s v="Põhitegevuse kulu"/>
  </r>
  <r>
    <x v="7"/>
    <x v="42"/>
    <x v="42"/>
    <s v="Raamatukogud"/>
    <s v="Vabaaeg, kultuur ja religioon"/>
    <s v="Ulvi raamatukogu"/>
    <s v="prillid"/>
    <n v="100"/>
    <m/>
    <n v="5522"/>
    <s v="Meditsiinikulud ja hügieenitarbed"/>
    <n v="55"/>
    <s v="55"/>
    <s v="Muud tegevuskulud"/>
    <x v="0"/>
    <s v="Põhitegevuse kulu"/>
  </r>
  <r>
    <x v="7"/>
    <x v="42"/>
    <x v="42"/>
    <s v="Raamatukogud"/>
    <s v="Vabaaeg, kultuur ja religioon"/>
    <s v="Ulvi raamatukogu"/>
    <s v="Teavikud"/>
    <n v="3200"/>
    <m/>
    <n v="5523"/>
    <s v="Teavikud ja kunstiesemed"/>
    <n v="55"/>
    <s v="55"/>
    <s v="Muud tegevuskulud"/>
    <x v="0"/>
    <s v="Põhitegevuse kulu"/>
  </r>
  <r>
    <x v="7"/>
    <x v="42"/>
    <x v="42"/>
    <s v="Raamatukogud"/>
    <s v="Vabaaeg, kultuur ja religioon"/>
    <s v="Ulvi raamatukogu"/>
    <s v="teemaõhtud/hommikud, laste lugemistunnid/raamatukogutunnid; 2 korda aastas suurürutus-märts-emakeelepäev, okt-raamatukogunädal"/>
    <n v="500"/>
    <m/>
    <n v="5525"/>
    <s v="Kommunikatsiooni-, kultuuri- ja vaba aja sisustamise kulud"/>
    <n v="55"/>
    <s v="55"/>
    <s v="Muud tegevuskulud"/>
    <x v="0"/>
    <s v="Põhitegevuse kulu"/>
  </r>
  <r>
    <x v="7"/>
    <x v="42"/>
    <x v="42"/>
    <s v="Raamatukogud"/>
    <s v="Vabaaeg, kultuur ja religioon"/>
    <s v="Ulvi raamatukogu"/>
    <s v="raamatukogu tööprogramm"/>
    <n v="240"/>
    <s v="Urram"/>
    <n v="5514"/>
    <s v="Info- ja kommunikatsioonitehnoliigised kulud"/>
    <n v="55"/>
    <s v="55"/>
    <s v="Muud tegevuskulud"/>
    <x v="0"/>
    <s v="Põhitegevuse kulu"/>
  </r>
  <r>
    <x v="7"/>
    <x v="42"/>
    <x v="42"/>
    <s v="Raamatukogud"/>
    <s v="Vabaaeg, kultuur ja religioon"/>
    <s v="Ulvi raamatukogu"/>
    <s v="uus tööarvuti"/>
    <n v="850"/>
    <s v="arvuti vajab väljavahetamist"/>
    <n v="5514"/>
    <s v="Info- ja kommunikatsioonitehnoliigised kulud"/>
    <n v="55"/>
    <s v="55"/>
    <s v="Muud tegevuskulud"/>
    <x v="0"/>
    <s v="Põhitegevuse kulu"/>
  </r>
  <r>
    <x v="7"/>
    <x v="43"/>
    <x v="43"/>
    <s v="Raamatukogud"/>
    <s v="Vabaaeg, kultuur ja religioon"/>
    <s v="Laekvere raamatukogu"/>
    <s v="bürootarbed, auhinnad-kingitused, telefon jne"/>
    <n v="500"/>
    <m/>
    <n v="5500"/>
    <s v="Administreerimiskulud"/>
    <n v="55"/>
    <s v="55"/>
    <s v="Muud tegevuskulud"/>
    <x v="0"/>
    <s v="Põhitegevuse kulu"/>
  </r>
  <r>
    <x v="7"/>
    <x v="43"/>
    <x v="43"/>
    <s v="Raamatukogud"/>
    <s v="Vabaaeg, kultuur ja religioon"/>
    <s v="Laekvere raamatukogu"/>
    <s v="perioodika "/>
    <n v="2000"/>
    <m/>
    <n v="5500"/>
    <s v="Administreerimiskulud"/>
    <n v="55"/>
    <s v="55"/>
    <s v="Muud tegevuskulud"/>
    <x v="0"/>
    <s v="Põhitegevuse kulu"/>
  </r>
  <r>
    <x v="7"/>
    <x v="43"/>
    <x v="43"/>
    <s v="Raamatukogud"/>
    <s v="Vabaaeg, kultuur ja religioon"/>
    <s v="Laekvere raamatukogu"/>
    <s v="Koolitused"/>
    <n v="1000"/>
    <m/>
    <n v="5504"/>
    <s v="Koolituskulud"/>
    <n v="55"/>
    <s v="55"/>
    <s v="Muud tegevuskulud"/>
    <x v="0"/>
    <s v="Põhitegevuse kulu"/>
  </r>
  <r>
    <x v="7"/>
    <x v="43"/>
    <x v="43"/>
    <s v="Raamatukogud"/>
    <s v="Vabaaeg, kultuur ja religioon"/>
    <s v="Laekvere raamatukogu"/>
    <s v="Isiklikus sõiduauto komp."/>
    <n v="1000"/>
    <m/>
    <n v="5513"/>
    <s v="Sõidukite ülalpidamise kulud"/>
    <n v="55"/>
    <s v="55"/>
    <s v="Muud tegevuskulud"/>
    <x v="0"/>
    <s v="Põhitegevuse kulu"/>
  </r>
  <r>
    <x v="7"/>
    <x v="43"/>
    <x v="43"/>
    <s v="Raamatukogud"/>
    <s v="Vabaaeg, kultuur ja religioon"/>
    <s v="Laekvere raamatukogu"/>
    <s v="Inventar"/>
    <n v="1019"/>
    <s v="Konkreetselt planeerimata, võib tekkida vajadus riiulitele. Muugas võiks remontida olemasoleva nurgadiivani ( riidevahetus)"/>
    <n v="5515"/>
    <s v="Inventari kulud, v.a infotehnoloogia ja kaitseotstarbelised kulud"/>
    <n v="55"/>
    <s v="55"/>
    <s v="Muud tegevuskulud"/>
    <x v="0"/>
    <s v="Põhitegevuse kulu"/>
  </r>
  <r>
    <x v="7"/>
    <x v="43"/>
    <x v="43"/>
    <s v="Raamatukogud"/>
    <s v="Vabaaeg, kultuur ja religioon"/>
    <s v="Laekvere raamatukogu"/>
    <s v="esmaabivahendid, prillihüvitis, gripivaktsiin, tervisekontroll"/>
    <n v="500"/>
    <m/>
    <n v="5522"/>
    <s v="Meditsiinikulud ja hügieenitarbed"/>
    <n v="55"/>
    <s v="55"/>
    <s v="Muud tegevuskulud"/>
    <x v="0"/>
    <s v="Põhitegevuse kulu"/>
  </r>
  <r>
    <x v="7"/>
    <x v="43"/>
    <x v="43"/>
    <s v="Raamatukogud"/>
    <s v="Vabaaeg, kultuur ja religioon"/>
    <s v="Laekvere raamatukogu"/>
    <s v="Teavikud"/>
    <n v="6500"/>
    <m/>
    <n v="5523"/>
    <s v="Teavikud ja kunstiesemed"/>
    <n v="55"/>
    <s v="55"/>
    <s v="Muud tegevuskulud"/>
    <x v="0"/>
    <s v="Põhitegevuse kulu"/>
  </r>
  <r>
    <x v="7"/>
    <x v="43"/>
    <x v="43"/>
    <s v="Raamatukogud"/>
    <s v="Vabaaeg, kultuur ja religioon"/>
    <s v="Laekvere raamatukogu"/>
    <s v="Kohtumised kirjanikuga rahvusvahelise lasteraamatupäeva tähistamiseks aprillis nii Muugas kui Laekveres"/>
    <n v="250"/>
    <m/>
    <n v="5525"/>
    <s v="Kommunikatsiooni-, kultuuri- ja vaba aja sisustamise kulud"/>
    <n v="55"/>
    <s v="55"/>
    <s v="Muud tegevuskulud"/>
    <x v="0"/>
    <s v="Põhitegevuse kulu"/>
  </r>
  <r>
    <x v="7"/>
    <x v="43"/>
    <x v="43"/>
    <s v="Raamatukogud"/>
    <s v="Vabaaeg, kultuur ja religioon"/>
    <s v="Laekvere raamatukogu"/>
    <s v="Eduard Vilde 155. sünniaastapäeva tähistamine- Simuna kihelkonnakoolide ja Vinni valla õpilaste reisijuttude kirjutamise konkurss, konkursi lõpuüritus"/>
    <n v="400"/>
    <m/>
    <n v="5525"/>
    <s v="Kommunikatsiooni-, kultuuri- ja vaba aja sisustamise kulud"/>
    <n v="55"/>
    <s v="55"/>
    <s v="Muud tegevuskulud"/>
    <x v="0"/>
    <s v="Põhitegevuse kulu"/>
  </r>
  <r>
    <x v="7"/>
    <x v="43"/>
    <x v="43"/>
    <s v="Raamatukogud"/>
    <s v="Vabaaeg, kultuur ja religioon"/>
    <s v="Laekvere raamatukogu"/>
    <s v="Raamatukogupäevade üritused, TÕN üritused "/>
    <n v="150"/>
    <m/>
    <n v="5525"/>
    <s v="Kommunikatsiooni-, kultuuri- ja vaba aja sisustamise kulud"/>
    <n v="55"/>
    <s v="55"/>
    <s v="Muud tegevuskulud"/>
    <x v="0"/>
    <s v="Põhitegevuse kulu"/>
  </r>
  <r>
    <x v="7"/>
    <x v="43"/>
    <x v="43"/>
    <s v="Raamatukogud"/>
    <s v="Vabaaeg, kultuur ja religioon"/>
    <s v="Laekvere raamatukogu"/>
    <s v="Karneval Muuga mõisas novembris Muuga- Laekvere Kooli algklasside lastele "/>
    <n v="150"/>
    <m/>
    <n v="5525"/>
    <s v="Kommunikatsiooni-, kultuuri- ja vaba aja sisustamise kulud"/>
    <n v="55"/>
    <s v="55"/>
    <s v="Muud tegevuskulud"/>
    <x v="0"/>
    <s v="Põhitegevuse kulu"/>
  </r>
  <r>
    <x v="7"/>
    <x v="43"/>
    <x v="43"/>
    <s v="Raamatukogud"/>
    <s v="Vabaaeg, kultuur ja religioon"/>
    <s v="Laekvere raamatukogu"/>
    <s v="muud planeerimata üritused"/>
    <n v="200"/>
    <m/>
    <n v="5525"/>
    <s v="Kommunikatsiooni-, kultuuri- ja vaba aja sisustamise kulud"/>
    <n v="55"/>
    <s v="55"/>
    <s v="Muud tegevuskulud"/>
    <x v="0"/>
    <s v="Põhitegevuse kulu"/>
  </r>
  <r>
    <x v="7"/>
    <x v="43"/>
    <x v="43"/>
    <s v="Raamatukogud"/>
    <s v="Vabaaeg, kultuur ja religioon"/>
    <s v="Laekvere raamatukogu"/>
    <s v="puhastus- ja korrashoiuvahendid"/>
    <n v="250"/>
    <m/>
    <n v="5511"/>
    <s v="Kinnistute, hoonete ja ruumide majandamiskulud"/>
    <n v="55"/>
    <s v="55"/>
    <s v="Muud tegevuskulud"/>
    <x v="0"/>
    <s v="Põhitegevuse kulu"/>
  </r>
  <r>
    <x v="7"/>
    <x v="43"/>
    <x v="43"/>
    <s v="Raamatukogud"/>
    <s v="Vabaaeg, kultuur ja religioon"/>
    <s v="Laekvere raamatukogu"/>
    <s v="Urrami hooldus ja arendus"/>
    <n v="250"/>
    <m/>
    <n v="5514"/>
    <s v="Info- ja kommunikatsioonitehnoliigised kulud"/>
    <n v="55"/>
    <s v="55"/>
    <s v="Muud tegevuskulud"/>
    <x v="0"/>
    <s v="Põhitegevuse kulu"/>
  </r>
  <r>
    <x v="7"/>
    <x v="43"/>
    <x v="43"/>
    <s v="Raamatukogud"/>
    <s v="Vabaaeg, kultuur ja religioon"/>
    <s v="Laekvere raamatukogu"/>
    <s v="remondi- ja hooldusteenused"/>
    <n v="1050"/>
    <m/>
    <n v="5514"/>
    <s v="Info- ja kommunikatsioonitehnoliigised kulud"/>
    <n v="55"/>
    <s v="55"/>
    <s v="Muud tegevuskulud"/>
    <x v="0"/>
    <s v="Põhitegevuse kulu"/>
  </r>
  <r>
    <x v="7"/>
    <x v="44"/>
    <x v="44"/>
    <s v="Raamatukogud"/>
    <s v="Vabaaeg, kultuur ja religioon"/>
    <s v="Laekvere raamatukogu"/>
    <s v="perioodika "/>
    <n v="1700"/>
    <m/>
    <n v="5500"/>
    <s v="Administreerimiskulud"/>
    <n v="55"/>
    <s v="55"/>
    <s v="Muud tegevuskulud"/>
    <x v="0"/>
    <s v="Põhitegevuse kulu"/>
  </r>
  <r>
    <x v="7"/>
    <x v="44"/>
    <x v="44"/>
    <s v="Raamatukogud"/>
    <s v="Vabaaeg, kultuur ja religioon"/>
    <s v="Laekvere raamatukogu"/>
    <s v="Teavikud"/>
    <n v="4500"/>
    <m/>
    <n v="5523"/>
    <s v="Teavikud ja kunstiesemed"/>
    <n v="55"/>
    <s v="55"/>
    <s v="Muud tegevuskulud"/>
    <x v="0"/>
    <s v="Põhitegevuse kulu"/>
  </r>
  <r>
    <x v="7"/>
    <x v="44"/>
    <x v="44"/>
    <s v="Raamatukogud"/>
    <s v="Vabaaeg, kultuur ja religioon"/>
    <s v="Laekvere raamatukogu"/>
    <s v="Kohtumised kirjanikuga rahvusvahelise lasteraamatupäeva tähistamiseks aprillis nii Muugas kui Laekveres"/>
    <n v="250"/>
    <m/>
    <n v="5525"/>
    <s v="Kommunikatsiooni-, kultuuri- ja vaba aja sisustamise kulud"/>
    <n v="55"/>
    <s v="55"/>
    <s v="Muud tegevuskulud"/>
    <x v="0"/>
    <s v="Põhitegevuse kulu"/>
  </r>
  <r>
    <x v="7"/>
    <x v="44"/>
    <x v="44"/>
    <s v="Raamatukogud"/>
    <s v="Vabaaeg, kultuur ja religioon"/>
    <s v="Laekvere raamatukogu"/>
    <s v="Raamatukoguöö märts-aprill Muugas "/>
    <n v="250"/>
    <m/>
    <n v="5525"/>
    <s v="Kommunikatsiooni-, kultuuri- ja vaba aja sisustamise kulud"/>
    <n v="55"/>
    <s v="55"/>
    <s v="Muud tegevuskulud"/>
    <x v="0"/>
    <s v="Põhitegevuse kulu"/>
  </r>
  <r>
    <x v="7"/>
    <x v="44"/>
    <x v="44"/>
    <s v="Raamatukogud"/>
    <s v="Vabaaeg, kultuur ja religioon"/>
    <s v="Laekvere raamatukogu"/>
    <s v="Raamatukogupäevade üritused, TÕN üritused "/>
    <n v="150"/>
    <m/>
    <n v="5525"/>
    <s v="Kommunikatsiooni-, kultuuri- ja vaba aja sisustamise kulud"/>
    <n v="55"/>
    <s v="55"/>
    <s v="Muud tegevuskulud"/>
    <x v="0"/>
    <s v="Põhitegevuse kulu"/>
  </r>
  <r>
    <x v="7"/>
    <x v="44"/>
    <x v="44"/>
    <s v="Raamatukogud"/>
    <s v="Vabaaeg, kultuur ja religioon"/>
    <s v="Laekvere raamatukogu"/>
    <s v="puhastus- ja korrashoiuvahendid"/>
    <n v="250"/>
    <m/>
    <n v="5511"/>
    <s v="Kinnistute, hoonete ja ruumide majandamiskulud"/>
    <n v="55"/>
    <s v="55"/>
    <s v="Muud tegevuskulud"/>
    <x v="0"/>
    <s v="Põhitegevuse kulu"/>
  </r>
  <r>
    <x v="7"/>
    <x v="44"/>
    <x v="44"/>
    <s v="Raamatukogud"/>
    <s v="Vabaaeg, kultuur ja religioon"/>
    <s v="Laekvere raamatukogu"/>
    <s v="korstnapühkimisteenus"/>
    <n v="200"/>
    <m/>
    <n v="5511"/>
    <s v="Kinnistute, hoonete ja ruumide majandamiskulud"/>
    <n v="55"/>
    <s v="55"/>
    <s v="Muud tegevuskulud"/>
    <x v="0"/>
    <s v="Põhitegevuse kulu"/>
  </r>
  <r>
    <x v="7"/>
    <x v="44"/>
    <x v="44"/>
    <s v="Raamatukogud"/>
    <s v="Vabaaeg, kultuur ja religioon"/>
    <s v="Laekvere raamatukogu"/>
    <s v="Urrami hooldus ja arendus"/>
    <n v="250"/>
    <m/>
    <n v="5514"/>
    <s v="Info- ja kommunikatsioonitehnoliigised kulud"/>
    <n v="55"/>
    <s v="55"/>
    <s v="Muud tegevuskulud"/>
    <x v="0"/>
    <s v="Põhitegevuse kulu"/>
  </r>
  <r>
    <x v="7"/>
    <x v="44"/>
    <x v="44"/>
    <s v="Raamatukogud"/>
    <s v="Vabaaeg, kultuur ja religioon"/>
    <s v="Laekvere raamatukogu"/>
    <s v="Luminor liising Muuga 2 arvutit "/>
    <n v="1200"/>
    <m/>
    <n v="5514"/>
    <s v="Info- ja kommunikatsioonitehnoliigised kulud"/>
    <n v="55"/>
    <s v="55"/>
    <s v="Muud tegevuskulud"/>
    <x v="0"/>
    <s v="Põhitegevuse kulu"/>
  </r>
  <r>
    <x v="7"/>
    <x v="44"/>
    <x v="44"/>
    <s v="Raamatukogud"/>
    <s v="Vabaaeg, kultuur ja religioon"/>
    <s v="Laekvere raamatukogu"/>
    <s v="bürootarbed, auhinnad-kingitused, telefon jne"/>
    <n v="500"/>
    <m/>
    <n v="5500"/>
    <s v="Administreerimiskulud"/>
    <n v="55"/>
    <s v="55"/>
    <s v="Muud tegevuskulud"/>
    <x v="0"/>
    <s v="Põhitegevuse kulu"/>
  </r>
  <r>
    <x v="7"/>
    <x v="45"/>
    <x v="45"/>
    <s v="Raamatukogud"/>
    <s v="Vabaaeg, kultuur ja religioon"/>
    <s v="Laekvere raamatukogu"/>
    <s v="perioodika "/>
    <n v="1300"/>
    <m/>
    <n v="5500"/>
    <s v="Administreerimiskulud"/>
    <n v="55"/>
    <s v="55"/>
    <s v="Muud tegevuskulud"/>
    <x v="0"/>
    <s v="Põhitegevuse kulu"/>
  </r>
  <r>
    <x v="7"/>
    <x v="45"/>
    <x v="45"/>
    <s v="Raamatukogud"/>
    <s v="Vabaaeg, kultuur ja religioon"/>
    <s v="Laekvere raamatukogu"/>
    <s v="Teavikud"/>
    <n v="2500"/>
    <m/>
    <n v="5523"/>
    <s v="Teavikud ja kunstiesemed"/>
    <n v="55"/>
    <s v="55"/>
    <s v="Muud tegevuskulud"/>
    <x v="0"/>
    <s v="Põhitegevuse kulu"/>
  </r>
  <r>
    <x v="7"/>
    <x v="45"/>
    <x v="45"/>
    <s v="Raamatukogud"/>
    <s v="Vabaaeg, kultuur ja religioon"/>
    <s v="Laekvere raamatukogu"/>
    <s v="Raamatukogupäevade üritused, TÕN üritused "/>
    <n v="200"/>
    <m/>
    <n v="5525"/>
    <s v="Kommunikatsiooni-, kultuuri- ja vaba aja sisustamise kulud"/>
    <n v="55"/>
    <s v="55"/>
    <s v="Muud tegevuskulud"/>
    <x v="0"/>
    <s v="Põhitegevuse kulu"/>
  </r>
  <r>
    <x v="7"/>
    <x v="45"/>
    <x v="45"/>
    <s v="Raamatukogud"/>
    <s v="Vabaaeg, kultuur ja religioon"/>
    <s v="Laekvere raamatukogu"/>
    <s v="puhastus- ja korrashoiuvahendid"/>
    <n v="100"/>
    <m/>
    <n v="5511"/>
    <s v="Kinnistute, hoonete ja ruumide majandamiskulud"/>
    <n v="55"/>
    <s v="55"/>
    <s v="Muud tegevuskulud"/>
    <x v="0"/>
    <s v="Põhitegevuse kulu"/>
  </r>
  <r>
    <x v="7"/>
    <x v="45"/>
    <x v="45"/>
    <s v="Raamatukogud"/>
    <s v="Vabaaeg, kultuur ja religioon"/>
    <s v="Laekvere raamatukogu"/>
    <s v="korstnapühkimisteenus"/>
    <n v="200"/>
    <m/>
    <n v="5511"/>
    <s v="Kinnistute, hoonete ja ruumide majandamiskulud"/>
    <n v="55"/>
    <s v="55"/>
    <s v="Muud tegevuskulud"/>
    <x v="0"/>
    <s v="Põhitegevuse kulu"/>
  </r>
  <r>
    <x v="7"/>
    <x v="45"/>
    <x v="45"/>
    <s v="Raamatukogud"/>
    <s v="Vabaaeg, kultuur ja religioon"/>
    <s v="Laekvere raamatukogu"/>
    <s v="Urrami hooldus ja arendus"/>
    <n v="250"/>
    <m/>
    <n v="5514"/>
    <s v="Info- ja kommunikatsioonitehnoliigised kulud"/>
    <n v="55"/>
    <s v="55"/>
    <s v="Muud tegevuskulud"/>
    <x v="0"/>
    <s v="Põhitegevuse kulu"/>
  </r>
  <r>
    <x v="7"/>
    <x v="45"/>
    <x v="45"/>
    <s v="Raamatukogud"/>
    <s v="Vabaaeg, kultuur ja religioon"/>
    <s v="Laekvere raamatukogu"/>
    <s v="bürootarbed, auhinnad-kingitused, telefon jne"/>
    <n v="300"/>
    <m/>
    <n v="5500"/>
    <s v="Administreerimiskulud"/>
    <n v="55"/>
    <s v="55"/>
    <s v="Muud tegevuskulud"/>
    <x v="0"/>
    <s v="Põhitegevuse kulu"/>
  </r>
  <r>
    <x v="7"/>
    <x v="46"/>
    <x v="46"/>
    <s v="Rahvakultuur"/>
    <s v="Vabaaeg, kultuur ja religioon"/>
    <s v="Kadila Seltsimaja"/>
    <s v="Elekter"/>
    <n v="1500"/>
    <m/>
    <n v="5511"/>
    <s v="Kinnistute, hoonete ja ruumide majandamiskulud"/>
    <n v="55"/>
    <s v="55"/>
    <s v="Muud tegevuskulud"/>
    <x v="0"/>
    <s v="Põhitegevuse kulu"/>
  </r>
  <r>
    <x v="7"/>
    <x v="46"/>
    <x v="46"/>
    <s v="Rahvakultuur"/>
    <s v="Vabaaeg, kultuur ja religioon"/>
    <s v="Kadila Seltsimaja"/>
    <s v="Vesi ja kanalisatsioon"/>
    <n v="170"/>
    <m/>
    <n v="5511"/>
    <s v="Kinnistute, hoonete ja ruumide majandamiskulud"/>
    <n v="55"/>
    <s v="55"/>
    <s v="Muud tegevuskulud"/>
    <x v="0"/>
    <s v="Põhitegevuse kulu"/>
  </r>
  <r>
    <x v="7"/>
    <x v="46"/>
    <x v="46"/>
    <s v="Rahvakultuur"/>
    <s v="Vabaaeg, kultuur ja religioon"/>
    <s v="Kadila Seltsimaja"/>
    <s v="Prügivedu"/>
    <n v="85"/>
    <m/>
    <n v="5511"/>
    <s v="Kinnistute, hoonete ja ruumide majandamiskulud"/>
    <n v="55"/>
    <s v="55"/>
    <s v="Muud tegevuskulud"/>
    <x v="0"/>
    <s v="Põhitegevuse kulu"/>
  </r>
  <r>
    <x v="7"/>
    <x v="46"/>
    <x v="46"/>
    <s v="Rahvakultuur"/>
    <s v="Vabaaeg, kultuur ja religioon"/>
    <s v="Kadila Seltsimaja"/>
    <s v="Prügikonteineri rent"/>
    <n v="92.4"/>
    <m/>
    <n v="5511"/>
    <s v="Kinnistute, hoonete ja ruumide majandamiskulud"/>
    <n v="55"/>
    <s v="55"/>
    <s v="Muud tegevuskulud"/>
    <x v="0"/>
    <s v="Põhitegevuse kulu"/>
  </r>
  <r>
    <x v="7"/>
    <x v="46"/>
    <x v="46"/>
    <s v="Rahvakultuur"/>
    <s v="Vabaaeg, kultuur ja religioon"/>
    <s v="Kadila Seltsimaja"/>
    <s v="Küttepuud"/>
    <n v="1800"/>
    <m/>
    <n v="5511"/>
    <s v="Kinnistute, hoonete ja ruumide majandamiskulud"/>
    <n v="55"/>
    <s v="55"/>
    <s v="Muud tegevuskulud"/>
    <x v="0"/>
    <s v="Põhitegevuse kulu"/>
  </r>
  <r>
    <x v="7"/>
    <x v="46"/>
    <x v="46"/>
    <s v="Rahvakultuur"/>
    <s v="Vabaaeg, kultuur ja religioon"/>
    <s v="Kadila Seltsimaja"/>
    <s v="hoone kindlustus "/>
    <n v="200"/>
    <m/>
    <n v="5511"/>
    <s v="Kinnistute, hoonete ja ruumide majandamiskulud"/>
    <n v="55"/>
    <s v="55"/>
    <s v="Muud tegevuskulud"/>
    <x v="0"/>
    <s v="Põhitegevuse kulu"/>
  </r>
  <r>
    <x v="7"/>
    <x v="46"/>
    <x v="46"/>
    <s v="Rahvakultuur"/>
    <s v="Vabaaeg, kultuur ja religioon"/>
    <s v="Kadila Seltsimaja"/>
    <s v="Sideteenused"/>
    <n v="600"/>
    <m/>
    <n v="5500"/>
    <s v="Administreerimiskulud"/>
    <n v="55"/>
    <s v="55"/>
    <s v="Muud tegevuskulud"/>
    <x v="0"/>
    <s v="Põhitegevuse kulu"/>
  </r>
  <r>
    <x v="7"/>
    <x v="46"/>
    <x v="46"/>
    <s v="Rahvakultuur"/>
    <s v="Vabaaeg, kultuur ja religioon"/>
    <s v="Kadila Seltsimaja"/>
    <s v="Üritused"/>
    <n v="250"/>
    <m/>
    <n v="5525"/>
    <s v="Kommunikatsiooni-, kultuuri- ja vaba aja sisustamise kulud"/>
    <n v="55"/>
    <s v="55"/>
    <s v="Muud tegevuskulud"/>
    <x v="0"/>
    <s v="Põhitegevuse kulu"/>
  </r>
  <r>
    <x v="7"/>
    <x v="46"/>
    <x v="46"/>
    <s v="Rahvakultuur"/>
    <s v="Vabaaeg, kultuur ja religioon"/>
    <s v="Kadila Seltsimaja"/>
    <s v="Korstnapühkija"/>
    <n v="160"/>
    <m/>
    <n v="5511"/>
    <s v="Kinnistute, hoonete ja ruumide majandamiskulud"/>
    <n v="55"/>
    <s v="55"/>
    <s v="Muud tegevuskulud"/>
    <x v="0"/>
    <s v="Põhitegevuse kulu"/>
  </r>
  <r>
    <x v="7"/>
    <x v="46"/>
    <x v="46"/>
    <s v="Rahvakultuur"/>
    <s v="Vabaaeg, kultuur ja religioon"/>
    <s v="Kadila Seltsimaja"/>
    <s v="Muud kinnistukulud"/>
    <n v="500"/>
    <m/>
    <n v="5511"/>
    <s v="Kinnistute, hoonete ja ruumide majandamiskulud"/>
    <n v="55"/>
    <s v="55"/>
    <s v="Muud tegevuskulud"/>
    <x v="0"/>
    <s v="Põhitegevuse kulu"/>
  </r>
  <r>
    <x v="7"/>
    <x v="47"/>
    <x v="47"/>
    <s v="Rahvakultuur"/>
    <s v="Vabaaeg, kultuur ja religioon"/>
    <s v="Pajusti klubi"/>
    <s v="Kulud, elektrile, küttele, prügi , vee eest, _x000a_kanalistasioon, korrashoiuvahendid, tuletõrje _x000a_ja signalisatsiooni hooldus, jäätmete vedamine, _x000a_pisiremont"/>
    <n v="15000"/>
    <m/>
    <n v="5511"/>
    <s v="Kinnistute, hoonete ja ruumide majandamiskulud"/>
    <n v="55"/>
    <s v="55"/>
    <s v="Muud tegevuskulud"/>
    <x v="0"/>
    <s v="Põhitegevuse kulu"/>
  </r>
  <r>
    <x v="7"/>
    <x v="47"/>
    <x v="47"/>
    <s v="Rahvakultuur"/>
    <s v="Vabaaeg, kultuur ja religioon"/>
    <s v="Pajusti klubi"/>
    <s v="Koolitused"/>
    <n v="800"/>
    <s v="Klubi juhataja, ringide juhendajad"/>
    <n v="5504"/>
    <s v="Koolituskulud"/>
    <n v="55"/>
    <s v="55"/>
    <s v="Muud tegevuskulud"/>
    <x v="0"/>
    <s v="Põhitegevuse kulu"/>
  </r>
  <r>
    <x v="7"/>
    <x v="47"/>
    <x v="47"/>
    <s v="Rahvakultuur"/>
    <s v="Vabaaeg, kultuur ja religioon"/>
    <s v="Pajusti klubi"/>
    <s v="isikliku sõiduauto komp."/>
    <n v="1440"/>
    <s v="12 kuud"/>
    <n v="5513"/>
    <s v="Sõidukite ülalpidamise kulud"/>
    <n v="55"/>
    <s v="55"/>
    <s v="Muud tegevuskulud"/>
    <x v="0"/>
    <s v="Põhitegevuse kulu"/>
  </r>
  <r>
    <x v="7"/>
    <x v="47"/>
    <x v="47"/>
    <s v="Rahvakultuur"/>
    <s v="Vabaaeg, kultuur ja religioon"/>
    <s v="Pajusti klubi"/>
    <s v="arvutiprogrammid, hoolduse, tooner"/>
    <n v="1000"/>
    <m/>
    <n v="5514"/>
    <s v="Info- ja kommunikatsioonitehnoliigised kulud"/>
    <n v="55"/>
    <s v="55"/>
    <s v="Muud tegevuskulud"/>
    <x v="0"/>
    <s v="Põhitegevuse kulu"/>
  </r>
  <r>
    <x v="7"/>
    <x v="47"/>
    <x v="47"/>
    <s v="Rahvakultuur"/>
    <s v="Vabaaeg, kultuur ja religioon"/>
    <s v="Pajusti klubi"/>
    <s v="Ürituste plaan 2020"/>
    <n v="7200"/>
    <s v="Filharmoonikud ja advendikingitus Valla ürituste eelarvesse"/>
    <n v="5525"/>
    <s v="Kommunikatsiooni-, kultuuri- ja vaba aja sisustamise kulud"/>
    <n v="55"/>
    <s v="55"/>
    <s v="Muud tegevuskulud"/>
    <x v="0"/>
    <s v="Põhitegevuse kulu"/>
  </r>
  <r>
    <x v="7"/>
    <x v="47"/>
    <x v="47"/>
    <s v="Rahvakultuur"/>
    <s v="Vabaaeg, kultuur ja religioon"/>
    <s v="Pajusti klubi"/>
    <s v="Sideteenused"/>
    <n v="560.04999999999995"/>
    <m/>
    <n v="5500"/>
    <s v="Administreerimiskulud"/>
    <n v="55"/>
    <s v="55"/>
    <s v="Muud tegevuskulud"/>
    <x v="0"/>
    <s v="Põhitegevuse kulu"/>
  </r>
  <r>
    <x v="7"/>
    <x v="47"/>
    <x v="47"/>
    <s v="Rahvakultuur"/>
    <s v="Vabaaeg, kultuur ja religioon"/>
    <s v="Pajusti klubi"/>
    <s v="kontoritarbed"/>
    <n v="300"/>
    <m/>
    <n v="5500"/>
    <s v="Administreerimiskulud"/>
    <n v="55"/>
    <s v="55"/>
    <s v="Muud tegevuskulud"/>
    <x v="0"/>
    <s v="Põhitegevuse kulu"/>
  </r>
  <r>
    <x v="7"/>
    <x v="47"/>
    <x v="47"/>
    <s v="Rahvakultuur"/>
    <s v="Vabaaeg, kultuur ja religioon"/>
    <s v="Pajusti klubi"/>
    <s v="Lilled Mõttelõng"/>
    <n v="270"/>
    <m/>
    <n v="5525"/>
    <s v="Kommunikatsiooni-, kultuuri- ja vaba aja sisustamise kulud"/>
    <n v="55"/>
    <s v="55"/>
    <s v="Muud tegevuskulud"/>
    <x v="0"/>
    <s v="Põhitegevuse kulu"/>
  </r>
  <r>
    <x v="7"/>
    <x v="47"/>
    <x v="47"/>
    <s v="Rahvakultuur"/>
    <s v="Vabaaeg, kultuur ja religioon"/>
    <s v="Pajusti klubi"/>
    <s v="Lilled Elutark"/>
    <n v="270"/>
    <m/>
    <n v="5525"/>
    <s v="Kommunikatsiooni-, kultuuri- ja vaba aja sisustamise kulud"/>
    <n v="55"/>
    <s v="55"/>
    <s v="Muud tegevuskulud"/>
    <x v="0"/>
    <s v="Põhitegevuse kulu"/>
  </r>
  <r>
    <x v="7"/>
    <x v="48"/>
    <x v="48"/>
    <s v="Rahvakultuur"/>
    <s v="Vabaaeg, kultuur ja religioon"/>
    <s v="Roela Rahvamaja"/>
    <s v="küte"/>
    <n v="16000"/>
    <s v="õliküte 21000 l. aastas"/>
    <n v="5511"/>
    <s v="Kinnistute, hoonete ja ruumide majandamiskulud"/>
    <n v="55"/>
    <s v="55"/>
    <s v="Muud tegevuskulud"/>
    <x v="0"/>
    <s v="Põhitegevuse kulu"/>
  </r>
  <r>
    <x v="7"/>
    <x v="48"/>
    <x v="48"/>
    <s v="Rahvakultuur"/>
    <s v="Vabaaeg, kultuur ja religioon"/>
    <s v="Roela Rahvamaja"/>
    <s v="elekter"/>
    <n v="4800"/>
    <s v="28455 mhv rahvamaja, arvestuses ka Sinilille tn. valgustus"/>
    <n v="5511"/>
    <s v="Kinnistute, hoonete ja ruumide majandamiskulud"/>
    <n v="55"/>
    <s v="55"/>
    <s v="Muud tegevuskulud"/>
    <x v="0"/>
    <s v="Põhitegevuse kulu"/>
  </r>
  <r>
    <x v="7"/>
    <x v="48"/>
    <x v="48"/>
    <s v="Rahvakultuur"/>
    <s v="Vabaaeg, kultuur ja religioon"/>
    <s v="Roela Rahvamaja"/>
    <s v="vesi ja kanalisatsioon"/>
    <n v="2575"/>
    <s v="Virumaa Veepumbakeskus, Fixum"/>
    <n v="5511"/>
    <s v="Kinnistute, hoonete ja ruumide majandamiskulud"/>
    <n v="55"/>
    <s v="55"/>
    <s v="Muud tegevuskulud"/>
    <x v="0"/>
    <s v="Põhitegevuse kulu"/>
  </r>
  <r>
    <x v="7"/>
    <x v="48"/>
    <x v="48"/>
    <s v="Rahvakultuur"/>
    <s v="Vabaaeg, kultuur ja religioon"/>
    <s v="Roela Rahvamaja"/>
    <s v="ATS hooldus"/>
    <n v="460"/>
    <s v="U.K.V. Grupp"/>
    <n v="5511"/>
    <s v="Kinnistute, hoonete ja ruumide majandamiskulud"/>
    <n v="55"/>
    <s v="55"/>
    <s v="Muud tegevuskulud"/>
    <x v="0"/>
    <s v="Põhitegevuse kulu"/>
  </r>
  <r>
    <x v="7"/>
    <x v="48"/>
    <x v="48"/>
    <s v="Rahvakultuur"/>
    <s v="Vabaaeg, kultuur ja religioon"/>
    <s v="Roela Rahvamaja"/>
    <s v="korrashoiuvahendid"/>
    <n v="360"/>
    <s v="wc paber, harjad, lapid, kodukeemia"/>
    <n v="5511"/>
    <s v="Kinnistute, hoonete ja ruumide majandamiskulud"/>
    <n v="55"/>
    <s v="55"/>
    <s v="Muud tegevuskulud"/>
    <x v="0"/>
    <s v="Põhitegevuse kulu"/>
  </r>
  <r>
    <x v="7"/>
    <x v="48"/>
    <x v="48"/>
    <s v="Rahvakultuur"/>
    <s v="Vabaaeg, kultuur ja religioon"/>
    <s v="Roela Rahvamaja"/>
    <s v="valgustid"/>
    <n v="400"/>
    <s v="pirnid, prožektorid"/>
    <n v="5511"/>
    <s v="Kinnistute, hoonete ja ruumide majandamiskulud"/>
    <n v="55"/>
    <s v="55"/>
    <s v="Muud tegevuskulud"/>
    <x v="0"/>
    <s v="Põhitegevuse kulu"/>
  </r>
  <r>
    <x v="7"/>
    <x v="48"/>
    <x v="48"/>
    <s v="Rahvakultuur"/>
    <s v="Vabaaeg, kultuur ja religioon"/>
    <s v="Roela Rahvamaja"/>
    <s v="pesu pesemine"/>
    <n v="100"/>
    <s v="teenus"/>
    <n v="5511"/>
    <s v="Kinnistute, hoonete ja ruumide majandamiskulud"/>
    <n v="55"/>
    <s v="55"/>
    <s v="Muud tegevuskulud"/>
    <x v="0"/>
    <s v="Põhitegevuse kulu"/>
  </r>
  <r>
    <x v="7"/>
    <x v="48"/>
    <x v="48"/>
    <s v="Rahvakultuur"/>
    <s v="Vabaaeg, kultuur ja religioon"/>
    <s v="Roela Rahvamaja"/>
    <s v="remont"/>
    <n v="220"/>
    <s v="pisiremont"/>
    <n v="5511"/>
    <s v="Kinnistute, hoonete ja ruumide majandamiskulud"/>
    <n v="55"/>
    <s v="55"/>
    <s v="Muud tegevuskulud"/>
    <x v="0"/>
    <s v="Põhitegevuse kulu"/>
  </r>
  <r>
    <x v="7"/>
    <x v="48"/>
    <x v="48"/>
    <s v="Rahvakultuur"/>
    <s v="Vabaaeg, kultuur ja religioon"/>
    <s v="Roela Rahvamaja"/>
    <s v="telefon, internet"/>
    <n v="730"/>
    <s v="3297299,internet digi tv"/>
    <n v="5500"/>
    <s v="Administreerimiskulud"/>
    <n v="55"/>
    <s v="55"/>
    <s v="Muud tegevuskulud"/>
    <x v="0"/>
    <s v="Põhitegevuse kulu"/>
  </r>
  <r>
    <x v="7"/>
    <x v="48"/>
    <x v="48"/>
    <s v="Rahvakultuur"/>
    <s v="Vabaaeg, kultuur ja religioon"/>
    <s v="Roela Rahvamaja"/>
    <s v="mobiiltelefon"/>
    <n v="120"/>
    <n v="5273878"/>
    <n v="5500"/>
    <s v="Administreerimiskulud"/>
    <n v="55"/>
    <s v="55"/>
    <s v="Muud tegevuskulud"/>
    <x v="0"/>
    <s v="Põhitegevuse kulu"/>
  </r>
  <r>
    <x v="7"/>
    <x v="48"/>
    <x v="48"/>
    <s v="Rahvakultuur"/>
    <s v="Vabaaeg, kultuur ja religioon"/>
    <s v="Roela Rahvamaja"/>
    <s v="postikulu, kuulutused"/>
    <n v="110"/>
    <s v="üritused,ümbrikud, plakatid"/>
    <n v="5500"/>
    <s v="Administreerimiskulud"/>
    <n v="55"/>
    <s v="55"/>
    <s v="Muud tegevuskulud"/>
    <x v="0"/>
    <s v="Põhitegevuse kulu"/>
  </r>
  <r>
    <x v="7"/>
    <x v="48"/>
    <x v="48"/>
    <s v="Rahvakultuur"/>
    <s v="Vabaaeg, kultuur ja religioon"/>
    <s v="Roela Rahvamaja"/>
    <s v="tahma- ja tindikassetid"/>
    <n v="190"/>
    <s v="printerid"/>
    <n v="5500"/>
    <s v="Administreerimiskulud"/>
    <n v="55"/>
    <s v="55"/>
    <s v="Muud tegevuskulud"/>
    <x v="0"/>
    <s v="Põhitegevuse kulu"/>
  </r>
  <r>
    <x v="7"/>
    <x v="48"/>
    <x v="48"/>
    <s v="Rahvakultuur"/>
    <s v="Vabaaeg, kultuur ja religioon"/>
    <s v="Roela Rahvamaja"/>
    <s v="koolitused"/>
    <n v="560"/>
    <s v="juhataja,ringijuhid"/>
    <n v="5504"/>
    <s v="Koolituskulud"/>
    <n v="55"/>
    <s v="55"/>
    <s v="Muud tegevuskulud"/>
    <x v="0"/>
    <s v="Põhitegevuse kulu"/>
  </r>
  <r>
    <x v="7"/>
    <x v="48"/>
    <x v="48"/>
    <s v="Rahvakultuur"/>
    <s v="Vabaaeg, kultuur ja religioon"/>
    <s v="Roela Rahvamaja"/>
    <s v="isikliku sõiduauto komp."/>
    <n v="1536"/>
    <s v="12 kuud"/>
    <n v="5513"/>
    <s v="Sõidukite ülalpidamise kulud"/>
    <n v="55"/>
    <s v="55"/>
    <s v="Muud tegevuskulud"/>
    <x v="0"/>
    <s v="Põhitegevuse kulu"/>
  </r>
  <r>
    <x v="7"/>
    <x v="48"/>
    <x v="48"/>
    <s v="Rahvakultuur"/>
    <s v="Vabaaeg, kultuur ja religioon"/>
    <s v="Roela Rahvamaja"/>
    <s v="näituste korraldamise kulud"/>
    <n v="400"/>
    <s v="ülesseadmine,transport"/>
    <n v="5525"/>
    <s v="Kommunikatsiooni-, kultuuri- ja vaba aja sisustamise kulud"/>
    <n v="55"/>
    <s v="55"/>
    <s v="Muud tegevuskulud"/>
    <x v="0"/>
    <s v="Põhitegevuse kulu"/>
  </r>
  <r>
    <x v="7"/>
    <x v="48"/>
    <x v="48"/>
    <s v="Rahvakultuur"/>
    <s v="Vabaaeg, kultuur ja religioon"/>
    <s v="Roela Rahvamaja"/>
    <s v="valgustid (prožektorid),helitehnika (kõlarid,juhtmed)"/>
    <n v="3200"/>
    <m/>
    <n v="5515"/>
    <s v="Inventari kulud, v.a infotehnoloogia ja kaitseotstarbelised kulud"/>
    <n v="55"/>
    <s v="55"/>
    <s v="Muud tegevuskulud"/>
    <x v="0"/>
    <s v="Põhitegevuse kulu"/>
  </r>
  <r>
    <x v="7"/>
    <x v="48"/>
    <x v="48"/>
    <s v="Rahvakultuur"/>
    <s v="Vabaaeg, kultuur ja religioon"/>
    <s v="Roela Rahvamaja"/>
    <s v="esmaabivahendid,prillid"/>
    <n v="400"/>
    <m/>
    <n v="5522"/>
    <s v="Meditsiinikulud ja hügieenitarbed"/>
    <n v="55"/>
    <s v="55"/>
    <s v="Muud tegevuskulud"/>
    <x v="0"/>
    <s v="Põhitegevuse kulu"/>
  </r>
  <r>
    <x v="7"/>
    <x v="48"/>
    <x v="48"/>
    <s v="Rahvakultuur"/>
    <s v="Vabaaeg, kultuur ja religioon"/>
    <s v="Roela Rahvamaja"/>
    <s v="käelise tegevuse asjad,markerid,paberid,liim,värvid,rekvisiit,lilled"/>
    <n v="390"/>
    <m/>
    <n v="5524"/>
    <s v="Õppevahendid"/>
    <n v="55"/>
    <s v="55"/>
    <s v="Muud tegevuskulud"/>
    <x v="0"/>
    <s v="Põhitegevuse kulu"/>
  </r>
  <r>
    <x v="7"/>
    <x v="48"/>
    <x v="48"/>
    <s v="Rahvakultuur"/>
    <s v="Vabaaeg, kultuur ja religioon"/>
    <s v="Roela Rahvamaja"/>
    <s v="arvutiprogrammid, hooldused"/>
    <n v="100"/>
    <m/>
    <n v="5514"/>
    <s v="Info- ja kommunikatsioonitehnoliigised kulud"/>
    <n v="55"/>
    <s v="55"/>
    <s v="Muud tegevuskulud"/>
    <x v="0"/>
    <s v="Põhitegevuse kulu"/>
  </r>
  <r>
    <x v="7"/>
    <x v="48"/>
    <x v="48"/>
    <s v="Rahvakultuur"/>
    <s v="Vabaaeg, kultuur ja religioon"/>
    <s v="Roela Rahvamaja"/>
    <s v="RAM-i kontsert (RAM 75-EV 102)"/>
    <n v="1200"/>
    <s v="kontserdi maksumus"/>
    <n v="5525"/>
    <s v="Kommunikatsiooni-, kultuuri- ja vaba aja sisustamise kulud"/>
    <n v="55"/>
    <s v="55"/>
    <s v="Muud tegevuskulud"/>
    <x v="0"/>
    <s v="Põhitegevuse kulu"/>
  </r>
  <r>
    <x v="7"/>
    <x v="48"/>
    <x v="48"/>
    <s v="Rahvakultuur"/>
    <s v="Vabaaeg, kultuur ja religioon"/>
    <s v="Roela Rahvamaja"/>
    <s v="Salongiõhtu Meenutame jaak Joalat ja Georg Otsa"/>
    <n v="1500"/>
    <s v="külalisesinejad"/>
    <n v="5525"/>
    <s v="Kommunikatsiooni-, kultuuri- ja vaba aja sisustamise kulud"/>
    <n v="55"/>
    <s v="55"/>
    <s v="Muud tegevuskulud"/>
    <x v="0"/>
    <s v="Põhitegevuse kulu"/>
  </r>
  <r>
    <x v="7"/>
    <x v="48"/>
    <x v="48"/>
    <s v="Rahvakultuur"/>
    <s v="Vabaaeg, kultuur ja religioon"/>
    <s v="Roela Rahvamaja"/>
    <s v="Jaaniõhtu"/>
    <n v="1000"/>
    <s v="auhinnad,tantsumuusika"/>
    <n v="5525"/>
    <s v="Kommunikatsiooni-, kultuuri- ja vaba aja sisustamise kulud"/>
    <n v="55"/>
    <s v="55"/>
    <s v="Muud tegevuskulud"/>
    <x v="0"/>
    <s v="Põhitegevuse kulu"/>
  </r>
  <r>
    <x v="7"/>
    <x v="48"/>
    <x v="48"/>
    <s v="Rahvakultuur"/>
    <s v="Vabaaeg, kultuur ja religioon"/>
    <s v="Roela Rahvamaja"/>
    <s v="advendi ja jõuluüritused. Aastalõpupidu"/>
    <n v="2500"/>
    <s v="esinejad, meened"/>
    <n v="5525"/>
    <s v="Kommunikatsiooni-, kultuuri- ja vaba aja sisustamise kulud"/>
    <n v="55"/>
    <s v="55"/>
    <s v="Muud tegevuskulud"/>
    <x v="0"/>
    <s v="Põhitegevuse kulu"/>
  </r>
  <r>
    <x v="7"/>
    <x v="48"/>
    <x v="48"/>
    <s v="Rahvakultuur"/>
    <s v="Vabaaeg, kultuur ja religioon"/>
    <s v="Roela Rahvamaja"/>
    <s v="naistepäevapidu"/>
    <n v="50"/>
    <s v="lilled"/>
    <n v="5525"/>
    <s v="Kommunikatsiooni-, kultuuri- ja vaba aja sisustamise kulud"/>
    <n v="55"/>
    <s v="55"/>
    <s v="Muud tegevuskulud"/>
    <x v="0"/>
    <s v="Põhitegevuse kulu"/>
  </r>
  <r>
    <x v="7"/>
    <x v="48"/>
    <x v="48"/>
    <s v="Rahvakultuur"/>
    <s v="Vabaaeg, kultuur ja religioon"/>
    <s v="Roela Rahvamaja"/>
    <s v="esinemised"/>
    <n v="400"/>
    <s v="väljasõidud"/>
    <n v="5540"/>
    <s v="Mitmesugused majanduskulud"/>
    <n v="55"/>
    <s v="55"/>
    <s v="Muud tegevuskulud"/>
    <x v="0"/>
    <s v="Põhitegevuse kulu"/>
  </r>
  <r>
    <x v="7"/>
    <x v="49"/>
    <x v="49"/>
    <s v="Rahvakultuur"/>
    <s v="Vabaaeg, kultuur ja religioon"/>
    <s v="Laekvere Rahva Maja"/>
    <s v="Bürootarbed"/>
    <n v="300"/>
    <m/>
    <n v="5500"/>
    <s v="Administreerimiskulud"/>
    <n v="55"/>
    <s v="55"/>
    <s v="Muud tegevuskulud"/>
    <x v="0"/>
    <s v="Põhitegevuse kulu"/>
  </r>
  <r>
    <x v="7"/>
    <x v="49"/>
    <x v="49"/>
    <s v="Rahvakultuur"/>
    <s v="Vabaaeg, kultuur ja religioon"/>
    <s v="Laekvere Rahva Maja"/>
    <s v="Lauatelefon, internet"/>
    <n v="500"/>
    <m/>
    <n v="5500"/>
    <s v="Administreerimiskulud"/>
    <n v="55"/>
    <s v="55"/>
    <s v="Muud tegevuskulud"/>
    <x v="0"/>
    <s v="Põhitegevuse kulu"/>
  </r>
  <r>
    <x v="7"/>
    <x v="49"/>
    <x v="49"/>
    <s v="Rahvakultuur"/>
    <s v="Vabaaeg, kultuur ja religioon"/>
    <s v="Laekvere Rahva Maja"/>
    <s v="Trükised, ajalehed, ajakirjad"/>
    <n v="300"/>
    <s v="Virumaa teataja,Eesti Ekspress,  Maakodu"/>
    <n v="5500"/>
    <s v="Administreerimiskulud"/>
    <n v="55"/>
    <s v="55"/>
    <s v="Muud tegevuskulud"/>
    <x v="0"/>
    <s v="Põhitegevuse kulu"/>
  </r>
  <r>
    <x v="7"/>
    <x v="49"/>
    <x v="49"/>
    <s v="Rahvakultuur"/>
    <s v="Vabaaeg, kultuur ja religioon"/>
    <s v="Laekvere Rahva Maja"/>
    <s v="Kuulutused, reklaam"/>
    <n v="100"/>
    <m/>
    <n v="5500"/>
    <s v="Administreerimiskulud"/>
    <n v="55"/>
    <s v="55"/>
    <s v="Muud tegevuskulud"/>
    <x v="0"/>
    <s v="Põhitegevuse kulu"/>
  </r>
  <r>
    <x v="7"/>
    <x v="49"/>
    <x v="49"/>
    <s v="Rahvakultuur"/>
    <s v="Vabaaeg, kultuur ja religioon"/>
    <s v="Laekvere Rahva Maja"/>
    <s v="Kingitused, auhinnad"/>
    <n v="400"/>
    <m/>
    <n v="5500"/>
    <s v="Administreerimiskulud"/>
    <n v="55"/>
    <s v="55"/>
    <s v="Muud tegevuskulud"/>
    <x v="0"/>
    <s v="Põhitegevuse kulu"/>
  </r>
  <r>
    <x v="7"/>
    <x v="49"/>
    <x v="49"/>
    <s v="Rahvakultuur"/>
    <s v="Vabaaeg, kultuur ja religioon"/>
    <s v="Laekvere Rahva Maja"/>
    <s v="Koolitused"/>
    <n v="200"/>
    <m/>
    <n v="5504"/>
    <s v="Koolituskulud"/>
    <n v="55"/>
    <s v="55"/>
    <s v="Muud tegevuskulud"/>
    <x v="0"/>
    <s v="Põhitegevuse kulu"/>
  </r>
  <r>
    <x v="7"/>
    <x v="49"/>
    <x v="49"/>
    <s v="Rahvakultuur"/>
    <s v="Vabaaeg, kultuur ja religioon"/>
    <s v="Laekvere Rahva Maja"/>
    <s v="Isikliku sõiduauto komp."/>
    <n v="900"/>
    <m/>
    <n v="5513"/>
    <s v="Sõidukite ülalpidamise kulud"/>
    <n v="55"/>
    <s v="55"/>
    <s v="Muud tegevuskulud"/>
    <x v="0"/>
    <s v="Põhitegevuse kulu"/>
  </r>
  <r>
    <x v="7"/>
    <x v="49"/>
    <x v="49"/>
    <s v="Rahvakultuur"/>
    <s v="Vabaaeg, kultuur ja religioon"/>
    <s v="Laekvere Rahva Maja"/>
    <s v="Töötajate tervisetõendid"/>
    <n v="400"/>
    <m/>
    <n v="5522"/>
    <s v="Meditsiinikulud ja hügieenitarbed"/>
    <n v="55"/>
    <s v="55"/>
    <s v="Muud tegevuskulud"/>
    <x v="0"/>
    <s v="Põhitegevuse kulu"/>
  </r>
  <r>
    <x v="7"/>
    <x v="49"/>
    <x v="49"/>
    <s v="Rahvakultuur"/>
    <s v="Vabaaeg, kultuur ja religioon"/>
    <s v="Laekvere Rahva Maja"/>
    <s v="Üritused"/>
    <n v="18800"/>
    <s v="(jõulupidu Muuga mõisas 600eur, kokkusaamised, väljasõidud sünnipäevade tähistamine), muud ettenägematud kulud."/>
    <n v="5525"/>
    <s v="Kommunikatsiooni-, kultuuri- ja vaba aja sisustamise kulud"/>
    <n v="55"/>
    <s v="55"/>
    <s v="Muud tegevuskulud"/>
    <x v="0"/>
    <s v="Põhitegevuse kulu"/>
  </r>
  <r>
    <x v="7"/>
    <x v="49"/>
    <x v="49"/>
    <s v="Rahvakultuur"/>
    <s v="Vabaaeg, kultuur ja religioon"/>
    <s v="Laekvere Rahva Maja"/>
    <s v="Toiduained"/>
    <n v="1000"/>
    <m/>
    <n v="5525"/>
    <s v="Kommunikatsiooni-, kultuuri- ja vaba aja sisustamise kulud"/>
    <n v="55"/>
    <s v="55"/>
    <s v="Muud tegevuskulud"/>
    <x v="0"/>
    <s v="Põhitegevuse kulu"/>
  </r>
  <r>
    <x v="7"/>
    <x v="49"/>
    <x v="49"/>
    <s v="Rahvakultuur"/>
    <s v="Vabaaeg, kultuur ja religioon"/>
    <s v="Laekvere Rahva Maja"/>
    <s v="Küte"/>
    <n v="20000"/>
    <m/>
    <n v="5511"/>
    <s v="Kinnistute, hoonete ja ruumide majandamiskulud"/>
    <n v="55"/>
    <s v="55"/>
    <s v="Muud tegevuskulud"/>
    <x v="0"/>
    <s v="Põhitegevuse kulu"/>
  </r>
  <r>
    <x v="7"/>
    <x v="49"/>
    <x v="49"/>
    <s v="Rahvakultuur"/>
    <s v="Vabaaeg, kultuur ja religioon"/>
    <s v="Laekvere Rahva Maja"/>
    <s v="Elekter"/>
    <n v="3000"/>
    <m/>
    <n v="5511"/>
    <s v="Kinnistute, hoonete ja ruumide majandamiskulud"/>
    <n v="55"/>
    <s v="55"/>
    <s v="Muud tegevuskulud"/>
    <x v="0"/>
    <s v="Põhitegevuse kulu"/>
  </r>
  <r>
    <x v="7"/>
    <x v="49"/>
    <x v="49"/>
    <s v="Rahvakultuur"/>
    <s v="Vabaaeg, kultuur ja religioon"/>
    <s v="Laekvere Rahva Maja"/>
    <s v="Elektrikäitlemiskulu"/>
    <n v="400"/>
    <m/>
    <n v="5511"/>
    <s v="Kinnistute, hoonete ja ruumide majandamiskulud"/>
    <n v="55"/>
    <s v="55"/>
    <s v="Muud tegevuskulud"/>
    <x v="0"/>
    <s v="Põhitegevuse kulu"/>
  </r>
  <r>
    <x v="7"/>
    <x v="49"/>
    <x v="49"/>
    <s v="Rahvakultuur"/>
    <s v="Vabaaeg, kultuur ja religioon"/>
    <s v="Laekvere Rahva Maja"/>
    <s v="Korrashoid, remont"/>
    <n v="2000"/>
    <s v="Remonttööd siseruumides"/>
    <n v="5511"/>
    <s v="Kinnistute, hoonete ja ruumide majandamiskulud"/>
    <n v="55"/>
    <s v="55"/>
    <s v="Muud tegevuskulud"/>
    <x v="0"/>
    <s v="Põhitegevuse kulu"/>
  </r>
  <r>
    <x v="7"/>
    <x v="49"/>
    <x v="49"/>
    <s v="Rahvakultuur"/>
    <s v="Vabaaeg, kultuur ja religioon"/>
    <s v="Laekvere Rahva Maja"/>
    <s v="Prügivedu"/>
    <n v="100"/>
    <m/>
    <n v="5511"/>
    <s v="Kinnistute, hoonete ja ruumide majandamiskulud"/>
    <n v="55"/>
    <s v="55"/>
    <s v="Muud tegevuskulud"/>
    <x v="0"/>
    <s v="Põhitegevuse kulu"/>
  </r>
  <r>
    <x v="7"/>
    <x v="49"/>
    <x v="49"/>
    <s v="Rahvakultuur"/>
    <s v="Vabaaeg, kultuur ja religioon"/>
    <s v="Laekvere Rahva Maja"/>
    <s v="Vesi, kanalisatsioon"/>
    <n v="500"/>
    <m/>
    <n v="5511"/>
    <s v="Kinnistute, hoonete ja ruumide majandamiskulud"/>
    <n v="55"/>
    <s v="55"/>
    <s v="Muud tegevuskulud"/>
    <x v="0"/>
    <s v="Põhitegevuse kulu"/>
  </r>
  <r>
    <x v="7"/>
    <x v="49"/>
    <x v="49"/>
    <s v="Rahvakultuur"/>
    <s v="Vabaaeg, kultuur ja religioon"/>
    <s v="Laekvere Rahva Maja"/>
    <s v="Kindlustusmaksed"/>
    <n v="100"/>
    <m/>
    <n v="5511"/>
    <s v="Kinnistute, hoonete ja ruumide majandamiskulud"/>
    <n v="55"/>
    <s v="55"/>
    <s v="Muud tegevuskulud"/>
    <x v="0"/>
    <s v="Põhitegevuse kulu"/>
  </r>
  <r>
    <x v="7"/>
    <x v="49"/>
    <x v="49"/>
    <s v="Rahvakultuur"/>
    <s v="Vabaaeg, kultuur ja religioon"/>
    <s v="Laekvere Rahva Maja"/>
    <s v="Elektritarvikud"/>
    <n v="500"/>
    <s v=" valgustus, pirnid, patareid"/>
    <n v="5511"/>
    <s v="Kinnistute, hoonete ja ruumide majandamiskulud"/>
    <n v="55"/>
    <s v="55"/>
    <s v="Muud tegevuskulud"/>
    <x v="0"/>
    <s v="Põhitegevuse kulu"/>
  </r>
  <r>
    <x v="7"/>
    <x v="49"/>
    <x v="49"/>
    <s v="Rahvakultuur"/>
    <s v="Vabaaeg, kultuur ja religioon"/>
    <s v="Laekvere Rahva Maja"/>
    <s v="MTÜ Eha kapellijuhendaja sõidukulud"/>
    <n v="552"/>
    <m/>
    <n v="5513"/>
    <s v="Sõidukite ülalpidamise kulud"/>
    <n v="55"/>
    <s v="55"/>
    <s v="Muud tegevuskulud"/>
    <x v="0"/>
    <s v="Põhitegevuse kulu"/>
  </r>
  <r>
    <x v="7"/>
    <x v="50"/>
    <x v="50"/>
    <s v="Rahvakultuur"/>
    <s v="Vabaaeg, kultuur ja religioon"/>
    <s v="Venevere seltsimaja"/>
    <s v="kinnistukulud"/>
    <n v="8000"/>
    <m/>
    <n v="5511"/>
    <s v="Kinnistute, hoonete ja ruumide majandamiskulud"/>
    <n v="55"/>
    <s v="55"/>
    <s v="Muud tegevuskulud"/>
    <x v="0"/>
    <s v="Põhitegevuse kulu"/>
  </r>
  <r>
    <x v="7"/>
    <x v="50"/>
    <x v="50"/>
    <s v="Rahvakultuur"/>
    <s v="Vabaaeg, kultuur ja religioon"/>
    <s v="Venevere seltsimaja"/>
    <s v="Bürootarbed"/>
    <n v="120"/>
    <m/>
    <n v="5500"/>
    <s v="Administreerimiskulud"/>
    <n v="55"/>
    <s v="55"/>
    <s v="Muud tegevuskulud"/>
    <x v="0"/>
    <s v="Põhitegevuse kulu"/>
  </r>
  <r>
    <x v="7"/>
    <x v="50"/>
    <x v="50"/>
    <s v="Rahvakultuur"/>
    <s v="Vabaaeg, kultuur ja religioon"/>
    <s v="Venevere seltsimaja"/>
    <s v="koolitused"/>
    <n v="100"/>
    <m/>
    <n v="5504"/>
    <s v="Koolituskulud"/>
    <n v="55"/>
    <s v="55"/>
    <s v="Muud tegevuskulud"/>
    <x v="0"/>
    <s v="Põhitegevuse kulu"/>
  </r>
  <r>
    <x v="7"/>
    <x v="50"/>
    <x v="50"/>
    <s v="Rahvakultuur"/>
    <s v="Vabaaeg, kultuur ja religioon"/>
    <s v="Venevere seltsimaja"/>
    <s v="Sõidukite majandamiskulud"/>
    <n v="400"/>
    <m/>
    <n v="5513"/>
    <s v="Sõidukite ülalpidamise kulud"/>
    <n v="55"/>
    <s v="55"/>
    <s v="Muud tegevuskulud"/>
    <x v="0"/>
    <s v="Põhitegevuse kulu"/>
  </r>
  <r>
    <x v="7"/>
    <x v="50"/>
    <x v="50"/>
    <s v="Rahvakultuur"/>
    <s v="Vabaaeg, kultuur ja religioon"/>
    <s v="Venevere seltsimaja"/>
    <s v="Pokaalid 50tk 90.00, muu inventar vastavalt vajadusele"/>
    <n v="500"/>
    <m/>
    <n v="5515"/>
    <s v="Inventari kulud, v.a infotehnoloogia ja kaitseotstarbelised kulud"/>
    <n v="55"/>
    <s v="55"/>
    <s v="Muud tegevuskulud"/>
    <x v="0"/>
    <s v="Põhitegevuse kulu"/>
  </r>
  <r>
    <x v="7"/>
    <x v="50"/>
    <x v="50"/>
    <s v="Rahvakultuur"/>
    <s v="Vabaaeg, kultuur ja religioon"/>
    <s v="Venevere seltsimaja"/>
    <s v="Üritused"/>
    <n v="2730"/>
    <m/>
    <n v="5525"/>
    <s v="Kommunikatsiooni-, kultuuri- ja vaba aja sisustamise kulud"/>
    <n v="55"/>
    <s v="55"/>
    <s v="Muud tegevuskulud"/>
    <x v="0"/>
    <s v="Põhitegevuse kulu"/>
  </r>
  <r>
    <x v="7"/>
    <x v="50"/>
    <x v="50"/>
    <s v="Rahvakultuur"/>
    <s v="Vabaaeg, kultuur ja religioon"/>
    <s v="Venevere seltsimaja"/>
    <s v="IT kulud"/>
    <n v="600"/>
    <m/>
    <n v="5514"/>
    <s v="Info- ja kommunikatsioonitehnoliigised kulud"/>
    <n v="55"/>
    <s v="55"/>
    <s v="Muud tegevuskulud"/>
    <x v="0"/>
    <s v="Põhitegevuse kulu"/>
  </r>
  <r>
    <x v="7"/>
    <x v="51"/>
    <x v="51"/>
    <s v="Rahvakultuur"/>
    <s v="Vabaaeg, kultuur ja religioon"/>
    <s v="Ulvi klubi"/>
    <s v="telefon ja internet"/>
    <n v="350"/>
    <s v="telefon 3295418, internet Andigo OÜ 25.90 x 12 "/>
    <n v="5500"/>
    <s v="Administreerimiskulud"/>
    <n v="55"/>
    <s v="55"/>
    <s v="Muud tegevuskulud"/>
    <x v="0"/>
    <s v="Põhitegevuse kulu"/>
  </r>
  <r>
    <x v="7"/>
    <x v="51"/>
    <x v="51"/>
    <s v="Rahvakultuur"/>
    <s v="Vabaaeg, kultuur ja religioon"/>
    <s v="Ulvi klubi"/>
    <s v="printeri tahm "/>
    <n v="100"/>
    <s v="värviprinteri tahm "/>
    <n v="5500"/>
    <s v="Administreerimiskulud"/>
    <n v="55"/>
    <s v="55"/>
    <s v="Muud tegevuskulud"/>
    <x v="0"/>
    <s v="Põhitegevuse kulu"/>
  </r>
  <r>
    <x v="7"/>
    <x v="51"/>
    <x v="51"/>
    <s v="Rahvakultuur"/>
    <s v="Vabaaeg, kultuur ja religioon"/>
    <s v="Ulvi klubi"/>
    <s v="paber, pliiats, markerid"/>
    <n v="50"/>
    <m/>
    <n v="5500"/>
    <s v="Administreerimiskulud"/>
    <n v="55"/>
    <s v="55"/>
    <s v="Muud tegevuskulud"/>
    <x v="0"/>
    <s v="Põhitegevuse kulu"/>
  </r>
  <r>
    <x v="7"/>
    <x v="51"/>
    <x v="51"/>
    <s v="Rahvakultuur"/>
    <s v="Vabaaeg, kultuur ja religioon"/>
    <s v="Ulvi klubi"/>
    <s v="klubi juhataja koolitused"/>
    <n v="450"/>
    <s v="juhataja koolitused/täiendkursused/suvekool"/>
    <n v="5504"/>
    <s v="Koolituskulud"/>
    <n v="55"/>
    <s v="55"/>
    <s v="Muud tegevuskulud"/>
    <x v="0"/>
    <s v="Põhitegevuse kulu"/>
  </r>
  <r>
    <x v="7"/>
    <x v="51"/>
    <x v="51"/>
    <s v="Rahvakultuur"/>
    <s v="Vabaaeg, kultuur ja religioon"/>
    <s v="Ulvi klubi"/>
    <s v="isikliku sõiduauto kasutamine juhatajal"/>
    <n v="720"/>
    <s v="12 x 60.- "/>
    <n v="5513"/>
    <s v="Sõidukite ülalpidamise kulud"/>
    <n v="55"/>
    <s v="55"/>
    <s v="Muud tegevuskulud"/>
    <x v="0"/>
    <s v="Põhitegevuse kulu"/>
  </r>
  <r>
    <x v="7"/>
    <x v="51"/>
    <x v="51"/>
    <s v="Rahvakultuur"/>
    <s v="Vabaaeg, kultuur ja religioon"/>
    <s v="Ulvi klubi"/>
    <s v="klubi ringide esinemisväljasõidud"/>
    <n v="1500"/>
    <s v="bussi tellimine"/>
    <n v="5525"/>
    <s v="Kommunikatsiooni-, kultuuri- ja vaba aja sisustamise kulud"/>
    <n v="55"/>
    <s v="55"/>
    <s v="Muud tegevuskulud"/>
    <x v="0"/>
    <s v="Põhitegevuse kulu"/>
  </r>
  <r>
    <x v="7"/>
    <x v="51"/>
    <x v="51"/>
    <s v="Rahvakultuur"/>
    <s v="Vabaaeg, kultuur ja religioon"/>
    <s v="Ulvi klubi"/>
    <s v="lilleteenus"/>
    <n v="150"/>
    <s v="ringijuhtide õnnitlemine, teiste asutuste õnnitlemine"/>
    <n v="5525"/>
    <s v="Kommunikatsiooni-, kultuuri- ja vaba aja sisustamise kulud"/>
    <n v="55"/>
    <s v="55"/>
    <s v="Muud tegevuskulud"/>
    <x v="0"/>
    <s v="Põhitegevuse kulu"/>
  </r>
  <r>
    <x v="7"/>
    <x v="51"/>
    <x v="51"/>
    <s v="Rahvakultuur"/>
    <s v="Vabaaeg, kultuur ja religioon"/>
    <s v="Ulvi klubi"/>
    <s v="Vabariigi aastapäeva lipuheiskamine"/>
    <n v="200"/>
    <s v="esineja tellimine,vastuvõtulaud"/>
    <n v="5525"/>
    <s v="Kommunikatsiooni-, kultuuri- ja vaba aja sisustamise kulud"/>
    <n v="55"/>
    <s v="55"/>
    <s v="Muud tegevuskulud"/>
    <x v="0"/>
    <s v="Põhitegevuse kulu"/>
  </r>
  <r>
    <x v="7"/>
    <x v="51"/>
    <x v="51"/>
    <s v="Rahvakultuur"/>
    <s v="Vabaaeg, kultuur ja religioon"/>
    <s v="Ulvi klubi"/>
    <s v="väiksemad üritused/koosviibimised"/>
    <n v="1000"/>
    <s v="aasta jooksul lisanduvad mitte pikalt ette planeeritud üritused"/>
    <n v="5525"/>
    <s v="Kommunikatsiooni-, kultuuri- ja vaba aja sisustamise kulud"/>
    <n v="55"/>
    <s v="55"/>
    <s v="Muud tegevuskulud"/>
    <x v="0"/>
    <s v="Põhitegevuse kulu"/>
  </r>
  <r>
    <x v="7"/>
    <x v="51"/>
    <x v="51"/>
    <s v="Rahvakultuur"/>
    <s v="Vabaaeg, kultuur ja religioon"/>
    <s v="Ulvi klubi"/>
    <s v="emadepäeva kontsert "/>
    <n v="100"/>
    <s v="tort/lilled/esineja"/>
    <n v="5525"/>
    <s v="Kommunikatsiooni-, kultuuri- ja vaba aja sisustamise kulud"/>
    <n v="55"/>
    <s v="55"/>
    <s v="Muud tegevuskulud"/>
    <x v="0"/>
    <s v="Põhitegevuse kulu"/>
  </r>
  <r>
    <x v="7"/>
    <x v="51"/>
    <x v="51"/>
    <s v="Rahvakultuur"/>
    <s v="Vabaaeg, kultuur ja religioon"/>
    <s v="Ulvi klubi"/>
    <s v="Rägavere piirkonna jaanituli"/>
    <n v="1500"/>
    <s v="ansambel/õhtujuht/auhinnad/lõke/lasteala"/>
    <n v="5525"/>
    <s v="Kommunikatsiooni-, kultuuri- ja vaba aja sisustamise kulud"/>
    <n v="55"/>
    <s v="55"/>
    <s v="Muud tegevuskulud"/>
    <x v="0"/>
    <s v="Põhitegevuse kulu"/>
  </r>
  <r>
    <x v="7"/>
    <x v="51"/>
    <x v="51"/>
    <s v="Rahvakultuur"/>
    <s v="Vabaaeg, kultuur ja religioon"/>
    <s v="Ulvi klubi"/>
    <s v="koduste laste jõulupidu "/>
    <n v="100"/>
    <s v="jõuluvana tellimine"/>
    <n v="5525"/>
    <s v="Kommunikatsiooni-, kultuuri- ja vaba aja sisustamise kulud"/>
    <n v="55"/>
    <s v="55"/>
    <s v="Muud tegevuskulud"/>
    <x v="0"/>
    <s v="Põhitegevuse kulu"/>
  </r>
  <r>
    <x v="7"/>
    <x v="51"/>
    <x v="51"/>
    <s v="Rahvakultuur"/>
    <s v="Vabaaeg, kultuur ja religioon"/>
    <s v="Ulvi klubi"/>
    <s v="taidlejate/piirkonna jõulupidu"/>
    <n v="200"/>
    <s v="esinejate tellimine/ ringijuhtide jõulupakid"/>
    <n v="5525"/>
    <s v="Kommunikatsiooni-, kultuuri- ja vaba aja sisustamise kulud"/>
    <n v="55"/>
    <s v="55"/>
    <s v="Muud tegevuskulud"/>
    <x v="0"/>
    <s v="Põhitegevuse kulu"/>
  </r>
  <r>
    <x v="7"/>
    <x v="51"/>
    <x v="51"/>
    <s v="Rahvakultuur"/>
    <s v="Vabaaeg, kultuur ja religioon"/>
    <s v="Ulvi klubi"/>
    <s v="kevadine hooaja lõpetamine "/>
    <n v="300"/>
    <s v="esineja/tänukirjad/kringel/kohv"/>
    <n v="5525"/>
    <s v="Kommunikatsiooni-, kultuuri- ja vaba aja sisustamise kulud"/>
    <n v="55"/>
    <s v="55"/>
    <s v="Muud tegevuskulud"/>
    <x v="0"/>
    <s v="Põhitegevuse kulu"/>
  </r>
  <r>
    <x v="7"/>
    <x v="51"/>
    <x v="51"/>
    <s v="Rahvakultuur"/>
    <s v="Vabaaeg, kultuur ja religioon"/>
    <s v="Ulvi klubi"/>
    <s v="Rägavere piirkonna vastalpäev"/>
    <n v="150"/>
    <s v="supp/kukklid/auhinnad"/>
    <n v="5525"/>
    <s v="Kommunikatsiooni-, kultuuri- ja vaba aja sisustamise kulud"/>
    <n v="55"/>
    <s v="55"/>
    <s v="Muud tegevuskulud"/>
    <x v="0"/>
    <s v="Põhitegevuse kulu"/>
  </r>
  <r>
    <x v="7"/>
    <x v="51"/>
    <x v="51"/>
    <s v="Rahvakultuur"/>
    <s v="Vabaaeg, kultuur ja religioon"/>
    <s v="Ulvi klubi"/>
    <s v="dekoratsioonid üritustele"/>
    <n v="150"/>
    <m/>
    <n v="5525"/>
    <s v="Kommunikatsiooni-, kultuuri- ja vaba aja sisustamise kulud"/>
    <n v="55"/>
    <s v="55"/>
    <s v="Muud tegevuskulud"/>
    <x v="0"/>
    <s v="Põhitegevuse kulu"/>
  </r>
  <r>
    <x v="7"/>
    <x v="51"/>
    <x v="51"/>
    <s v="Rahvakultuur"/>
    <s v="Vabaaeg, kultuur ja religioon"/>
    <s v="Ulvi klubi"/>
    <s v="eakate päeva tähistamine "/>
    <n v="100"/>
    <m/>
    <n v="5525"/>
    <s v="Kommunikatsiooni-, kultuuri- ja vaba aja sisustamise kulud"/>
    <n v="55"/>
    <s v="55"/>
    <s v="Muud tegevuskulud"/>
    <x v="0"/>
    <s v="Põhitegevuse kulu"/>
  </r>
  <r>
    <x v="7"/>
    <x v="51"/>
    <x v="51"/>
    <s v="Rahvakultuur"/>
    <s v="Vabaaeg, kultuur ja religioon"/>
    <s v="Ulvi klubi"/>
    <s v="pesutöötlus"/>
    <n v="100"/>
    <s v="Virumaa Puhastus OÜ "/>
    <n v="5511"/>
    <s v="Kinnistute, hoonete ja ruumide majandamiskulud"/>
    <n v="55"/>
    <s v="55"/>
    <s v="Muud tegevuskulud"/>
    <x v="0"/>
    <s v="Põhitegevuse kulu"/>
  </r>
  <r>
    <x v="7"/>
    <x v="51"/>
    <x v="51"/>
    <s v="Rahvakultuur"/>
    <s v="Vabaaeg, kultuur ja religioon"/>
    <s v="Ulvi klubi"/>
    <s v="vesi ja kanalisatsioon "/>
    <n v="400"/>
    <s v="Kunda Vesi OÜ"/>
    <n v="5511"/>
    <s v="Kinnistute, hoonete ja ruumide majandamiskulud"/>
    <n v="55"/>
    <s v="55"/>
    <s v="Muud tegevuskulud"/>
    <x v="0"/>
    <s v="Põhitegevuse kulu"/>
  </r>
  <r>
    <x v="7"/>
    <x v="51"/>
    <x v="51"/>
    <s v="Rahvakultuur"/>
    <s v="Vabaaeg, kultuur ja religioon"/>
    <s v="Ulvi klubi"/>
    <s v="veeautomaadi rent/vesi"/>
    <n v="100"/>
    <s v="6.- x 12 "/>
    <n v="5511"/>
    <s v="Kinnistute, hoonete ja ruumide majandamiskulud"/>
    <n v="55"/>
    <s v="55"/>
    <s v="Muud tegevuskulud"/>
    <x v="0"/>
    <s v="Põhitegevuse kulu"/>
  </r>
  <r>
    <x v="7"/>
    <x v="51"/>
    <x v="51"/>
    <s v="Rahvakultuur"/>
    <s v="Vabaaeg, kultuur ja religioon"/>
    <s v="Ulvi klubi"/>
    <s v="elekter"/>
    <n v="10000"/>
    <s v="Eesti Energia AS"/>
    <n v="5511"/>
    <s v="Kinnistute, hoonete ja ruumide majandamiskulud"/>
    <n v="55"/>
    <s v="55"/>
    <s v="Muud tegevuskulud"/>
    <x v="0"/>
    <s v="Põhitegevuse kulu"/>
  </r>
  <r>
    <x v="7"/>
    <x v="51"/>
    <x v="51"/>
    <s v="Rahvakultuur"/>
    <s v="Vabaaeg, kultuur ja religioon"/>
    <s v="Ulvi klubi"/>
    <s v="maaküte"/>
    <n v="1000"/>
    <s v="Viru Maaküte OÜ "/>
    <n v="5511"/>
    <s v="Kinnistute, hoonete ja ruumide majandamiskulud"/>
    <n v="55"/>
    <s v="55"/>
    <s v="Muud tegevuskulud"/>
    <x v="0"/>
    <s v="Põhitegevuse kulu"/>
  </r>
  <r>
    <x v="7"/>
    <x v="51"/>
    <x v="51"/>
    <s v="Rahvakultuur"/>
    <s v="Vabaaeg, kultuur ja religioon"/>
    <s v="Ulvi klubi"/>
    <s v="tulekustutite kontroll/hooldusteenus"/>
    <n v="200"/>
    <s v="Tamrex Ohutuse OÜ"/>
    <n v="5511"/>
    <s v="Kinnistute, hoonete ja ruumide majandamiskulud"/>
    <n v="55"/>
    <s v="55"/>
    <s v="Muud tegevuskulud"/>
    <x v="0"/>
    <s v="Põhitegevuse kulu"/>
  </r>
  <r>
    <x v="7"/>
    <x v="51"/>
    <x v="51"/>
    <s v="Rahvakultuur"/>
    <s v="Vabaaeg, kultuur ja religioon"/>
    <s v="Ulvi klubi"/>
    <s v="valvesüsteemi hooldusteenua"/>
    <n v="120"/>
    <s v="KMPH Grupp OÜ"/>
    <n v="5511"/>
    <s v="Kinnistute, hoonete ja ruumide majandamiskulud"/>
    <n v="55"/>
    <s v="55"/>
    <s v="Muud tegevuskulud"/>
    <x v="0"/>
    <s v="Põhitegevuse kulu"/>
  </r>
  <r>
    <x v="7"/>
    <x v="51"/>
    <x v="51"/>
    <s v="Rahvakultuur"/>
    <s v="Vabaaeg, kultuur ja religioon"/>
    <s v="Ulvi klubi"/>
    <s v="maja korrashoiuvahendid"/>
    <n v="1000"/>
    <s v="puh.vahendid, lapid, mopid, harjad, WC- ja kätebaperid, seebi jne."/>
    <n v="5511"/>
    <s v="Kinnistute, hoonete ja ruumide majandamiskulud"/>
    <n v="55"/>
    <s v="55"/>
    <s v="Muud tegevuskulud"/>
    <x v="0"/>
    <s v="Põhitegevuse kulu"/>
  </r>
  <r>
    <x v="7"/>
    <x v="51"/>
    <x v="51"/>
    <s v="Rahvakultuur"/>
    <s v="Vabaaeg, kultuur ja religioon"/>
    <s v="Ulvi klubi"/>
    <s v="saali parketihooldus "/>
    <n v="800"/>
    <s v="iga aastane parketihooldus/vahendid/tööaeg"/>
    <n v="5511"/>
    <s v="Kinnistute, hoonete ja ruumide majandamiskulud"/>
    <n v="55"/>
    <s v="55"/>
    <s v="Muud tegevuskulud"/>
    <x v="0"/>
    <s v="Põhitegevuse kulu"/>
  </r>
  <r>
    <x v="7"/>
    <x v="51"/>
    <x v="51"/>
    <s v="Rahvakultuur"/>
    <s v="Vabaaeg, kultuur ja religioon"/>
    <s v="Ulvi klubi"/>
    <s v="maja hooldustööd/remont"/>
    <n v="1000"/>
    <s v="ettenägematud kulud maja remondiks/pirnide vahetus/parandustööd/kanalisatsioonitööd"/>
    <n v="5511"/>
    <s v="Kinnistute, hoonete ja ruumide majandamiskulud"/>
    <n v="55"/>
    <s v="55"/>
    <s v="Muud tegevuskulud"/>
    <x v="0"/>
    <s v="Põhitegevuse kulu"/>
  </r>
  <r>
    <x v="7"/>
    <x v="51"/>
    <x v="51"/>
    <s v="Rahvakultuur"/>
    <s v="Vabaaeg, kultuur ja religioon"/>
    <s v="Ulvi klubi"/>
    <s v="lilled õue lillekastidesse, amplid suvel maja ees"/>
    <n v="100"/>
    <m/>
    <n v="5511"/>
    <s v="Kinnistute, hoonete ja ruumide majandamiskulud"/>
    <n v="55"/>
    <s v="55"/>
    <s v="Muud tegevuskulud"/>
    <x v="0"/>
    <s v="Põhitegevuse kulu"/>
  </r>
  <r>
    <x v="7"/>
    <x v="51"/>
    <x v="51"/>
    <s v="Rahvakultuur"/>
    <s v="Vabaaeg, kultuur ja religioon"/>
    <s v="Ulvi klubi"/>
    <s v="hoone kindlustus "/>
    <n v="300"/>
    <m/>
    <n v="5511"/>
    <s v="Kinnistute, hoonete ja ruumide majandamiskulud"/>
    <n v="55"/>
    <s v="55"/>
    <s v="Muud tegevuskulud"/>
    <x v="0"/>
    <s v="Põhitegevuse kulu"/>
  </r>
  <r>
    <x v="7"/>
    <x v="51"/>
    <x v="51"/>
    <s v="Rahvakultuur"/>
    <s v="Vabaaeg, kultuur ja religioon"/>
    <s v="Ulvi klubi"/>
    <s v="arvutihooldus/programmid"/>
    <n v="300"/>
    <m/>
    <n v="5514"/>
    <s v="Info- ja kommunikatsioonitehnoliigised kulud"/>
    <n v="55"/>
    <s v="55"/>
    <s v="Muud tegevuskulud"/>
    <x v="0"/>
    <s v="Põhitegevuse kulu"/>
  </r>
  <r>
    <x v="7"/>
    <x v="52"/>
    <x v="52"/>
    <s v="Muuseumid"/>
    <s v="Vabaaeg, kultuur ja religioon"/>
    <s v="Muuseumi juhataja"/>
    <s v="Transpordikulud"/>
    <n v="1000"/>
    <s v="Põlula, Tudu muuseumisse isikute vedu"/>
    <n v="5540"/>
    <s v="Mitmesugused majanduskulud"/>
    <n v="55"/>
    <s v="55"/>
    <s v="Muud tegevuskulud"/>
    <x v="0"/>
    <s v="Põhitegevuse kulu"/>
  </r>
  <r>
    <x v="7"/>
    <x v="52"/>
    <x v="52"/>
    <s v="Muuseumid"/>
    <s v="Vabaaeg, kultuur ja religioon"/>
    <s v="Muuseumi juhataja"/>
    <s v="Skännerid"/>
    <n v="540"/>
    <s v="Põlula, Tudu, Roela, Viru-Jaagupi, Kadila, Laekvere"/>
    <n v="5514"/>
    <s v="Info- ja kommunikatsioonitehnoliigised kulud"/>
    <n v="55"/>
    <s v="55"/>
    <s v="Muud tegevuskulud"/>
    <x v="0"/>
    <s v="Põhitegevuse kulu"/>
  </r>
  <r>
    <x v="7"/>
    <x v="52"/>
    <x v="52"/>
    <s v="Muuseumid"/>
    <s v="Vabaaeg, kultuur ja religioon"/>
    <s v="Muuseumi juhataja"/>
    <s v="Arhiveerimistarvikud"/>
    <n v="2400"/>
    <s v="Põlula, Tudu, Roela, Viru-Jaagupi, Kadila, Laekvere"/>
    <n v="5500"/>
    <s v="Administreerimiskulud"/>
    <n v="55"/>
    <s v="55"/>
    <s v="Muud tegevuskulud"/>
    <x v="0"/>
    <s v="Põhitegevuse kulu"/>
  </r>
  <r>
    <x v="7"/>
    <x v="52"/>
    <x v="52"/>
    <s v="Muuseumid"/>
    <s v="Vabaaeg, kultuur ja religioon"/>
    <s v="Muuseumi juhataja"/>
    <s v="Materjalide ettevalmistamine näituseks"/>
    <n v="1500"/>
    <s v="Põlula, Tudu, Roela "/>
    <n v="5540"/>
    <s v="Mitmesugused majanduskulud"/>
    <n v="55"/>
    <s v="55"/>
    <s v="Muud tegevuskulud"/>
    <x v="0"/>
    <s v="Põhitegevuse kulu"/>
  </r>
  <r>
    <x v="7"/>
    <x v="52"/>
    <x v="52"/>
    <s v="Muuseumid"/>
    <s v="Vabaaeg, kultuur ja religioon"/>
    <s v="Muuseumi juhataja"/>
    <s v="Isikliku sõiduauto komp."/>
    <n v="4020"/>
    <m/>
    <n v="5513"/>
    <s v="Sõidukite ülalpidamise kulud"/>
    <n v="55"/>
    <s v="55"/>
    <s v="Muud tegevuskulud"/>
    <x v="0"/>
    <s v="Põhitegevuse kulu"/>
  </r>
  <r>
    <x v="7"/>
    <x v="52"/>
    <x v="52"/>
    <s v="Muuseumid"/>
    <s v="Vabaaeg, kultuur ja religioon"/>
    <s v="Muuseumi juhataja"/>
    <s v="Sideteenused"/>
    <n v="180"/>
    <m/>
    <n v="5500"/>
    <s v="Administreerimiskulud"/>
    <n v="55"/>
    <s v="55"/>
    <s v="Muud tegevuskulud"/>
    <x v="0"/>
    <s v="Põhitegevuse kulu"/>
  </r>
  <r>
    <x v="7"/>
    <x v="52"/>
    <x v="52"/>
    <s v="Muuseumid"/>
    <s v="Vabaaeg, kultuur ja religioon"/>
    <s v="Muuseumi juhataja"/>
    <s v="Topoteegi aastane hooldustasu"/>
    <n v="300"/>
    <m/>
    <n v="5514"/>
    <s v="Info- ja kommunikatsioonitehnoliigised kulud"/>
    <n v="55"/>
    <s v="55"/>
    <s v="Muud tegevuskulud"/>
    <x v="0"/>
    <s v="Põhitegevuse kulu"/>
  </r>
  <r>
    <x v="7"/>
    <x v="52"/>
    <x v="52"/>
    <s v="Muuseumid"/>
    <s v="Vabaaeg, kultuur ja religioon"/>
    <s v="Muuseumi juhataja"/>
    <s v="Topoteegi pidajate koolitus"/>
    <n v="200"/>
    <m/>
    <n v="5504"/>
    <s v="Koolituskulud"/>
    <n v="55"/>
    <s v="55"/>
    <s v="Muud tegevuskulud"/>
    <x v="0"/>
    <s v="Põhitegevuse kulu"/>
  </r>
  <r>
    <x v="7"/>
    <x v="52"/>
    <x v="52"/>
    <s v="Muuseumid"/>
    <s v="Vabaaeg, kultuur ja religioon"/>
    <s v="Muuseumi juhataja"/>
    <s v="TLU töögrupi tegevuse kompenseerimine"/>
    <n v="1200"/>
    <s v="Majutus, transport, toitlustus"/>
    <n v="5540"/>
    <s v="Mitmesugused majanduskulud"/>
    <n v="55"/>
    <s v="55"/>
    <s v="Muud tegevuskulud"/>
    <x v="0"/>
    <s v="Põhitegevuse kulu"/>
  </r>
  <r>
    <x v="7"/>
    <x v="52"/>
    <x v="52"/>
    <s v="Muuseumid"/>
    <s v="Vabaaeg, kultuur ja religioon"/>
    <s v="Muuseumi juhataja"/>
    <s v="Arhiveerimistarvikud"/>
    <n v="1000"/>
    <m/>
    <n v="5500"/>
    <s v="Administreerimiskulud"/>
    <n v="55"/>
    <s v="55"/>
    <s v="Muud tegevuskulud"/>
    <x v="0"/>
    <s v="Põhitegevuse kulu"/>
  </r>
  <r>
    <x v="7"/>
    <x v="52"/>
    <x v="52"/>
    <s v="Muuseumid"/>
    <s v="Vabaaeg, kultuur ja religioon"/>
    <s v="Muuseumi juhataja"/>
    <s v="Koolitused"/>
    <n v="500"/>
    <m/>
    <n v="5504"/>
    <s v="Koolituskulud"/>
    <n v="55"/>
    <s v="55"/>
    <s v="Muud tegevuskulud"/>
    <x v="0"/>
    <s v="Põhitegevuse kulu"/>
  </r>
  <r>
    <x v="7"/>
    <x v="52"/>
    <x v="52"/>
    <s v="Muuseumid"/>
    <s v="Vabaaeg, kultuur ja religioon"/>
    <s v="Muuseumi juhataja"/>
    <s v="Eksperdi kaasamine ERMist"/>
    <n v="600"/>
    <m/>
    <n v="5540"/>
    <s v="Mitmesugused majanduskulud"/>
    <n v="55"/>
    <s v="55"/>
    <s v="Muud tegevuskulud"/>
    <x v="0"/>
    <s v="Põhitegevuse kulu"/>
  </r>
  <r>
    <x v="7"/>
    <x v="52"/>
    <x v="52"/>
    <s v="Muuseumid"/>
    <s v="Vabaaeg, kultuur ja religioon"/>
    <s v="Muuseumi juhataja"/>
    <s v="Ettenägematud kulud"/>
    <n v="2500"/>
    <m/>
    <n v="5540"/>
    <s v="Mitmesugused majanduskulud"/>
    <n v="55"/>
    <s v="55"/>
    <s v="Muud tegevuskulud"/>
    <x v="0"/>
    <s v="Põhitegevuse kulu"/>
  </r>
  <r>
    <x v="7"/>
    <x v="53"/>
    <x v="53"/>
    <s v="Ringhäälingu- ja kirjastamisteenused"/>
    <s v="Vabaaeg, kultuur ja religioon"/>
    <s v="Kultuuri-ja avalike suhete nõunik"/>
    <s v="Vallalehe kirjastuskulud"/>
    <n v="14000"/>
    <m/>
    <n v="5500"/>
    <s v="Administreerimiskulud"/>
    <n v="55"/>
    <s v="55"/>
    <s v="Muud tegevuskulud"/>
    <x v="0"/>
    <s v="Põhitegevuse kulu"/>
  </r>
  <r>
    <x v="7"/>
    <x v="54"/>
    <x v="54"/>
    <s v="Muu vaba aeg, kultuur, religioon, sh haldus"/>
    <s v="Vabaaeg, kultuur ja religioon"/>
    <s v="Vallavanem"/>
    <s v="Isikliku sõiduauto komp."/>
    <n v="1800"/>
    <s v="Hilje ametikoht"/>
    <n v="5513"/>
    <s v="Sõidukite ülalpidamise kulud"/>
    <n v="55"/>
    <s v="55"/>
    <s v="Muud tegevuskulud"/>
    <x v="0"/>
    <s v="Põhitegevuse kulu"/>
  </r>
  <r>
    <x v="7"/>
    <x v="54"/>
    <x v="54"/>
    <s v="Muu vaba aeg, kultuur, religioon, sh haldus"/>
    <s v="Vabaaeg, kultuur ja religioon"/>
    <s v="Vallavanem"/>
    <s v="koolitused"/>
    <n v="350"/>
    <m/>
    <n v="5504"/>
    <s v="Koolituskulud"/>
    <n v="55"/>
    <s v="55"/>
    <s v="Muud tegevuskulud"/>
    <x v="0"/>
    <s v="Põhitegevuse kulu"/>
  </r>
  <r>
    <x v="7"/>
    <x v="54"/>
    <x v="54"/>
    <s v="Muu vaba aeg, kultuur, religioon, sh haldus"/>
    <s v="Vabaaeg, kultuur ja religioon"/>
    <s v="Vallavanem"/>
    <s v="Sideteenused"/>
    <n v="120"/>
    <m/>
    <n v="5500"/>
    <s v="Administreerimiskulud"/>
    <n v="55"/>
    <s v="55"/>
    <s v="Muud tegevuskulud"/>
    <x v="0"/>
    <s v="Põhitegevuse kulu"/>
  </r>
  <r>
    <x v="8"/>
    <x v="55"/>
    <x v="55"/>
    <s v="Alusharidus"/>
    <s v="Haridus"/>
    <s v="Vinni lasteaed"/>
    <s v="Telefonid, internett"/>
    <n v="800"/>
    <s v="Telia"/>
    <n v="5500"/>
    <s v="Administreerimiskulud"/>
    <n v="55"/>
    <s v="55"/>
    <s v="Muud tegevuskulud"/>
    <x v="0"/>
    <s v="Põhitegevuse kulu"/>
  </r>
  <r>
    <x v="8"/>
    <x v="55"/>
    <x v="55"/>
    <s v="Alusharidus"/>
    <s v="Haridus"/>
    <s v="Vinni lasteaed"/>
    <s v="Ajalehed, tööalane kirjandus, kuulutused"/>
    <n v="500"/>
    <s v="Õpetajate leht, tööalased teavikud jne"/>
    <n v="5500"/>
    <s v="Administreerimiskulud"/>
    <n v="55"/>
    <s v="55"/>
    <s v="Muud tegevuskulud"/>
    <x v="0"/>
    <s v="Põhitegevuse kulu"/>
  </r>
  <r>
    <x v="8"/>
    <x v="55"/>
    <x v="55"/>
    <s v="Alusharidus"/>
    <s v="Haridus"/>
    <s v="Vinni lasteaed"/>
    <s v="Kantseleikaubad"/>
    <n v="450"/>
    <s v="paber, pastakad, tahm jne"/>
    <n v="5500"/>
    <s v="Administreerimiskulud"/>
    <n v="55"/>
    <s v="55"/>
    <s v="Muud tegevuskulud"/>
    <x v="0"/>
    <s v="Põhitegevuse kulu"/>
  </r>
  <r>
    <x v="8"/>
    <x v="55"/>
    <x v="55"/>
    <s v="Alusharidus"/>
    <s v="Haridus"/>
    <s v="Vinni lasteaed"/>
    <s v="Koolitused pedagoogidele"/>
    <n v="1200"/>
    <m/>
    <n v="5504"/>
    <s v="Koolituskulud"/>
    <n v="55"/>
    <s v="55"/>
    <s v="Muud tegevuskulud"/>
    <x v="0"/>
    <s v="Põhitegevuse kulu"/>
  </r>
  <r>
    <x v="8"/>
    <x v="55"/>
    <x v="55"/>
    <s v="Alusharidus"/>
    <s v="Haridus"/>
    <s v="Vinni lasteaed"/>
    <s v="Tellitud koolitused majja"/>
    <n v="500"/>
    <m/>
    <n v="5504"/>
    <s v="Koolituskulud"/>
    <n v="55"/>
    <s v="55"/>
    <s v="Muud tegevuskulud"/>
    <x v="0"/>
    <s v="Põhitegevuse kulu"/>
  </r>
  <r>
    <x v="8"/>
    <x v="55"/>
    <x v="55"/>
    <s v="Alusharidus"/>
    <s v="Haridus"/>
    <s v="Vinni lasteaed"/>
    <s v="Ainesektsioonid"/>
    <n v="300"/>
    <m/>
    <n v="5504"/>
    <s v="Koolituskulud"/>
    <n v="55"/>
    <s v="55"/>
    <s v="Muud tegevuskulud"/>
    <x v="0"/>
    <s v="Põhitegevuse kulu"/>
  </r>
  <r>
    <x v="8"/>
    <x v="55"/>
    <x v="55"/>
    <s v="Alusharidus"/>
    <s v="Haridus"/>
    <s v="Vinni lasteaed"/>
    <s v="Lähetus"/>
    <n v="300"/>
    <s v="bussipiletid, kütus"/>
    <n v="5504"/>
    <s v="Koolituskulud"/>
    <n v="55"/>
    <s v="55"/>
    <s v="Muud tegevuskulud"/>
    <x v="0"/>
    <s v="Põhitegevuse kulu"/>
  </r>
  <r>
    <x v="8"/>
    <x v="55"/>
    <x v="55"/>
    <s v="Alusharidus"/>
    <s v="Haridus"/>
    <s v="Vinni lasteaed"/>
    <s v="Isikliku sõiduauto kasutus"/>
    <n v="1536"/>
    <s v="12x 64 x 2autot"/>
    <n v="5513"/>
    <s v="Sõidukite ülalpidamise kulud"/>
    <n v="55"/>
    <s v="55"/>
    <s v="Muud tegevuskulud"/>
    <x v="0"/>
    <s v="Põhitegevuse kulu"/>
  </r>
  <r>
    <x v="8"/>
    <x v="55"/>
    <x v="55"/>
    <s v="Alusharidus"/>
    <s v="Haridus"/>
    <s v="Vinni lasteaed"/>
    <s v="Süntesaator"/>
    <n v="1500"/>
    <m/>
    <n v="5515"/>
    <s v="Inventari kulud, v.a infotehnoloogia ja kaitseotstarbelised kulud"/>
    <n v="55"/>
    <s v="55"/>
    <s v="Muud tegevuskulud"/>
    <x v="0"/>
    <s v="Põhitegevuse kulu"/>
  </r>
  <r>
    <x v="8"/>
    <x v="55"/>
    <x v="55"/>
    <s v="Alusharidus"/>
    <s v="Haridus"/>
    <s v="Vinni lasteaed"/>
    <s v="Lumepuhur"/>
    <n v="1000"/>
    <m/>
    <n v="5515"/>
    <s v="Inventari kulud, v.a infotehnoloogia ja kaitseotstarbelised kulud"/>
    <n v="55"/>
    <s v="55"/>
    <s v="Muud tegevuskulud"/>
    <x v="0"/>
    <s v="Põhitegevuse kulu"/>
  </r>
  <r>
    <x v="8"/>
    <x v="55"/>
    <x v="55"/>
    <s v="Alusharidus"/>
    <s v="Haridus"/>
    <s v="Vinni lasteaed"/>
    <s v="toidupäevade arv x 1,60 euroga- 25% puudumised"/>
    <n v="22000"/>
    <m/>
    <n v="5521"/>
    <s v="Toiduained ja toitlustusteenused"/>
    <n v="55"/>
    <s v="55"/>
    <s v="Muud tegevuskulud"/>
    <x v="0"/>
    <s v="Põhitegevuse kulu"/>
  </r>
  <r>
    <x v="8"/>
    <x v="55"/>
    <x v="55"/>
    <s v="Alusharidus"/>
    <s v="Haridus"/>
    <s v="Vinni lasteaed"/>
    <s v="Hügieenitarbed"/>
    <n v="300"/>
    <s v="plaastrid, des.vahendid jne"/>
    <n v="5522"/>
    <s v="Meditsiinikulud ja hügieenitarbed"/>
    <n v="55"/>
    <s v="55"/>
    <s v="Muud tegevuskulud"/>
    <x v="0"/>
    <s v="Põhitegevuse kulu"/>
  </r>
  <r>
    <x v="8"/>
    <x v="55"/>
    <x v="55"/>
    <s v="Alusharidus"/>
    <s v="Haridus"/>
    <s v="Vinni lasteaed"/>
    <s v="Korralised med. tõendid"/>
    <n v="200"/>
    <s v="tervise tõend, töötervishoiu arst"/>
    <n v="5522"/>
    <s v="Meditsiinikulud ja hügieenitarbed"/>
    <n v="55"/>
    <s v="55"/>
    <s v="Muud tegevuskulud"/>
    <x v="0"/>
    <s v="Põhitegevuse kulu"/>
  </r>
  <r>
    <x v="8"/>
    <x v="55"/>
    <x v="55"/>
    <s v="Alusharidus"/>
    <s v="Haridus"/>
    <s v="Vinni lasteaed"/>
    <s v="Erialane pedagoogiline kirjandus"/>
    <n v="500"/>
    <m/>
    <n v="5523"/>
    <s v="Teavikud ja kunstiesemed"/>
    <n v="55"/>
    <s v="55"/>
    <s v="Muud tegevuskulud"/>
    <x v="0"/>
    <s v="Põhitegevuse kulu"/>
  </r>
  <r>
    <x v="8"/>
    <x v="55"/>
    <x v="55"/>
    <s v="Alusharidus"/>
    <s v="Haridus"/>
    <s v="Vinni lasteaed"/>
    <s v="Lasteraamatud ja teatmeteosed"/>
    <n v="500"/>
    <m/>
    <n v="5523"/>
    <s v="Teavikud ja kunstiesemed"/>
    <n v="55"/>
    <s v="55"/>
    <s v="Muud tegevuskulud"/>
    <x v="0"/>
    <s v="Põhitegevuse kulu"/>
  </r>
  <r>
    <x v="8"/>
    <x v="55"/>
    <x v="55"/>
    <s v="Alusharidus"/>
    <s v="Haridus"/>
    <s v="Vinni lasteaed"/>
    <s v="Paberid, värvid, pliiatsid, pintslid, liimid,meisterdamis vahendid jne"/>
    <n v="4400"/>
    <m/>
    <n v="5524"/>
    <s v="Õppevahendid"/>
    <n v="55"/>
    <s v="55"/>
    <s v="Muud tegevuskulud"/>
    <x v="0"/>
    <s v="Põhitegevuse kulu"/>
  </r>
  <r>
    <x v="8"/>
    <x v="55"/>
    <x v="55"/>
    <s v="Alusharidus"/>
    <s v="Haridus"/>
    <s v="Vinni lasteaed"/>
    <s v="Mänguvahendid, õpikud, töövihikud"/>
    <n v="4400"/>
    <m/>
    <n v="5524"/>
    <s v="Õppevahendid"/>
    <n v="55"/>
    <s v="55"/>
    <s v="Muud tegevuskulud"/>
    <x v="0"/>
    <s v="Põhitegevuse kulu"/>
  </r>
  <r>
    <x v="8"/>
    <x v="55"/>
    <x v="55"/>
    <s v="Alusharidus"/>
    <s v="Haridus"/>
    <s v="Vinni lasteaed"/>
    <s v="Mängupeod, väljasõidud, ühisüritused lastele"/>
    <n v="2000"/>
    <s v="auhinnad, bussi tellimine"/>
    <n v="5525"/>
    <s v="Kommunikatsiooni-, kultuuri- ja vaba aja sisustamise kulud"/>
    <n v="55"/>
    <s v="55"/>
    <s v="Muud tegevuskulud"/>
    <x v="0"/>
    <s v="Põhitegevuse kulu"/>
  </r>
  <r>
    <x v="8"/>
    <x v="55"/>
    <x v="55"/>
    <s v="Alusharidus"/>
    <s v="Haridus"/>
    <s v="Vinni lasteaed"/>
    <s v="Ühisüritused personalile, väljasõidud"/>
    <n v="2000"/>
    <s v="bussi tellimine, ruumide rent"/>
    <n v="5525"/>
    <s v="Kommunikatsiooni-, kultuuri- ja vaba aja sisustamise kulud"/>
    <n v="55"/>
    <s v="55"/>
    <s v="Muud tegevuskulud"/>
    <x v="0"/>
    <s v="Põhitegevuse kulu"/>
  </r>
  <r>
    <x v="8"/>
    <x v="55"/>
    <x v="55"/>
    <s v="Alusharidus"/>
    <s v="Haridus"/>
    <s v="Vinni lasteaed"/>
    <s v="soojus"/>
    <n v="18000"/>
    <s v="Askoterm OÜ"/>
    <n v="5511"/>
    <s v="Kinnistute, hoonete ja ruumide majandamiskulud"/>
    <n v="55"/>
    <s v="55"/>
    <s v="Muud tegevuskulud"/>
    <x v="0"/>
    <s v="Põhitegevuse kulu"/>
  </r>
  <r>
    <x v="8"/>
    <x v="55"/>
    <x v="55"/>
    <s v="Alusharidus"/>
    <s v="Haridus"/>
    <s v="Vinni lasteaed"/>
    <s v="Vesi, kanalisatsioon"/>
    <n v="2500"/>
    <s v="Emajõe Veevärk AS"/>
    <n v="5511"/>
    <s v="Kinnistute, hoonete ja ruumide majandamiskulud"/>
    <n v="55"/>
    <s v="55"/>
    <s v="Muud tegevuskulud"/>
    <x v="0"/>
    <s v="Põhitegevuse kulu"/>
  </r>
  <r>
    <x v="8"/>
    <x v="55"/>
    <x v="55"/>
    <s v="Alusharidus"/>
    <s v="Haridus"/>
    <s v="Vinni lasteaed"/>
    <s v="Elekter"/>
    <n v="6000"/>
    <s v="Eesti Energia AS"/>
    <n v="5511"/>
    <s v="Kinnistute, hoonete ja ruumide majandamiskulud"/>
    <n v="55"/>
    <s v="55"/>
    <s v="Muud tegevuskulud"/>
    <x v="0"/>
    <s v="Põhitegevuse kulu"/>
  </r>
  <r>
    <x v="8"/>
    <x v="55"/>
    <x v="55"/>
    <s v="Alusharidus"/>
    <s v="Haridus"/>
    <s v="Vinni lasteaed"/>
    <s v="Prügi"/>
    <n v="360"/>
    <s v="MTÜ L- Virumaa Jäätmekeskus, Ragnr Sells OÜ"/>
    <n v="5511"/>
    <s v="Kinnistute, hoonete ja ruumide majandamiskulud"/>
    <n v="55"/>
    <s v="55"/>
    <s v="Muud tegevuskulud"/>
    <x v="0"/>
    <s v="Põhitegevuse kulu"/>
  </r>
  <r>
    <x v="8"/>
    <x v="55"/>
    <x v="55"/>
    <s v="Alusharidus"/>
    <s v="Haridus"/>
    <s v="Vinni lasteaed"/>
    <s v="Pesu pesemine"/>
    <n v="1020"/>
    <s v="Pesumaja teenus 85x12"/>
    <n v="5511"/>
    <s v="Kinnistute, hoonete ja ruumide majandamiskulud"/>
    <n v="55"/>
    <s v="55"/>
    <s v="Muud tegevuskulud"/>
    <x v="0"/>
    <s v="Põhitegevuse kulu"/>
  </r>
  <r>
    <x v="8"/>
    <x v="55"/>
    <x v="55"/>
    <s v="Alusharidus"/>
    <s v="Haridus"/>
    <s v="Vinni lasteaed"/>
    <s v="Ats hooldus"/>
    <n v="460"/>
    <s v="U.K.V Grupp OÜ  4x115"/>
    <n v="5511"/>
    <s v="Kinnistute, hoonete ja ruumide majandamiskulud"/>
    <n v="55"/>
    <s v="55"/>
    <s v="Muud tegevuskulud"/>
    <x v="0"/>
    <s v="Põhitegevuse kulu"/>
  </r>
  <r>
    <x v="8"/>
    <x v="55"/>
    <x v="55"/>
    <s v="Alusharidus"/>
    <s v="Haridus"/>
    <s v="Vinni lasteaed"/>
    <s v="Liivafiltri hooldus, rasvakoguja"/>
    <n v="1200"/>
    <s v="Virumaa Veepumbakeskus OÜ, Protectpipe OÜ"/>
    <n v="5511"/>
    <s v="Kinnistute, hoonete ja ruumide majandamiskulud"/>
    <n v="55"/>
    <s v="55"/>
    <s v="Muud tegevuskulud"/>
    <x v="0"/>
    <s v="Põhitegevuse kulu"/>
  </r>
  <r>
    <x v="8"/>
    <x v="55"/>
    <x v="55"/>
    <s v="Alusharidus"/>
    <s v="Haridus"/>
    <s v="Vinni lasteaed"/>
    <s v="Kahjurtõrje"/>
    <n v="192"/>
    <s v="Rentokil OÜ 48x4"/>
    <n v="5511"/>
    <s v="Kinnistute, hoonete ja ruumide majandamiskulud"/>
    <n v="55"/>
    <s v="55"/>
    <s v="Muud tegevuskulud"/>
    <x v="0"/>
    <s v="Põhitegevuse kulu"/>
  </r>
  <r>
    <x v="8"/>
    <x v="55"/>
    <x v="55"/>
    <s v="Alusharidus"/>
    <s v="Haridus"/>
    <s v="Vinni lasteaed"/>
    <s v="Muruniiduk, murutraktor, trimmer"/>
    <n v="200"/>
    <s v="bensiin, remont, damiil"/>
    <n v="5511"/>
    <s v="Kinnistute, hoonete ja ruumide majandamiskulud"/>
    <n v="55"/>
    <s v="55"/>
    <s v="Muud tegevuskulud"/>
    <x v="0"/>
    <s v="Põhitegevuse kulu"/>
  </r>
  <r>
    <x v="8"/>
    <x v="55"/>
    <x v="55"/>
    <s v="Alusharidus"/>
    <s v="Haridus"/>
    <s v="Vinni lasteaed"/>
    <s v="Koristusvahendid, puhastusvahendid, paberid jne"/>
    <n v="4000"/>
    <s v="Puhastusimport OÜ, Kaupmees, Bauhof"/>
    <n v="5511"/>
    <s v="Kinnistute, hoonete ja ruumide majandamiskulud"/>
    <n v="55"/>
    <s v="55"/>
    <s v="Muud tegevuskulud"/>
    <x v="0"/>
    <s v="Põhitegevuse kulu"/>
  </r>
  <r>
    <x v="8"/>
    <x v="55"/>
    <x v="55"/>
    <s v="Alusharidus"/>
    <s v="Haridus"/>
    <s v="Vinni lasteaed"/>
    <s v="Jooksev remont-santehniline töö, turvavalgustus, mänguväljak jne"/>
    <n v="3000"/>
    <s v="materjalid, töö"/>
    <n v="5511"/>
    <s v="Kinnistute, hoonete ja ruumide majandamiskulud"/>
    <n v="55"/>
    <s v="55"/>
    <s v="Muud tegevuskulud"/>
    <x v="0"/>
    <s v="Põhitegevuse kulu"/>
  </r>
  <r>
    <x v="8"/>
    <x v="55"/>
    <x v="55"/>
    <s v="Alusharidus"/>
    <s v="Haridus"/>
    <s v="Vinni lasteaed"/>
    <s v="Eliis, Anc programm"/>
    <n v="850"/>
    <m/>
    <n v="5514"/>
    <s v="Info- ja kommunikatsioonitehnoliigised kulud"/>
    <n v="55"/>
    <s v="55"/>
    <s v="Muud tegevuskulud"/>
    <x v="0"/>
    <s v="Põhitegevuse kulu"/>
  </r>
  <r>
    <x v="8"/>
    <x v="55"/>
    <x v="55"/>
    <s v="Alusharidus"/>
    <s v="Haridus"/>
    <s v="Vinni lasteaed"/>
    <s v="Arvutiprogrammid, hooldused"/>
    <n v="350"/>
    <s v="viirusetõrje 10x25, dropbox"/>
    <n v="5514"/>
    <s v="Info- ja kommunikatsioonitehnoliigised kulud"/>
    <n v="55"/>
    <s v="55"/>
    <s v="Muud tegevuskulud"/>
    <x v="0"/>
    <s v="Põhitegevuse kulu"/>
  </r>
  <r>
    <x v="8"/>
    <x v="55"/>
    <x v="55"/>
    <s v="Alusharidus"/>
    <s v="Haridus"/>
    <s v="Vinni lasteaed"/>
    <s v="Remont"/>
    <n v="200"/>
    <m/>
    <n v="5514"/>
    <s v="Info- ja kommunikatsioonitehnoliigised kulud"/>
    <n v="55"/>
    <s v="55"/>
    <s v="Muud tegevuskulud"/>
    <x v="0"/>
    <s v="Põhitegevuse kulu"/>
  </r>
  <r>
    <x v="8"/>
    <x v="55"/>
    <x v="55"/>
    <s v="Alusharidus"/>
    <s v="Haridus"/>
    <s v="Vinni lasteaed"/>
    <s v="Mõisa kiviaed +tööriistakuur"/>
    <n v="5000"/>
    <s v="VALLA ETTEPANEK"/>
    <n v="5511"/>
    <s v="Kinnistute, hoonete ja ruumide majandamiskulud"/>
    <n v="55"/>
    <s v="55"/>
    <s v="Muud tegevuskulud"/>
    <x v="0"/>
    <s v="Põhitegevuse kulu"/>
  </r>
  <r>
    <x v="8"/>
    <x v="55"/>
    <x v="55"/>
    <s v="Alusharidus"/>
    <s v="Haridus"/>
    <s v="Vinni lasteaed"/>
    <s v="Kiige tn poolne trepp"/>
    <n v="500"/>
    <s v="materjali kulu"/>
    <n v="5511"/>
    <s v="Kinnistute, hoonete ja ruumide majandamiskulud"/>
    <n v="55"/>
    <s v="55"/>
    <s v="Muud tegevuskulud"/>
    <x v="0"/>
    <s v="Põhitegevuse kulu"/>
  </r>
  <r>
    <x v="8"/>
    <x v="56"/>
    <x v="56"/>
    <s v="Alusharidus"/>
    <s v="Haridus"/>
    <s v="Pajusti lasteaed"/>
    <s v="telefonid ja internet"/>
    <n v="760"/>
    <m/>
    <n v="5500"/>
    <s v="Administreerimiskulud"/>
    <n v="55"/>
    <s v="55"/>
    <s v="Muud tegevuskulud"/>
    <x v="0"/>
    <s v="Põhitegevuse kulu"/>
  </r>
  <r>
    <x v="8"/>
    <x v="56"/>
    <x v="56"/>
    <s v="Alusharidus"/>
    <s v="Haridus"/>
    <s v="Pajusti lasteaed"/>
    <s v="mobiil"/>
    <n v="25"/>
    <m/>
    <n v="5500"/>
    <s v="Administreerimiskulud"/>
    <n v="55"/>
    <s v="55"/>
    <s v="Muud tegevuskulud"/>
    <x v="0"/>
    <s v="Põhitegevuse kulu"/>
  </r>
  <r>
    <x v="8"/>
    <x v="56"/>
    <x v="56"/>
    <s v="Alusharidus"/>
    <s v="Haridus"/>
    <s v="Pajusti lasteaed"/>
    <s v="kuulutused/ postikulu"/>
    <n v="60"/>
    <m/>
    <n v="5500"/>
    <s v="Administreerimiskulud"/>
    <n v="55"/>
    <s v="55"/>
    <s v="Muud tegevuskulud"/>
    <x v="0"/>
    <s v="Põhitegevuse kulu"/>
  </r>
  <r>
    <x v="8"/>
    <x v="56"/>
    <x v="56"/>
    <s v="Alusharidus"/>
    <s v="Haridus"/>
    <s v="Pajusti lasteaed"/>
    <s v="printerite tahmad"/>
    <n v="500"/>
    <m/>
    <n v="5500"/>
    <s v="Administreerimiskulud"/>
    <n v="55"/>
    <s v="55"/>
    <s v="Muud tegevuskulud"/>
    <x v="0"/>
    <s v="Põhitegevuse kulu"/>
  </r>
  <r>
    <x v="8"/>
    <x v="56"/>
    <x v="56"/>
    <s v="Alusharidus"/>
    <s v="Haridus"/>
    <s v="Pajusti lasteaed"/>
    <s v="Koolitused"/>
    <n v="300"/>
    <m/>
    <n v="5504"/>
    <s v="Koolituskulud"/>
    <n v="55"/>
    <s v="55"/>
    <s v="Muud tegevuskulud"/>
    <x v="0"/>
    <s v="Põhitegevuse kulu"/>
  </r>
  <r>
    <x v="8"/>
    <x v="56"/>
    <x v="56"/>
    <s v="Alusharidus"/>
    <s v="Haridus"/>
    <s v="Pajusti lasteaed"/>
    <s v="isikliku sõiduauto kasutus"/>
    <n v="704"/>
    <s v="64.- x 11 kuud"/>
    <n v="5513"/>
    <s v="Sõidukite ülalpidamise kulud"/>
    <n v="55"/>
    <s v="55"/>
    <s v="Muud tegevuskulud"/>
    <x v="0"/>
    <s v="Põhitegevuse kulu"/>
  </r>
  <r>
    <x v="8"/>
    <x v="56"/>
    <x v="56"/>
    <s v="Alusharidus"/>
    <s v="Haridus"/>
    <s v="Pajusti lasteaed"/>
    <s v="rulood 2 rühma"/>
    <n v="600"/>
    <m/>
    <n v="5515"/>
    <s v="Inventari kulud, v.a infotehnoloogia ja kaitseotstarbelised kulud"/>
    <n v="55"/>
    <s v="55"/>
    <s v="Muud tegevuskulud"/>
    <x v="0"/>
    <s v="Põhitegevuse kulu"/>
  </r>
  <r>
    <x v="8"/>
    <x v="56"/>
    <x v="56"/>
    <s v="Alusharidus"/>
    <s v="Haridus"/>
    <s v="Pajusti lasteaed"/>
    <s v="klaveri häälestamine"/>
    <n v="140"/>
    <m/>
    <n v="5515"/>
    <s v="Inventari kulud, v.a infotehnoloogia ja kaitseotstarbelised kulud"/>
    <n v="55"/>
    <s v="55"/>
    <s v="Muud tegevuskulud"/>
    <x v="0"/>
    <s v="Põhitegevuse kulu"/>
  </r>
  <r>
    <x v="8"/>
    <x v="56"/>
    <x v="56"/>
    <s v="Alusharidus"/>
    <s v="Haridus"/>
    <s v="Pajusti lasteaed"/>
    <s v="toiduained "/>
    <n v="6500"/>
    <s v="5483 toidupäeva (so 55%) x1.15"/>
    <n v="5521"/>
    <s v="Toiduained ja toitlustusteenused"/>
    <n v="55"/>
    <s v="55"/>
    <s v="Muud tegevuskulud"/>
    <x v="0"/>
    <s v="Põhitegevuse kulu"/>
  </r>
  <r>
    <x v="8"/>
    <x v="56"/>
    <x v="56"/>
    <s v="Alusharidus"/>
    <s v="Haridus"/>
    <s v="Pajusti lasteaed"/>
    <s v="töötajate tervisetõendid, esmaabivahendid"/>
    <n v="80"/>
    <m/>
    <n v="5522"/>
    <s v="Meditsiinikulud ja hügieenitarbed"/>
    <n v="55"/>
    <s v="55"/>
    <s v="Muud tegevuskulud"/>
    <x v="0"/>
    <s v="Põhitegevuse kulu"/>
  </r>
  <r>
    <x v="8"/>
    <x v="56"/>
    <x v="56"/>
    <s v="Alusharidus"/>
    <s v="Haridus"/>
    <s v="Pajusti lasteaed"/>
    <s v="töövihikud, raamatud, mänguasjad, metoodilised vahendid ja kirjandus"/>
    <n v="4800"/>
    <m/>
    <n v="5524"/>
    <s v="Õppevahendid"/>
    <n v="55"/>
    <s v="55"/>
    <s v="Muud tegevuskulud"/>
    <x v="0"/>
    <s v="Põhitegevuse kulu"/>
  </r>
  <r>
    <x v="8"/>
    <x v="56"/>
    <x v="56"/>
    <s v="Alusharidus"/>
    <s v="Haridus"/>
    <s v="Pajusti lasteaed"/>
    <s v="üritused"/>
    <n v="200"/>
    <m/>
    <n v="5525"/>
    <s v="Kommunikatsiooni-, kultuuri- ja vaba aja sisustamise kulud"/>
    <n v="55"/>
    <s v="55"/>
    <s v="Muud tegevuskulud"/>
    <x v="0"/>
    <s v="Põhitegevuse kulu"/>
  </r>
  <r>
    <x v="8"/>
    <x v="56"/>
    <x v="56"/>
    <s v="Alusharidus"/>
    <s v="Haridus"/>
    <s v="Pajusti lasteaed"/>
    <s v="laste õppereisid"/>
    <n v="350"/>
    <m/>
    <n v="5525"/>
    <s v="Kommunikatsiooni-, kultuuri- ja vaba aja sisustamise kulud"/>
    <n v="55"/>
    <s v="55"/>
    <s v="Muud tegevuskulud"/>
    <x v="0"/>
    <s v="Põhitegevuse kulu"/>
  </r>
  <r>
    <x v="8"/>
    <x v="56"/>
    <x v="56"/>
    <s v="Alusharidus"/>
    <s v="Haridus"/>
    <s v="Pajusti lasteaed"/>
    <s v="küte"/>
    <n v="6951"/>
    <s v="77,2x90MVH"/>
    <n v="5511"/>
    <s v="Kinnistute, hoonete ja ruumide majandamiskulud"/>
    <n v="55"/>
    <s v="55"/>
    <s v="Muud tegevuskulud"/>
    <x v="0"/>
    <s v="Põhitegevuse kulu"/>
  </r>
  <r>
    <x v="8"/>
    <x v="56"/>
    <x v="56"/>
    <s v="Alusharidus"/>
    <s v="Haridus"/>
    <s v="Pajusti lasteaed"/>
    <s v="elekter"/>
    <n v="2860"/>
    <s v="2018.a.+ 10%"/>
    <n v="5511"/>
    <s v="Kinnistute, hoonete ja ruumide majandamiskulud"/>
    <n v="55"/>
    <s v="55"/>
    <s v="Muud tegevuskulud"/>
    <x v="0"/>
    <s v="Põhitegevuse kulu"/>
  </r>
  <r>
    <x v="8"/>
    <x v="56"/>
    <x v="56"/>
    <s v="Alusharidus"/>
    <s v="Haridus"/>
    <s v="Pajusti lasteaed"/>
    <s v="vesi ja kanalisatsioon"/>
    <n v="927"/>
    <s v="2,376 eur x 390m3"/>
    <n v="5511"/>
    <s v="Kinnistute, hoonete ja ruumide majandamiskulud"/>
    <n v="55"/>
    <s v="55"/>
    <s v="Muud tegevuskulud"/>
    <x v="0"/>
    <s v="Põhitegevuse kulu"/>
  </r>
  <r>
    <x v="8"/>
    <x v="56"/>
    <x v="56"/>
    <s v="Alusharidus"/>
    <s v="Haridus"/>
    <s v="Pajusti lasteaed"/>
    <s v="korrashoiuvahendid"/>
    <n v="1300"/>
    <s v="puhastusvahendid, lapid, mopid, paber"/>
    <n v="5511"/>
    <s v="Kinnistute, hoonete ja ruumide majandamiskulud"/>
    <n v="55"/>
    <s v="55"/>
    <s v="Muud tegevuskulud"/>
    <x v="0"/>
    <s v="Põhitegevuse kulu"/>
  </r>
  <r>
    <x v="8"/>
    <x v="56"/>
    <x v="56"/>
    <s v="Alusharidus"/>
    <s v="Haridus"/>
    <s v="Pajusti lasteaed"/>
    <s v="ATS hooldus"/>
    <n v="184"/>
    <s v="46x 4 kvartalit"/>
    <n v="5511"/>
    <s v="Kinnistute, hoonete ja ruumide majandamiskulud"/>
    <n v="55"/>
    <s v="55"/>
    <s v="Muud tegevuskulud"/>
    <x v="0"/>
    <s v="Põhitegevuse kulu"/>
  </r>
  <r>
    <x v="8"/>
    <x v="56"/>
    <x v="56"/>
    <s v="Alusharidus"/>
    <s v="Haridus"/>
    <s v="Pajusti lasteaed"/>
    <s v="pesupesemise teenus"/>
    <n v="540"/>
    <s v="45x 12 korda"/>
    <n v="5511"/>
    <s v="Kinnistute, hoonete ja ruumide majandamiskulud"/>
    <n v="55"/>
    <s v="55"/>
    <s v="Muud tegevuskulud"/>
    <x v="0"/>
    <s v="Põhitegevuse kulu"/>
  </r>
  <r>
    <x v="8"/>
    <x v="56"/>
    <x v="56"/>
    <s v="Alusharidus"/>
    <s v="Haridus"/>
    <s v="Pajusti lasteaed"/>
    <s v="kanal.pumpade hooldus"/>
    <n v="240"/>
    <s v="60x 4 korda aastas"/>
    <n v="5511"/>
    <s v="Kinnistute, hoonete ja ruumide majandamiskulud"/>
    <n v="55"/>
    <s v="55"/>
    <s v="Muud tegevuskulud"/>
    <x v="0"/>
    <s v="Põhitegevuse kulu"/>
  </r>
  <r>
    <x v="8"/>
    <x v="56"/>
    <x v="56"/>
    <s v="Alusharidus"/>
    <s v="Haridus"/>
    <s v="Pajusti lasteaed"/>
    <s v="prügivedu ja konteineri rent"/>
    <n v="117"/>
    <s v="R-S 3.86 J 5.84x12 kuud"/>
    <n v="5511"/>
    <s v="Kinnistute, hoonete ja ruumide majandamiskulud"/>
    <n v="55"/>
    <s v="55"/>
    <s v="Muud tegevuskulud"/>
    <x v="0"/>
    <s v="Põhitegevuse kulu"/>
  </r>
  <r>
    <x v="8"/>
    <x v="56"/>
    <x v="56"/>
    <s v="Alusharidus"/>
    <s v="Haridus"/>
    <s v="Pajusti lasteaed"/>
    <s v="ELIIS"/>
    <n v="260"/>
    <m/>
    <n v="5514"/>
    <s v="Info- ja kommunikatsioonitehnoliigised kulud"/>
    <n v="55"/>
    <s v="55"/>
    <s v="Muud tegevuskulud"/>
    <x v="0"/>
    <s v="Põhitegevuse kulu"/>
  </r>
  <r>
    <x v="8"/>
    <x v="56"/>
    <x v="56"/>
    <s v="Alusharidus"/>
    <s v="Haridus"/>
    <s v="Pajusti lasteaed"/>
    <s v="hooldused, remont, varuosad"/>
    <n v="120"/>
    <m/>
    <n v="5514"/>
    <s v="Info- ja kommunikatsioonitehnoliigised kulud"/>
    <n v="55"/>
    <s v="55"/>
    <s v="Muud tegevuskulud"/>
    <x v="0"/>
    <s v="Põhitegevuse kulu"/>
  </r>
  <r>
    <x v="8"/>
    <x v="56"/>
    <x v="56"/>
    <s v="Alusharidus"/>
    <s v="Haridus"/>
    <s v="Pajusti lasteaed"/>
    <s v="Korrashoiu- ja puhastusvahendid"/>
    <n v="967"/>
    <m/>
    <n v="5511"/>
    <s v="Kinnistute, hoonete ja ruumide majandamiskulud"/>
    <n v="55"/>
    <s v="55"/>
    <s v="Muud tegevuskulud"/>
    <x v="0"/>
    <s v="Põhitegevuse kulu"/>
  </r>
  <r>
    <x v="8"/>
    <x v="56"/>
    <x v="56"/>
    <s v="Alusharidus"/>
    <s v="Haridus"/>
    <s v="Pajusti lasteaed"/>
    <s v="Mänguväljaku rajamine"/>
    <n v="5500"/>
    <m/>
    <n v="5511"/>
    <s v="Kinnistute, hoonete ja ruumide majandamiskulud"/>
    <n v="55"/>
    <s v="55"/>
    <s v="Muud tegevuskulud"/>
    <x v="0"/>
    <s v="Põhitegevuse kulu"/>
  </r>
  <r>
    <x v="8"/>
    <x v="57"/>
    <x v="57"/>
    <s v="Alusharidus"/>
    <s v="Haridus"/>
    <s v="Kulina lasteaed"/>
    <s v="telefon ja internet"/>
    <n v="650"/>
    <s v="Elion"/>
    <n v="5500"/>
    <s v="Administreerimiskulud"/>
    <n v="55"/>
    <s v="55"/>
    <s v="Muud tegevuskulud"/>
    <x v="0"/>
    <s v="Põhitegevuse kulu"/>
  </r>
  <r>
    <x v="8"/>
    <x v="57"/>
    <x v="57"/>
    <s v="Alusharidus"/>
    <s v="Haridus"/>
    <s v="Kulina lasteaed"/>
    <s v="kantseleikaup"/>
    <n v="100"/>
    <s v="koopiapaber, kilekaaned jms"/>
    <n v="5500"/>
    <s v="Administreerimiskulud"/>
    <n v="55"/>
    <s v="55"/>
    <s v="Muud tegevuskulud"/>
    <x v="0"/>
    <s v="Põhitegevuse kulu"/>
  </r>
  <r>
    <x v="8"/>
    <x v="57"/>
    <x v="57"/>
    <s v="Alusharidus"/>
    <s v="Haridus"/>
    <s v="Kulina lasteaed"/>
    <s v="printeritahm"/>
    <n v="120"/>
    <m/>
    <n v="5500"/>
    <s v="Administreerimiskulud"/>
    <n v="55"/>
    <s v="55"/>
    <s v="Muud tegevuskulud"/>
    <x v="0"/>
    <s v="Põhitegevuse kulu"/>
  </r>
  <r>
    <x v="8"/>
    <x v="57"/>
    <x v="57"/>
    <s v="Alusharidus"/>
    <s v="Haridus"/>
    <s v="Kulina lasteaed"/>
    <s v="liikmemaks"/>
    <n v="16"/>
    <s v="L-Viru Haridusjuhtide Liit"/>
    <n v="5500"/>
    <s v="Administreerimiskulud"/>
    <n v="55"/>
    <s v="55"/>
    <s v="Muud tegevuskulud"/>
    <x v="0"/>
    <s v="Põhitegevuse kulu"/>
  </r>
  <r>
    <x v="8"/>
    <x v="57"/>
    <x v="57"/>
    <s v="Alusharidus"/>
    <s v="Haridus"/>
    <s v="Kulina lasteaed"/>
    <s v="Haridus 2019"/>
    <n v="25"/>
    <s v="aasta tellimus"/>
    <n v="5500"/>
    <s v="Administreerimiskulud"/>
    <n v="55"/>
    <s v="55"/>
    <s v="Muud tegevuskulud"/>
    <x v="0"/>
    <s v="Põhitegevuse kulu"/>
  </r>
  <r>
    <x v="8"/>
    <x v="57"/>
    <x v="57"/>
    <s v="Alusharidus"/>
    <s v="Haridus"/>
    <s v="Kulina lasteaed"/>
    <s v="Eliis"/>
    <n v="288"/>
    <s v="24*12 "/>
    <n v="5500"/>
    <s v="Administreerimiskulud"/>
    <n v="55"/>
    <s v="55"/>
    <s v="Muud tegevuskulud"/>
    <x v="0"/>
    <s v="Põhitegevuse kulu"/>
  </r>
  <r>
    <x v="8"/>
    <x v="57"/>
    <x v="57"/>
    <s v="Alusharidus"/>
    <s v="Haridus"/>
    <s v="Kulina lasteaed"/>
    <s v="Õpetajate leht"/>
    <n v="28"/>
    <s v="aastatellimus"/>
    <n v="5500"/>
    <s v="Administreerimiskulud"/>
    <n v="55"/>
    <s v="55"/>
    <s v="Muud tegevuskulud"/>
    <x v="0"/>
    <s v="Põhitegevuse kulu"/>
  </r>
  <r>
    <x v="8"/>
    <x v="57"/>
    <x v="57"/>
    <s v="Alusharidus"/>
    <s v="Haridus"/>
    <s v="Kulina lasteaed"/>
    <s v="Täheke"/>
    <n v="18"/>
    <s v="aastatellimus"/>
    <n v="5500"/>
    <s v="Administreerimiskulud"/>
    <n v="55"/>
    <s v="55"/>
    <s v="Muud tegevuskulud"/>
    <x v="0"/>
    <s v="Põhitegevuse kulu"/>
  </r>
  <r>
    <x v="8"/>
    <x v="57"/>
    <x v="57"/>
    <s v="Alusharidus"/>
    <s v="Haridus"/>
    <s v="Kulina lasteaed"/>
    <s v="koolituste plaan"/>
    <n v="504"/>
    <m/>
    <n v="5504"/>
    <s v="Koolituskulud"/>
    <n v="55"/>
    <s v="55"/>
    <s v="Muud tegevuskulud"/>
    <x v="0"/>
    <s v="Põhitegevuse kulu"/>
  </r>
  <r>
    <x v="8"/>
    <x v="57"/>
    <x v="57"/>
    <s v="Alusharidus"/>
    <s v="Haridus"/>
    <s v="Kulina lasteaed"/>
    <s v="Esmaabi"/>
    <n v="165"/>
    <m/>
    <n v="5504"/>
    <s v="Koolituskulud"/>
    <n v="55"/>
    <s v="55"/>
    <s v="Muud tegevuskulud"/>
    <x v="0"/>
    <s v="Põhitegevuse kulu"/>
  </r>
  <r>
    <x v="8"/>
    <x v="57"/>
    <x v="57"/>
    <s v="Alusharidus"/>
    <s v="Haridus"/>
    <s v="Kulina lasteaed"/>
    <s v="Isikliku sõiduauto komp."/>
    <n v="1430"/>
    <s v="130*11 isikliku sõiduauto kasutamine"/>
    <n v="5513"/>
    <s v="Sõidukite ülalpidamise kulud"/>
    <n v="55"/>
    <s v="55"/>
    <s v="Muud tegevuskulud"/>
    <x v="0"/>
    <s v="Põhitegevuse kulu"/>
  </r>
  <r>
    <x v="8"/>
    <x v="57"/>
    <x v="57"/>
    <s v="Alusharidus"/>
    <s v="Haridus"/>
    <s v="Kulina lasteaed"/>
    <s v="paberipurustaja"/>
    <n v="250"/>
    <s v="andmekaitse"/>
    <n v="5515"/>
    <s v="Inventari kulud, v.a infotehnoloogia ja kaitseotstarbelised kulud"/>
    <n v="55"/>
    <s v="55"/>
    <s v="Muud tegevuskulud"/>
    <x v="0"/>
    <s v="Põhitegevuse kulu"/>
  </r>
  <r>
    <x v="8"/>
    <x v="57"/>
    <x v="57"/>
    <s v="Alusharidus"/>
    <s v="Haridus"/>
    <s v="Kulina lasteaed"/>
    <s v="mängunurga köögimööbel"/>
    <n v="350"/>
    <s v="mesimuumu rühma mängunurk"/>
    <n v="5515"/>
    <s v="Inventari kulud, v.a infotehnoloogia ja kaitseotstarbelised kulud"/>
    <n v="55"/>
    <s v="55"/>
    <s v="Muud tegevuskulud"/>
    <x v="0"/>
    <s v="Põhitegevuse kulu"/>
  </r>
  <r>
    <x v="8"/>
    <x v="57"/>
    <x v="57"/>
    <s v="Alusharidus"/>
    <s v="Haridus"/>
    <s v="Kulina lasteaed"/>
    <s v="muusikaesitaja"/>
    <n v="300"/>
    <s v="et mängiks mp3 formaati, võimendusega ühildatav-muusikaõpetaja"/>
    <n v="5515"/>
    <s v="Inventari kulud, v.a infotehnoloogia ja kaitseotstarbelised kulud"/>
    <n v="55"/>
    <s v="55"/>
    <s v="Muud tegevuskulud"/>
    <x v="0"/>
    <s v="Põhitegevuse kulu"/>
  </r>
  <r>
    <x v="8"/>
    <x v="57"/>
    <x v="57"/>
    <s v="Alusharidus"/>
    <s v="Haridus"/>
    <s v="Kulina lasteaed"/>
    <s v="vaip 1,35*1,7"/>
    <n v="80"/>
    <s v="mesimummurühma mängunurk"/>
    <n v="5515"/>
    <s v="Inventari kulud, v.a infotehnoloogia ja kaitseotstarbelised kulud"/>
    <n v="55"/>
    <s v="55"/>
    <s v="Muud tegevuskulud"/>
    <x v="0"/>
    <s v="Põhitegevuse kulu"/>
  </r>
  <r>
    <x v="8"/>
    <x v="57"/>
    <x v="57"/>
    <s v="Alusharidus"/>
    <s v="Haridus"/>
    <s v="Kulina lasteaed"/>
    <s v="magnettahvel"/>
    <n v="75"/>
    <s v="mesimummu rühm"/>
    <n v="5515"/>
    <s v="Inventari kulud, v.a infotehnoloogia ja kaitseotstarbelised kulud"/>
    <n v="55"/>
    <s v="55"/>
    <s v="Muud tegevuskulud"/>
    <x v="0"/>
    <s v="Põhitegevuse kulu"/>
  </r>
  <r>
    <x v="8"/>
    <x v="57"/>
    <x v="57"/>
    <s v="Alusharidus"/>
    <s v="Haridus"/>
    <s v="Kulina lasteaed"/>
    <s v="liivakast 3000mm*3000mm"/>
    <n v="250"/>
    <s v="Lepatriinu rühm, ilmastikukindel, taaskasutatavast plastmaterjalist, kaetav-praegune liivakastiraam lagunev"/>
    <n v="5515"/>
    <s v="Inventari kulud, v.a infotehnoloogia ja kaitseotstarbelised kulud"/>
    <n v="55"/>
    <s v="55"/>
    <s v="Muud tegevuskulud"/>
    <x v="0"/>
    <s v="Põhitegevuse kulu"/>
  </r>
  <r>
    <x v="8"/>
    <x v="57"/>
    <x v="57"/>
    <s v="Alusharidus"/>
    <s v="Haridus"/>
    <s v="Kulina lasteaed"/>
    <s v="toitlustamine"/>
    <n v="6200"/>
    <s v="toidupäevade arv*lastearv*toidupäevamaksumus-30%, kokandustunnid 2 korda kuus  rühmades"/>
    <n v="5521"/>
    <s v="Toiduained ja toitlustusteenused"/>
    <n v="55"/>
    <s v="55"/>
    <s v="Muud tegevuskulud"/>
    <x v="0"/>
    <s v="Põhitegevuse kulu"/>
  </r>
  <r>
    <x v="8"/>
    <x v="57"/>
    <x v="57"/>
    <s v="Alusharidus"/>
    <s v="Haridus"/>
    <s v="Kulina lasteaed"/>
    <s v="tervisekontroll"/>
    <n v="120"/>
    <s v="(orienteeruv summa) TTOSt tulev kohustus-kokk"/>
    <n v="5522"/>
    <s v="Meditsiinikulud ja hügieenitarbed"/>
    <n v="55"/>
    <s v="55"/>
    <s v="Muud tegevuskulud"/>
    <x v="0"/>
    <s v="Põhitegevuse kulu"/>
  </r>
  <r>
    <x v="8"/>
    <x v="57"/>
    <x v="57"/>
    <s v="Alusharidus"/>
    <s v="Haridus"/>
    <s v="Kulina lasteaed"/>
    <s v="õppevahendid"/>
    <n v="1700"/>
    <s v="kunstitarbed, õppemängud, mänguasjad, õppematerjal, metoodiline kirjandus jms"/>
    <n v="5524"/>
    <s v="Õppevahendid"/>
    <n v="55"/>
    <s v="55"/>
    <s v="Muud tegevuskulud"/>
    <x v="0"/>
    <s v="Põhitegevuse kulu"/>
  </r>
  <r>
    <x v="8"/>
    <x v="57"/>
    <x v="57"/>
    <s v="Alusharidus"/>
    <s v="Haridus"/>
    <s v="Kulina lasteaed"/>
    <s v="Matatalab, ozobot"/>
    <n v="740"/>
    <s v="robootikaseadmed, võimalusel taotleme kevadel projektirahasid, kus omafinantseering 15% taotletud summast"/>
    <n v="5524"/>
    <s v="Õppevahendid"/>
    <n v="55"/>
    <s v="55"/>
    <s v="Muud tegevuskulud"/>
    <x v="0"/>
    <s v="Põhitegevuse kulu"/>
  </r>
  <r>
    <x v="8"/>
    <x v="57"/>
    <x v="57"/>
    <s v="Alusharidus"/>
    <s v="Haridus"/>
    <s v="Kulina lasteaed"/>
    <s v="õppekäigud"/>
    <n v="500"/>
    <s v="õppekäigud, ekskursioon, jõulupidu, lõpupidu, lasteaia sünnipäev"/>
    <n v="5525"/>
    <s v="Kommunikatsiooni-, kultuuri- ja vaba aja sisustamise kulud"/>
    <n v="55"/>
    <s v="55"/>
    <s v="Muud tegevuskulud"/>
    <x v="0"/>
    <s v="Põhitegevuse kulu"/>
  </r>
  <r>
    <x v="8"/>
    <x v="57"/>
    <x v="57"/>
    <s v="Alusharidus"/>
    <s v="Haridus"/>
    <s v="Kulina lasteaed"/>
    <s v="elekter"/>
    <n v="6000"/>
    <s v="keskmine tarbimine 30860KWhx0,11652 euri kwh"/>
    <n v="5511"/>
    <s v="Kinnistute, hoonete ja ruumide majandamiskulud"/>
    <n v="55"/>
    <s v="55"/>
    <s v="Muud tegevuskulud"/>
    <x v="0"/>
    <s v="Põhitegevuse kulu"/>
  </r>
  <r>
    <x v="8"/>
    <x v="57"/>
    <x v="57"/>
    <s v="Alusharidus"/>
    <s v="Haridus"/>
    <s v="Kulina lasteaed"/>
    <s v="vesi-ja kanalisatsioon"/>
    <n v="360"/>
    <s v="Emajõe Veevärk"/>
    <n v="5511"/>
    <s v="Kinnistute, hoonete ja ruumide majandamiskulud"/>
    <n v="55"/>
    <s v="55"/>
    <s v="Muud tegevuskulud"/>
    <x v="0"/>
    <s v="Põhitegevuse kulu"/>
  </r>
  <r>
    <x v="8"/>
    <x v="57"/>
    <x v="57"/>
    <s v="Alusharidus"/>
    <s v="Haridus"/>
    <s v="Kulina lasteaed"/>
    <s v="Korrashoiuvahendid"/>
    <n v="600"/>
    <s v="puhastusvahendid, tarvikud, WC paber jms"/>
    <n v="5511"/>
    <s v="Kinnistute, hoonete ja ruumide majandamiskulud"/>
    <n v="55"/>
    <s v="55"/>
    <s v="Muud tegevuskulud"/>
    <x v="0"/>
    <s v="Põhitegevuse kulu"/>
  </r>
  <r>
    <x v="8"/>
    <x v="57"/>
    <x v="57"/>
    <s v="Alusharidus"/>
    <s v="Haridus"/>
    <s v="Kulina lasteaed"/>
    <s v="prügi"/>
    <n v="160"/>
    <s v="L-Viru Jäätmekeskus (6,56*12)+ ohtlikud jäätmed jms"/>
    <n v="5511"/>
    <s v="Kinnistute, hoonete ja ruumide majandamiskulud"/>
    <n v="55"/>
    <s v="55"/>
    <s v="Muud tegevuskulud"/>
    <x v="0"/>
    <s v="Põhitegevuse kulu"/>
  </r>
  <r>
    <x v="8"/>
    <x v="57"/>
    <x v="57"/>
    <s v="Alusharidus"/>
    <s v="Haridus"/>
    <s v="Kulina lasteaed"/>
    <s v="ATS hooldus"/>
    <n v="276"/>
    <s v="U.K.V.Grupp kord kvartalis"/>
    <n v="5511"/>
    <s v="Kinnistute, hoonete ja ruumide majandamiskulud"/>
    <n v="55"/>
    <s v="55"/>
    <s v="Muud tegevuskulud"/>
    <x v="0"/>
    <s v="Põhitegevuse kulu"/>
  </r>
  <r>
    <x v="8"/>
    <x v="57"/>
    <x v="57"/>
    <s v="Alusharidus"/>
    <s v="Haridus"/>
    <s v="Kulina lasteaed"/>
    <s v="Turvavalgustus, elektritööd"/>
    <n v="145"/>
    <s v="E.Ilves"/>
    <n v="5511"/>
    <s v="Kinnistute, hoonete ja ruumide majandamiskulud"/>
    <n v="55"/>
    <s v="55"/>
    <s v="Muud tegevuskulud"/>
    <x v="0"/>
    <s v="Põhitegevuse kulu"/>
  </r>
  <r>
    <x v="8"/>
    <x v="57"/>
    <x v="57"/>
    <s v="Alusharidus"/>
    <s v="Haridus"/>
    <s v="Kulina lasteaed"/>
    <s v="Puhastussool veefiltrile"/>
    <n v="110"/>
    <s v="FEB AS"/>
    <n v="5511"/>
    <s v="Kinnistute, hoonete ja ruumide majandamiskulud"/>
    <n v="55"/>
    <s v="55"/>
    <s v="Muud tegevuskulud"/>
    <x v="0"/>
    <s v="Põhitegevuse kulu"/>
  </r>
  <r>
    <x v="8"/>
    <x v="57"/>
    <x v="57"/>
    <s v="Alusharidus"/>
    <s v="Haridus"/>
    <s v="Kulina lasteaed"/>
    <s v="maakütte aastane hooldus"/>
    <n v="690"/>
    <s v="TJ Hooldus OÜ"/>
    <n v="5511"/>
    <s v="Kinnistute, hoonete ja ruumide majandamiskulud"/>
    <n v="55"/>
    <s v="55"/>
    <s v="Muud tegevuskulud"/>
    <x v="0"/>
    <s v="Põhitegevuse kulu"/>
  </r>
  <r>
    <x v="8"/>
    <x v="57"/>
    <x v="57"/>
    <s v="Alusharidus"/>
    <s v="Haridus"/>
    <s v="Kulina lasteaed"/>
    <s v="muruniitmine"/>
    <n v="120"/>
    <s v="õli, bensiin, hooldus"/>
    <n v="5511"/>
    <s v="Kinnistute, hoonete ja ruumide majandamiskulud"/>
    <n v="55"/>
    <s v="55"/>
    <s v="Muud tegevuskulud"/>
    <x v="0"/>
    <s v="Põhitegevuse kulu"/>
  </r>
  <r>
    <x v="8"/>
    <x v="57"/>
    <x v="57"/>
    <s v="Alusharidus"/>
    <s v="Haridus"/>
    <s v="Kulina lasteaed"/>
    <s v="paviljonide korrastamine"/>
    <n v="200"/>
    <s v="tasandusegu põrandaaukude parandamiseks, värvid"/>
    <n v="5511"/>
    <s v="Kinnistute, hoonete ja ruumide majandamiskulud"/>
    <n v="55"/>
    <s v="55"/>
    <s v="Muud tegevuskulud"/>
    <x v="0"/>
    <s v="Põhitegevuse kulu"/>
  </r>
  <r>
    <x v="8"/>
    <x v="57"/>
    <x v="57"/>
    <s v="Alusharidus"/>
    <s v="Haridus"/>
    <s v="Kulina lasteaed"/>
    <s v="rulood"/>
    <n v="975"/>
    <s v="Lepatriinu rühma magamistuba, praegused rulood osaliselt katki, kinnitusklambrid muutunud rabedaks"/>
    <n v="5511"/>
    <s v="Kinnistute, hoonete ja ruumide majandamiskulud"/>
    <n v="55"/>
    <s v="55"/>
    <s v="Muud tegevuskulud"/>
    <x v="0"/>
    <s v="Põhitegevuse kulu"/>
  </r>
  <r>
    <x v="8"/>
    <x v="57"/>
    <x v="57"/>
    <s v="Alusharidus"/>
    <s v="Haridus"/>
    <s v="Kulina lasteaed"/>
    <s v="arvutikõlarid"/>
    <n v="50"/>
    <s v="mesimummu rühma arvutile"/>
    <n v="5514"/>
    <s v="Info- ja kommunikatsioonitehnoliigised kulud"/>
    <n v="55"/>
    <s v="55"/>
    <s v="Muud tegevuskulud"/>
    <x v="0"/>
    <s v="Põhitegevuse kulu"/>
  </r>
  <r>
    <x v="8"/>
    <x v="58"/>
    <x v="58"/>
    <s v="Alusharidus"/>
    <s v="Haridus"/>
    <s v="Tudu lasteaed"/>
    <s v="uue õppekava rakend"/>
    <n v="100"/>
    <m/>
    <n v="5504"/>
    <s v="Koolituskulud"/>
    <n v="55"/>
    <s v="55"/>
    <s v="Muud tegevuskulud"/>
    <x v="0"/>
    <s v="Põhitegevuse kulu"/>
  </r>
  <r>
    <x v="8"/>
    <x v="58"/>
    <x v="58"/>
    <s v="Alusharidus"/>
    <s v="Haridus"/>
    <s v="Tudu lasteaed"/>
    <s v="lasteaia toidukaup"/>
    <n v="4073"/>
    <m/>
    <n v="5521"/>
    <s v="Toiduained ja toitlustusteenused"/>
    <n v="55"/>
    <s v="55"/>
    <s v="Muud tegevuskulud"/>
    <x v="0"/>
    <s v="Põhitegevuse kulu"/>
  </r>
  <r>
    <x v="8"/>
    <x v="58"/>
    <x v="58"/>
    <s v="Alusharidus"/>
    <s v="Haridus"/>
    <s v="Tudu lasteaed"/>
    <s v="õpikud "/>
    <n v="150"/>
    <m/>
    <n v="5524"/>
    <s v="Õppevahendid"/>
    <n v="55"/>
    <s v="55"/>
    <s v="Muud tegevuskulud"/>
    <x v="0"/>
    <s v="Põhitegevuse kulu"/>
  </r>
  <r>
    <x v="8"/>
    <x v="58"/>
    <x v="58"/>
    <s v="Alusharidus"/>
    <s v="Haridus"/>
    <s v="Tudu lasteaed"/>
    <s v="töövihikud"/>
    <n v="50"/>
    <m/>
    <n v="5524"/>
    <s v="Õppevahendid"/>
    <n v="55"/>
    <s v="55"/>
    <s v="Muud tegevuskulud"/>
    <x v="0"/>
    <s v="Põhitegevuse kulu"/>
  </r>
  <r>
    <x v="8"/>
    <x v="58"/>
    <x v="58"/>
    <s v="Alusharidus"/>
    <s v="Haridus"/>
    <s v="Tudu lasteaed"/>
    <s v="mänguasjad, paber, värvid jm"/>
    <n v="150"/>
    <m/>
    <n v="5524"/>
    <s v="Õppevahendid"/>
    <n v="55"/>
    <s v="55"/>
    <s v="Muud tegevuskulud"/>
    <x v="0"/>
    <s v="Põhitegevuse kulu"/>
  </r>
  <r>
    <x v="8"/>
    <x v="58"/>
    <x v="58"/>
    <s v="Alusharidus"/>
    <s v="Haridus"/>
    <s v="Tudu lasteaed"/>
    <s v="eriped tegevus"/>
    <n v="900"/>
    <m/>
    <n v="5524"/>
    <s v="Õppevahendid"/>
    <n v="55"/>
    <s v="55"/>
    <s v="Muud tegevuskulud"/>
    <x v="0"/>
    <s v="Põhitegevuse kulu"/>
  </r>
  <r>
    <x v="8"/>
    <x v="59"/>
    <x v="59"/>
    <s v="Alusharidus"/>
    <s v="Haridus"/>
    <s v="Ulvi lasteaed"/>
    <s v="Koolitused"/>
    <n v="600"/>
    <m/>
    <n v="5504"/>
    <s v="Koolituskulud"/>
    <n v="55"/>
    <s v="55"/>
    <s v="Muud tegevuskulud"/>
    <x v="0"/>
    <s v="Põhitegevuse kulu"/>
  </r>
  <r>
    <x v="8"/>
    <x v="59"/>
    <x v="59"/>
    <s v="Alusharidus"/>
    <s v="Haridus"/>
    <s v="Ulvi lasteaed"/>
    <s v="Inventari jooksev hooldus "/>
    <n v="150"/>
    <m/>
    <n v="5515"/>
    <s v="Inventari kulud, v.a infotehnoloogia ja kaitseotstarbelised kulud"/>
    <n v="55"/>
    <s v="55"/>
    <s v="Muud tegevuskulud"/>
    <x v="0"/>
    <s v="Põhitegevuse kulu"/>
  </r>
  <r>
    <x v="8"/>
    <x v="59"/>
    <x v="59"/>
    <s v="Alusharidus"/>
    <s v="Haridus"/>
    <s v="Ulvi lasteaed"/>
    <s v="Laud tk.2  200 eurot"/>
    <n v="200"/>
    <s v="Planeerin kaks, ühe tk.hind 100 eurot"/>
    <n v="5515"/>
    <s v="Inventari kulud, v.a infotehnoloogia ja kaitseotstarbelised kulud"/>
    <n v="55"/>
    <s v="55"/>
    <s v="Muud tegevuskulud"/>
    <x v="0"/>
    <s v="Põhitegevuse kulu"/>
  </r>
  <r>
    <x v="8"/>
    <x v="59"/>
    <x v="59"/>
    <s v="Alusharidus"/>
    <s v="Haridus"/>
    <s v="Ulvi lasteaed"/>
    <s v="Riiul tk.1 100 eurot"/>
    <n v="100"/>
    <m/>
    <n v="5515"/>
    <s v="Inventari kulud, v.a infotehnoloogia ja kaitseotstarbelised kulud"/>
    <n v="55"/>
    <s v="55"/>
    <s v="Muud tegevuskulud"/>
    <x v="0"/>
    <s v="Põhitegevuse kulu"/>
  </r>
  <r>
    <x v="8"/>
    <x v="59"/>
    <x v="59"/>
    <s v="Alusharidus"/>
    <s v="Haridus"/>
    <s v="Ulvi lasteaed"/>
    <s v="4 kohal voodi kompl. Tk.1 600 eurot"/>
    <n v="600"/>
    <s v="Planeerin ühe"/>
    <n v="5515"/>
    <s v="Inventari kulud, v.a infotehnoloogia ja kaitseotstarbelised kulud"/>
    <n v="55"/>
    <s v="55"/>
    <s v="Muud tegevuskulud"/>
    <x v="0"/>
    <s v="Põhitegevuse kulu"/>
  </r>
  <r>
    <x v="8"/>
    <x v="59"/>
    <x v="59"/>
    <s v="Alusharidus"/>
    <s v="Haridus"/>
    <s v="Ulvi lasteaed"/>
    <s v="3 kohal voodi kompl. Tk.1 500 eurot"/>
    <n v="500"/>
    <s v="Planeerin ühe"/>
    <n v="5515"/>
    <s v="Inventari kulud, v.a infotehnoloogia ja kaitseotstarbelised kulud"/>
    <n v="55"/>
    <s v="55"/>
    <s v="Muud tegevuskulud"/>
    <x v="0"/>
    <s v="Põhitegevuse kulu"/>
  </r>
  <r>
    <x v="8"/>
    <x v="59"/>
    <x v="59"/>
    <s v="Alusharidus"/>
    <s v="Haridus"/>
    <s v="Ulvi lasteaed"/>
    <s v="toolid tk.15  500 eurot"/>
    <n v="500"/>
    <s v="Planeerin 15 tk soetada, ühe tk.hind umbes 33 eurot"/>
    <n v="5515"/>
    <s v="Inventari kulud, v.a infotehnoloogia ja kaitseotstarbelised kulud"/>
    <n v="55"/>
    <s v="55"/>
    <s v="Muud tegevuskulud"/>
    <x v="0"/>
    <s v="Põhitegevuse kulu"/>
  </r>
  <r>
    <x v="8"/>
    <x v="59"/>
    <x v="59"/>
    <s v="Alusharidus"/>
    <s v="Haridus"/>
    <s v="Ulvi lasteaed"/>
    <s v="toiduained 30 last x230 päeva x 1.40"/>
    <n v="7000"/>
    <m/>
    <n v="5521"/>
    <s v="Toiduained ja toitlustusteenused"/>
    <n v="55"/>
    <s v="55"/>
    <s v="Muud tegevuskulud"/>
    <x v="0"/>
    <s v="Põhitegevuse kulu"/>
  </r>
  <r>
    <x v="8"/>
    <x v="59"/>
    <x v="59"/>
    <s v="Alusharidus"/>
    <s v="Haridus"/>
    <s v="Ulvi lasteaed"/>
    <s v="Meditsiinikulud"/>
    <n v="100"/>
    <m/>
    <n v="5522"/>
    <s v="Meditsiinikulud ja hügieenitarbed"/>
    <n v="55"/>
    <s v="55"/>
    <s v="Muud tegevuskulud"/>
    <x v="0"/>
    <s v="Põhitegevuse kulu"/>
  </r>
  <r>
    <x v="8"/>
    <x v="59"/>
    <x v="59"/>
    <s v="Alusharidus"/>
    <s v="Haridus"/>
    <s v="Ulvi lasteaed"/>
    <s v="õppekäigud"/>
    <n v="1000"/>
    <m/>
    <n v="5524"/>
    <s v="Õppevahendid"/>
    <n v="55"/>
    <s v="55"/>
    <s v="Muud tegevuskulud"/>
    <x v="0"/>
    <s v="Põhitegevuse kulu"/>
  </r>
  <r>
    <x v="8"/>
    <x v="59"/>
    <x v="59"/>
    <s v="Alusharidus"/>
    <s v="Haridus"/>
    <s v="Ulvi lasteaed"/>
    <s v="Õppevahendid"/>
    <n v="1000"/>
    <m/>
    <n v="5524"/>
    <s v="Õppevahendid"/>
    <n v="55"/>
    <s v="55"/>
    <s v="Muud tegevuskulud"/>
    <x v="0"/>
    <s v="Põhitegevuse kulu"/>
  </r>
  <r>
    <x v="8"/>
    <x v="59"/>
    <x v="59"/>
    <s v="Alusharidus"/>
    <s v="Haridus"/>
    <s v="Ulvi lasteaed"/>
    <s v="mänguasjad"/>
    <n v="2000"/>
    <m/>
    <n v="5524"/>
    <s v="Õppevahendid"/>
    <n v="55"/>
    <s v="55"/>
    <s v="Muud tegevuskulud"/>
    <x v="0"/>
    <s v="Põhitegevuse kulu"/>
  </r>
  <r>
    <x v="8"/>
    <x v="59"/>
    <x v="59"/>
    <s v="Alusharidus"/>
    <s v="Haridus"/>
    <s v="Ulvi lasteaed"/>
    <s v="Ühisüritused"/>
    <n v="250"/>
    <m/>
    <n v="5525"/>
    <s v="Kommunikatsiooni-, kultuuri- ja vaba aja sisustamise kulud"/>
    <n v="55"/>
    <s v="55"/>
    <s v="Muud tegevuskulud"/>
    <x v="0"/>
    <s v="Põhitegevuse kulu"/>
  </r>
  <r>
    <x v="8"/>
    <x v="59"/>
    <x v="59"/>
    <s v="Alusharidus"/>
    <s v="Haridus"/>
    <s v="Ulvi lasteaed"/>
    <s v="Ürituste transport"/>
    <n v="250"/>
    <m/>
    <n v="5525"/>
    <s v="Kommunikatsiooni-, kultuuri- ja vaba aja sisustamise kulud"/>
    <n v="55"/>
    <s v="55"/>
    <s v="Muud tegevuskulud"/>
    <x v="0"/>
    <s v="Põhitegevuse kulu"/>
  </r>
  <r>
    <x v="8"/>
    <x v="59"/>
    <x v="59"/>
    <s v="Alusharidus"/>
    <s v="Haridus"/>
    <s v="Ulvi lasteaed"/>
    <s v="ruumide küte"/>
    <n v="4500"/>
    <m/>
    <n v="5511"/>
    <s v="Kinnistute, hoonete ja ruumide majandamiskulud"/>
    <n v="55"/>
    <s v="55"/>
    <s v="Muud tegevuskulud"/>
    <x v="0"/>
    <s v="Põhitegevuse kulu"/>
  </r>
  <r>
    <x v="8"/>
    <x v="59"/>
    <x v="59"/>
    <s v="Alusharidus"/>
    <s v="Haridus"/>
    <s v="Ulvi lasteaed"/>
    <s v="analüüsid"/>
    <n v="200"/>
    <m/>
    <n v="5511"/>
    <s v="Kinnistute, hoonete ja ruumide majandamiskulud"/>
    <n v="55"/>
    <s v="55"/>
    <s v="Muud tegevuskulud"/>
    <x v="0"/>
    <s v="Põhitegevuse kulu"/>
  </r>
  <r>
    <x v="8"/>
    <x v="59"/>
    <x v="59"/>
    <s v="Alusharidus"/>
    <s v="Haridus"/>
    <s v="Ulvi lasteaed"/>
    <s v="elekter"/>
    <n v="3500"/>
    <m/>
    <n v="5511"/>
    <s v="Kinnistute, hoonete ja ruumide majandamiskulud"/>
    <n v="55"/>
    <s v="55"/>
    <s v="Muud tegevuskulud"/>
    <x v="0"/>
    <s v="Põhitegevuse kulu"/>
  </r>
  <r>
    <x v="8"/>
    <x v="59"/>
    <x v="59"/>
    <s v="Alusharidus"/>
    <s v="Haridus"/>
    <s v="Ulvi lasteaed"/>
    <s v="koridori remont"/>
    <n v="1000"/>
    <m/>
    <n v="5511"/>
    <s v="Kinnistute, hoonete ja ruumide majandamiskulud"/>
    <n v="55"/>
    <s v="55"/>
    <s v="Muud tegevuskulud"/>
    <x v="0"/>
    <s v="Põhitegevuse kulu"/>
  </r>
  <r>
    <x v="8"/>
    <x v="59"/>
    <x v="59"/>
    <s v="Alusharidus"/>
    <s v="Haridus"/>
    <s v="Ulvi lasteaed"/>
    <s v="prügi"/>
    <n v="250"/>
    <m/>
    <n v="5511"/>
    <s v="Kinnistute, hoonete ja ruumide majandamiskulud"/>
    <n v="55"/>
    <s v="55"/>
    <s v="Muud tegevuskulud"/>
    <x v="0"/>
    <s v="Põhitegevuse kulu"/>
  </r>
  <r>
    <x v="8"/>
    <x v="59"/>
    <x v="59"/>
    <s v="Alusharidus"/>
    <s v="Haridus"/>
    <s v="Ulvi lasteaed"/>
    <s v="majanduskaup"/>
    <n v="2400"/>
    <m/>
    <n v="5511"/>
    <s v="Kinnistute, hoonete ja ruumide majandamiskulud"/>
    <n v="55"/>
    <s v="55"/>
    <s v="Muud tegevuskulud"/>
    <x v="0"/>
    <s v="Põhitegevuse kulu"/>
  </r>
  <r>
    <x v="8"/>
    <x v="59"/>
    <x v="59"/>
    <s v="Alusharidus"/>
    <s v="Haridus"/>
    <s v="Ulvi lasteaed"/>
    <s v="ventilatsiooni väljaehitus"/>
    <n v="6000"/>
    <m/>
    <n v="5511"/>
    <s v="Kinnistute, hoonete ja ruumide majandamiskulud"/>
    <n v="55"/>
    <s v="55"/>
    <s v="Muud tegevuskulud"/>
    <x v="0"/>
    <s v="Põhitegevuse kulu"/>
  </r>
  <r>
    <x v="8"/>
    <x v="59"/>
    <x v="59"/>
    <s v="Alusharidus"/>
    <s v="Haridus"/>
    <s v="Ulvi lasteaed"/>
    <s v="muruniidukile bensiin"/>
    <n v="100"/>
    <m/>
    <n v="5511"/>
    <s v="Kinnistute, hoonete ja ruumide majandamiskulud"/>
    <n v="55"/>
    <s v="55"/>
    <s v="Muud tegevuskulud"/>
    <x v="0"/>
    <s v="Põhitegevuse kulu"/>
  </r>
  <r>
    <x v="8"/>
    <x v="59"/>
    <x v="59"/>
    <s v="Alusharidus"/>
    <s v="Haridus"/>
    <s v="Ulvi lasteaed"/>
    <s v="IT alane hooldus"/>
    <n v="500"/>
    <m/>
    <n v="5514"/>
    <s v="Info- ja kommunikatsioonitehnoliigised kulud"/>
    <n v="55"/>
    <s v="55"/>
    <s v="Muud tegevuskulud"/>
    <x v="0"/>
    <s v="Põhitegevuse kulu"/>
  </r>
  <r>
    <x v="8"/>
    <x v="60"/>
    <x v="60"/>
    <s v="Alusharidus"/>
    <s v="Haridus"/>
    <s v="Muuga-Laekvere kool"/>
    <s v="küte"/>
    <n v="9000"/>
    <m/>
    <n v="5511"/>
    <s v="Kinnistute, hoonete ja ruumide majandamiskulud"/>
    <n v="55"/>
    <s v="55"/>
    <s v="Muud tegevuskulud"/>
    <x v="0"/>
    <s v="Põhitegevuse kulu"/>
  </r>
  <r>
    <x v="8"/>
    <x v="60"/>
    <x v="60"/>
    <s v="Alusharidus"/>
    <s v="Haridus"/>
    <s v="Muuga-Laekvere kool"/>
    <s v="elekter"/>
    <n v="4000"/>
    <m/>
    <n v="5511"/>
    <s v="Kinnistute, hoonete ja ruumide majandamiskulud"/>
    <n v="55"/>
    <s v="55"/>
    <s v="Muud tegevuskulud"/>
    <x v="0"/>
    <s v="Põhitegevuse kulu"/>
  </r>
  <r>
    <x v="8"/>
    <x v="60"/>
    <x v="60"/>
    <s v="Alusharidus"/>
    <s v="Haridus"/>
    <s v="Muuga-Laekvere kool"/>
    <s v="el.käitlus"/>
    <n v="400"/>
    <m/>
    <n v="5511"/>
    <s v="Kinnistute, hoonete ja ruumide majandamiskulud"/>
    <n v="55"/>
    <s v="55"/>
    <s v="Muud tegevuskulud"/>
    <x v="0"/>
    <s v="Põhitegevuse kulu"/>
  </r>
  <r>
    <x v="8"/>
    <x v="60"/>
    <x v="60"/>
    <s v="Alusharidus"/>
    <s v="Haridus"/>
    <s v="Muuga-Laekvere kool"/>
    <s v="korrashoid"/>
    <n v="3500"/>
    <m/>
    <n v="5511"/>
    <s v="Kinnistute, hoonete ja ruumide majandamiskulud"/>
    <n v="55"/>
    <s v="55"/>
    <s v="Muud tegevuskulud"/>
    <x v="0"/>
    <s v="Põhitegevuse kulu"/>
  </r>
  <r>
    <x v="8"/>
    <x v="60"/>
    <x v="60"/>
    <s v="Alusharidus"/>
    <s v="Haridus"/>
    <s v="Muuga-Laekvere kool"/>
    <s v="prügi"/>
    <n v="500"/>
    <m/>
    <n v="5511"/>
    <s v="Kinnistute, hoonete ja ruumide majandamiskulud"/>
    <n v="55"/>
    <s v="55"/>
    <s v="Muud tegevuskulud"/>
    <x v="0"/>
    <s v="Põhitegevuse kulu"/>
  </r>
  <r>
    <x v="8"/>
    <x v="60"/>
    <x v="60"/>
    <s v="Alusharidus"/>
    <s v="Haridus"/>
    <s v="Muuga-Laekvere kool"/>
    <s v="korstnapühkija"/>
    <n v="0"/>
    <m/>
    <n v="5511"/>
    <s v="Kinnistute, hoonete ja ruumide majandamiskulud"/>
    <n v="55"/>
    <s v="55"/>
    <s v="Muud tegevuskulud"/>
    <x v="0"/>
    <s v="Põhitegevuse kulu"/>
  </r>
  <r>
    <x v="8"/>
    <x v="60"/>
    <x v="60"/>
    <s v="Alusharidus"/>
    <s v="Haridus"/>
    <s v="Muuga-Laekvere kool"/>
    <s v="vesi kanalisatsioon"/>
    <n v="1900"/>
    <m/>
    <n v="5511"/>
    <s v="Kinnistute, hoonete ja ruumide majandamiskulud"/>
    <n v="55"/>
    <s v="55"/>
    <s v="Muud tegevuskulud"/>
    <x v="0"/>
    <s v="Põhitegevuse kulu"/>
  </r>
  <r>
    <x v="8"/>
    <x v="60"/>
    <x v="60"/>
    <s v="Alusharidus"/>
    <s v="Haridus"/>
    <s v="Muuga-Laekvere kool"/>
    <s v="rem tööd"/>
    <n v="500"/>
    <m/>
    <n v="5511"/>
    <s v="Kinnistute, hoonete ja ruumide majandamiskulud"/>
    <n v="55"/>
    <s v="55"/>
    <s v="Muud tegevuskulud"/>
    <x v="0"/>
    <s v="Põhitegevuse kulu"/>
  </r>
  <r>
    <x v="8"/>
    <x v="60"/>
    <x v="60"/>
    <s v="Alusharidus"/>
    <s v="Haridus"/>
    <s v="Muuga-Laekvere kool"/>
    <s v="kindlustus"/>
    <n v="1200"/>
    <m/>
    <n v="5511"/>
    <s v="Kinnistute, hoonete ja ruumide majandamiskulud"/>
    <n v="55"/>
    <s v="55"/>
    <s v="Muud tegevuskulud"/>
    <x v="0"/>
    <s v="Põhitegevuse kulu"/>
  </r>
  <r>
    <x v="8"/>
    <x v="60"/>
    <x v="60"/>
    <s v="Alusharidus"/>
    <s v="Haridus"/>
    <s v="Muuga-Laekvere kool"/>
    <s v="Muud kinnistukulud"/>
    <n v="200"/>
    <m/>
    <n v="5511"/>
    <s v="Kinnistute, hoonete ja ruumide majandamiskulud"/>
    <n v="55"/>
    <s v="55"/>
    <s v="Muud tegevuskulud"/>
    <x v="0"/>
    <s v="Põhitegevuse kulu"/>
  </r>
  <r>
    <x v="8"/>
    <x v="60"/>
    <x v="60"/>
    <s v="Alusharidus"/>
    <s v="Haridus"/>
    <s v="Muuga-Laekvere kool"/>
    <s v="voodipesu"/>
    <n v="500"/>
    <m/>
    <n v="5511"/>
    <s v="Kinnistute, hoonete ja ruumide majandamiskulud"/>
    <n v="55"/>
    <s v="55"/>
    <s v="Muud tegevuskulud"/>
    <x v="0"/>
    <s v="Põhitegevuse kulu"/>
  </r>
  <r>
    <x v="8"/>
    <x v="60"/>
    <x v="60"/>
    <s v="Alusharidus"/>
    <s v="Haridus"/>
    <s v="Muuga-Laekvere kool"/>
    <s v="ohutusvahendite kontroll"/>
    <n v="150"/>
    <m/>
    <n v="5511"/>
    <s v="Kinnistute, hoonete ja ruumide majandamiskulud"/>
    <n v="55"/>
    <s v="55"/>
    <s v="Muud tegevuskulud"/>
    <x v="0"/>
    <s v="Põhitegevuse kulu"/>
  </r>
  <r>
    <x v="8"/>
    <x v="60"/>
    <x v="60"/>
    <s v="Alusharidus"/>
    <s v="Haridus"/>
    <s v="Muuga-Laekvere kool"/>
    <s v="büroo"/>
    <n v="600"/>
    <m/>
    <n v="5500"/>
    <s v="Administreerimiskulud"/>
    <n v="55"/>
    <s v="55"/>
    <s v="Muud tegevuskulud"/>
    <x v="0"/>
    <s v="Põhitegevuse kulu"/>
  </r>
  <r>
    <x v="8"/>
    <x v="60"/>
    <x v="60"/>
    <s v="Alusharidus"/>
    <s v="Haridus"/>
    <s v="Muuga-Laekvere kool"/>
    <s v="tahm"/>
    <n v="400"/>
    <m/>
    <n v="5500"/>
    <s v="Administreerimiskulud"/>
    <n v="55"/>
    <s v="55"/>
    <s v="Muud tegevuskulud"/>
    <x v="0"/>
    <s v="Põhitegevuse kulu"/>
  </r>
  <r>
    <x v="8"/>
    <x v="60"/>
    <x v="60"/>
    <s v="Alusharidus"/>
    <s v="Haridus"/>
    <s v="Muuga-Laekvere kool"/>
    <s v="trükised"/>
    <n v="100"/>
    <m/>
    <n v="5500"/>
    <s v="Administreerimiskulud"/>
    <n v="55"/>
    <s v="55"/>
    <s v="Muud tegevuskulud"/>
    <x v="0"/>
    <s v="Põhitegevuse kulu"/>
  </r>
  <r>
    <x v="8"/>
    <x v="60"/>
    <x v="60"/>
    <s v="Alusharidus"/>
    <s v="Haridus"/>
    <s v="Muuga-Laekvere kool"/>
    <s v="post"/>
    <n v="50"/>
    <m/>
    <n v="5500"/>
    <s v="Administreerimiskulud"/>
    <n v="55"/>
    <s v="55"/>
    <s v="Muud tegevuskulud"/>
    <x v="0"/>
    <s v="Põhitegevuse kulu"/>
  </r>
  <r>
    <x v="8"/>
    <x v="60"/>
    <x v="60"/>
    <s v="Alusharidus"/>
    <s v="Haridus"/>
    <s v="Muuga-Laekvere kool"/>
    <s v="telefon"/>
    <n v="300"/>
    <m/>
    <n v="5500"/>
    <s v="Administreerimiskulud"/>
    <n v="55"/>
    <s v="55"/>
    <s v="Muud tegevuskulud"/>
    <x v="0"/>
    <s v="Põhitegevuse kulu"/>
  </r>
  <r>
    <x v="8"/>
    <x v="60"/>
    <x v="60"/>
    <s v="Alusharidus"/>
    <s v="Haridus"/>
    <s v="Muuga-Laekvere kool"/>
    <s v="mobiiltel"/>
    <n v="0"/>
    <m/>
    <n v="5500"/>
    <s v="Administreerimiskulud"/>
    <n v="55"/>
    <s v="55"/>
    <s v="Muud tegevuskulud"/>
    <x v="0"/>
    <s v="Põhitegevuse kulu"/>
  </r>
  <r>
    <x v="8"/>
    <x v="60"/>
    <x v="60"/>
    <s v="Alusharidus"/>
    <s v="Haridus"/>
    <s v="Muuga-Laekvere kool"/>
    <s v="kingitused"/>
    <n v="100"/>
    <m/>
    <n v="5500"/>
    <s v="Administreerimiskulud"/>
    <n v="55"/>
    <s v="55"/>
    <s v="Muud tegevuskulud"/>
    <x v="0"/>
    <s v="Põhitegevuse kulu"/>
  </r>
  <r>
    <x v="8"/>
    <x v="60"/>
    <x v="60"/>
    <s v="Alusharidus"/>
    <s v="Haridus"/>
    <s v="Muuga-Laekvere kool"/>
    <s v="esindamine"/>
    <n v="130"/>
    <m/>
    <n v="5500"/>
    <s v="Administreerimiskulud"/>
    <n v="55"/>
    <s v="55"/>
    <s v="Muud tegevuskulud"/>
    <x v="0"/>
    <s v="Põhitegevuse kulu"/>
  </r>
  <r>
    <x v="8"/>
    <x v="60"/>
    <x v="60"/>
    <s v="Alusharidus"/>
    <s v="Haridus"/>
    <s v="Muuga-Laekvere kool"/>
    <s v="kuulutused"/>
    <n v="50"/>
    <m/>
    <n v="5500"/>
    <s v="Administreerimiskulud"/>
    <n v="55"/>
    <s v="55"/>
    <s v="Muud tegevuskulud"/>
    <x v="0"/>
    <s v="Põhitegevuse kulu"/>
  </r>
  <r>
    <x v="8"/>
    <x v="60"/>
    <x v="60"/>
    <s v="Alusharidus"/>
    <s v="Haridus"/>
    <s v="Muuga-Laekvere kool"/>
    <s v="Muud admin.kulud"/>
    <n v="100"/>
    <m/>
    <n v="5500"/>
    <s v="Administreerimiskulud"/>
    <n v="55"/>
    <s v="55"/>
    <s v="Muud tegevuskulud"/>
    <x v="0"/>
    <s v="Põhitegevuse kulu"/>
  </r>
  <r>
    <x v="8"/>
    <x v="60"/>
    <x v="60"/>
    <s v="Alusharidus"/>
    <s v="Haridus"/>
    <s v="Muuga-Laekvere kool"/>
    <s v="Koolitused"/>
    <n v="500"/>
    <m/>
    <n v="5504"/>
    <s v="Koolituskulud"/>
    <n v="55"/>
    <s v="55"/>
    <s v="Muud tegevuskulud"/>
    <x v="0"/>
    <s v="Põhitegevuse kulu"/>
  </r>
  <r>
    <x v="8"/>
    <x v="60"/>
    <x v="60"/>
    <s v="Alusharidus"/>
    <s v="Haridus"/>
    <s v="Muuga-Laekvere kool"/>
    <s v="isikliku sõiduki kasutamine"/>
    <n v="500"/>
    <m/>
    <n v="5513"/>
    <s v="Sõidukite ülalpidamise kulud"/>
    <n v="55"/>
    <s v="55"/>
    <s v="Muud tegevuskulud"/>
    <x v="0"/>
    <s v="Põhitegevuse kulu"/>
  </r>
  <r>
    <x v="8"/>
    <x v="60"/>
    <x v="60"/>
    <s v="Alusharidus"/>
    <s v="Haridus"/>
    <s v="Muuga-Laekvere kool"/>
    <s v="hooldus ja remont"/>
    <n v="500"/>
    <m/>
    <n v="5515"/>
    <s v="Inventari kulud, v.a infotehnoloogia ja kaitseotstarbelised kulud"/>
    <n v="55"/>
    <s v="55"/>
    <s v="Muud tegevuskulud"/>
    <x v="0"/>
    <s v="Põhitegevuse kulu"/>
  </r>
  <r>
    <x v="8"/>
    <x v="60"/>
    <x v="60"/>
    <s v="Alusharidus"/>
    <s v="Haridus"/>
    <s v="Muuga-Laekvere kool"/>
    <s v="muud inventari kulud"/>
    <n v="300"/>
    <m/>
    <n v="5515"/>
    <s v="Inventari kulud, v.a infotehnoloogia ja kaitseotstarbelised kulud"/>
    <n v="55"/>
    <s v="55"/>
    <s v="Muud tegevuskulud"/>
    <x v="0"/>
    <s v="Põhitegevuse kulu"/>
  </r>
  <r>
    <x v="8"/>
    <x v="60"/>
    <x v="60"/>
    <s v="Alusharidus"/>
    <s v="Haridus"/>
    <s v="Muuga-Laekvere kool"/>
    <s v="Toiduained"/>
    <n v="8000"/>
    <m/>
    <n v="5521"/>
    <s v="Toiduained ja toitlustusteenused"/>
    <n v="55"/>
    <s v="55"/>
    <s v="Muud tegevuskulud"/>
    <x v="0"/>
    <s v="Põhitegevuse kulu"/>
  </r>
  <r>
    <x v="8"/>
    <x v="60"/>
    <x v="60"/>
    <s v="Alusharidus"/>
    <s v="Haridus"/>
    <s v="Muuga-Laekvere kool"/>
    <s v="esmaabi"/>
    <n v="50"/>
    <m/>
    <n v="5522"/>
    <s v="Meditsiinikulud ja hügieenitarbed"/>
    <n v="55"/>
    <s v="55"/>
    <s v="Muud tegevuskulud"/>
    <x v="0"/>
    <s v="Põhitegevuse kulu"/>
  </r>
  <r>
    <x v="8"/>
    <x v="60"/>
    <x v="60"/>
    <s v="Alusharidus"/>
    <s v="Haridus"/>
    <s v="Muuga-Laekvere kool"/>
    <s v="tervisekontroll"/>
    <n v="50"/>
    <m/>
    <n v="5522"/>
    <s v="Meditsiinikulud ja hügieenitarbed"/>
    <n v="55"/>
    <s v="55"/>
    <s v="Muud tegevuskulud"/>
    <x v="0"/>
    <s v="Põhitegevuse kulu"/>
  </r>
  <r>
    <x v="8"/>
    <x v="60"/>
    <x v="60"/>
    <s v="Alusharidus"/>
    <s v="Haridus"/>
    <s v="Muuga-Laekvere kool"/>
    <s v="prillid"/>
    <n v="300"/>
    <m/>
    <n v="5522"/>
    <s v="Meditsiinikulud ja hügieenitarbed"/>
    <n v="55"/>
    <s v="55"/>
    <s v="Muud tegevuskulud"/>
    <x v="0"/>
    <s v="Põhitegevuse kulu"/>
  </r>
  <r>
    <x v="8"/>
    <x v="60"/>
    <x v="60"/>
    <s v="Alusharidus"/>
    <s v="Haridus"/>
    <s v="Muuga-Laekvere kool"/>
    <s v="õpikud, töövihikud"/>
    <n v="800"/>
    <m/>
    <n v="5524"/>
    <s v="Õppevahendid"/>
    <n v="55"/>
    <s v="55"/>
    <s v="Muud tegevuskulud"/>
    <x v="0"/>
    <s v="Põhitegevuse kulu"/>
  </r>
  <r>
    <x v="8"/>
    <x v="60"/>
    <x v="60"/>
    <s v="Alusharidus"/>
    <s v="Haridus"/>
    <s v="Muuga-Laekvere kool"/>
    <s v="õppematerjalid"/>
    <n v="800"/>
    <m/>
    <n v="5524"/>
    <s v="Õppevahendid"/>
    <n v="55"/>
    <s v="55"/>
    <s v="Muud tegevuskulud"/>
    <x v="0"/>
    <s v="Põhitegevuse kulu"/>
  </r>
  <r>
    <x v="8"/>
    <x v="60"/>
    <x v="60"/>
    <s v="Alusharidus"/>
    <s v="Haridus"/>
    <s v="Muuga-Laekvere kool"/>
    <s v="mänguasjad"/>
    <n v="900"/>
    <m/>
    <n v="5524"/>
    <s v="Õppevahendid"/>
    <n v="55"/>
    <s v="55"/>
    <s v="Muud tegevuskulud"/>
    <x v="0"/>
    <s v="Põhitegevuse kulu"/>
  </r>
  <r>
    <x v="8"/>
    <x v="60"/>
    <x v="60"/>
    <s v="Alusharidus"/>
    <s v="Haridus"/>
    <s v="Muuga-Laekvere kool"/>
    <s v="ühisüritused"/>
    <n v="100"/>
    <m/>
    <n v="5524"/>
    <s v="Õppevahendid"/>
    <n v="55"/>
    <s v="55"/>
    <s v="Muud tegevuskulud"/>
    <x v="0"/>
    <s v="Põhitegevuse kulu"/>
  </r>
  <r>
    <x v="8"/>
    <x v="60"/>
    <x v="60"/>
    <s v="Alusharidus"/>
    <s v="Haridus"/>
    <s v="Muuga-Laekvere kool"/>
    <s v="transport"/>
    <n v="500"/>
    <m/>
    <n v="5524"/>
    <s v="Õppevahendid"/>
    <n v="55"/>
    <s v="55"/>
    <s v="Muud tegevuskulud"/>
    <x v="0"/>
    <s v="Põhitegevuse kulu"/>
  </r>
  <r>
    <x v="8"/>
    <x v="60"/>
    <x v="60"/>
    <s v="Alusharidus"/>
    <s v="Haridus"/>
    <s v="Muuga-Laekvere kool"/>
    <s v="etendused, kontserdid"/>
    <n v="500"/>
    <m/>
    <n v="5525"/>
    <s v="Kommunikatsiooni-, kultuuri- ja vaba aja sisustamise kulud"/>
    <n v="55"/>
    <s v="55"/>
    <s v="Muud tegevuskulud"/>
    <x v="0"/>
    <s v="Põhitegevuse kulu"/>
  </r>
  <r>
    <x v="8"/>
    <x v="60"/>
    <x v="60"/>
    <s v="Alusharidus"/>
    <s v="Haridus"/>
    <s v="Muuga-Laekvere kool"/>
    <s v="osalustasud"/>
    <n v="100"/>
    <m/>
    <n v="5525"/>
    <s v="Kommunikatsiooni-, kultuuri- ja vaba aja sisustamise kulud"/>
    <n v="55"/>
    <s v="55"/>
    <s v="Muud tegevuskulud"/>
    <x v="0"/>
    <s v="Põhitegevuse kulu"/>
  </r>
  <r>
    <x v="8"/>
    <x v="60"/>
    <x v="60"/>
    <s v="Alusharidus"/>
    <s v="Haridus"/>
    <s v="Muuga-Laekvere kool"/>
    <s v="aastapäevad"/>
    <n v="1000"/>
    <m/>
    <n v="5525"/>
    <s v="Kommunikatsiooni-, kultuuri- ja vaba aja sisustamise kulud"/>
    <n v="55"/>
    <s v="55"/>
    <s v="Muud tegevuskulud"/>
    <x v="0"/>
    <s v="Põhitegevuse kulu"/>
  </r>
  <r>
    <x v="8"/>
    <x v="60"/>
    <x v="60"/>
    <s v="Alusharidus"/>
    <s v="Haridus"/>
    <s v="Muuga-Laekvere kool"/>
    <s v="programmid"/>
    <n v="300"/>
    <m/>
    <n v="5514"/>
    <s v="Info- ja kommunikatsioonitehnoliigised kulud"/>
    <n v="55"/>
    <s v="55"/>
    <s v="Muud tegevuskulud"/>
    <x v="0"/>
    <s v="Põhitegevuse kulu"/>
  </r>
  <r>
    <x v="8"/>
    <x v="60"/>
    <x v="60"/>
    <s v="Alusharidus"/>
    <s v="Haridus"/>
    <s v="Muuga-Laekvere kool"/>
    <s v="soetamine"/>
    <n v="250"/>
    <m/>
    <n v="5514"/>
    <s v="Info- ja kommunikatsioonitehnoliigised kulud"/>
    <n v="55"/>
    <s v="55"/>
    <s v="Muud tegevuskulud"/>
    <x v="0"/>
    <s v="Põhitegevuse kulu"/>
  </r>
  <r>
    <x v="8"/>
    <x v="60"/>
    <x v="60"/>
    <s v="Alusharidus"/>
    <s v="Haridus"/>
    <s v="Muuga-Laekvere kool"/>
    <s v="andmeside"/>
    <n v="100"/>
    <m/>
    <n v="5514"/>
    <s v="Info- ja kommunikatsioonitehnoliigised kulud"/>
    <n v="55"/>
    <s v="55"/>
    <s v="Muud tegevuskulud"/>
    <x v="0"/>
    <s v="Põhitegevuse kulu"/>
  </r>
  <r>
    <x v="8"/>
    <x v="60"/>
    <x v="60"/>
    <s v="Alusharidus"/>
    <s v="Haridus"/>
    <s v="Muuga-Laekvere kool"/>
    <s v="remont ja hooldus"/>
    <n v="100"/>
    <m/>
    <n v="5514"/>
    <s v="Info- ja kommunikatsioonitehnoliigised kulud"/>
    <n v="55"/>
    <s v="55"/>
    <s v="Muud tegevuskulud"/>
    <x v="0"/>
    <s v="Põhitegevuse kulu"/>
  </r>
  <r>
    <x v="8"/>
    <x v="61"/>
    <x v="61"/>
    <s v="Alusharidus"/>
    <s v="Haridus"/>
    <s v="Ferdinand von Wrangelli nim Roela Lasteaed-Põhikool"/>
    <s v="eliis tarkvara"/>
    <n v="630"/>
    <s v="aasta"/>
    <n v="5514"/>
    <s v="Info- ja kommunikatsioonitehnoliigised kulud"/>
    <n v="55"/>
    <s v="55"/>
    <s v="Muud tegevuskulud"/>
    <x v="0"/>
    <s v="Põhitegevuse kulu"/>
  </r>
  <r>
    <x v="8"/>
    <x v="61"/>
    <x v="61"/>
    <s v="Alusharidus"/>
    <s v="Haridus"/>
    <s v="Ferdinand von Wrangelli nim Roela Lasteaed-Põhikool"/>
    <s v="toiduained  "/>
    <n v="6900"/>
    <m/>
    <n v="5521"/>
    <s v="Toiduained ja toitlustusteenused"/>
    <n v="55"/>
    <s v="55"/>
    <s v="Muud tegevuskulud"/>
    <x v="0"/>
    <s v="Põhitegevuse kulu"/>
  </r>
  <r>
    <x v="8"/>
    <x v="61"/>
    <x v="61"/>
    <s v="Alusharidus"/>
    <s v="Haridus"/>
    <s v="Ferdinand von Wrangelli nim Roela Lasteaed-Põhikool"/>
    <s v="Õppevahendid"/>
    <n v="1000"/>
    <m/>
    <n v="5524"/>
    <s v="Õppevahendid"/>
    <n v="55"/>
    <s v="55"/>
    <s v="Muud tegevuskulud"/>
    <x v="0"/>
    <s v="Põhitegevuse kulu"/>
  </r>
  <r>
    <x v="8"/>
    <x v="62"/>
    <x v="62"/>
    <s v="Alusharidus"/>
    <s v="Haridus"/>
    <s v="Haridusnõunik"/>
    <s v="Kohatasud "/>
    <n v="46249.440000000002"/>
    <s v="alusharidus"/>
    <n v="5524"/>
    <s v="Õppevahendid"/>
    <n v="55"/>
    <s v="55"/>
    <s v="Muud tegevuskulud"/>
    <x v="0"/>
    <s v="Põhitegevuse kulu"/>
  </r>
  <r>
    <x v="8"/>
    <x v="63"/>
    <x v="63"/>
    <s v="Põhihariduse otsekulud"/>
    <s v="Haridus"/>
    <s v="Muuga-Laekvere kool"/>
    <s v="küte"/>
    <n v="20000"/>
    <m/>
    <n v="5511"/>
    <s v="Kinnistute, hoonete ja ruumide majandamiskulud"/>
    <n v="55"/>
    <s v="55"/>
    <s v="Muud tegevuskulud"/>
    <x v="0"/>
    <s v="Põhitegevuse kulu"/>
  </r>
  <r>
    <x v="8"/>
    <x v="63"/>
    <x v="63"/>
    <s v="Põhihariduse otsekulud"/>
    <s v="Haridus"/>
    <s v="Muuga-Laekvere kool"/>
    <s v="elekter"/>
    <n v="6000"/>
    <m/>
    <n v="5511"/>
    <s v="Kinnistute, hoonete ja ruumide majandamiskulud"/>
    <n v="55"/>
    <s v="55"/>
    <s v="Muud tegevuskulud"/>
    <x v="0"/>
    <s v="Põhitegevuse kulu"/>
  </r>
  <r>
    <x v="8"/>
    <x v="63"/>
    <x v="63"/>
    <s v="Põhihariduse otsekulud"/>
    <s v="Haridus"/>
    <s v="Muuga-Laekvere kool"/>
    <s v="el.käitlus"/>
    <n v="500"/>
    <m/>
    <n v="5511"/>
    <s v="Kinnistute, hoonete ja ruumide majandamiskulud"/>
    <n v="55"/>
    <s v="55"/>
    <s v="Muud tegevuskulud"/>
    <x v="0"/>
    <s v="Põhitegevuse kulu"/>
  </r>
  <r>
    <x v="8"/>
    <x v="63"/>
    <x v="63"/>
    <s v="Põhihariduse otsekulud"/>
    <s v="Haridus"/>
    <s v="Muuga-Laekvere kool"/>
    <s v="korrashoid"/>
    <n v="2600"/>
    <m/>
    <n v="5511"/>
    <s v="Kinnistute, hoonete ja ruumide majandamiskulud"/>
    <n v="55"/>
    <s v="55"/>
    <s v="Muud tegevuskulud"/>
    <x v="0"/>
    <s v="Põhitegevuse kulu"/>
  </r>
  <r>
    <x v="8"/>
    <x v="63"/>
    <x v="63"/>
    <s v="Põhihariduse otsekulud"/>
    <s v="Haridus"/>
    <s v="Muuga-Laekvere kool"/>
    <s v="prügi"/>
    <n v="500"/>
    <m/>
    <n v="5511"/>
    <s v="Kinnistute, hoonete ja ruumide majandamiskulud"/>
    <n v="55"/>
    <s v="55"/>
    <s v="Muud tegevuskulud"/>
    <x v="0"/>
    <s v="Põhitegevuse kulu"/>
  </r>
  <r>
    <x v="8"/>
    <x v="63"/>
    <x v="63"/>
    <s v="Põhihariduse otsekulud"/>
    <s v="Haridus"/>
    <s v="Muuga-Laekvere kool"/>
    <s v="korstnapühkija"/>
    <n v="120"/>
    <m/>
    <n v="5511"/>
    <s v="Kinnistute, hoonete ja ruumide majandamiskulud"/>
    <n v="55"/>
    <s v="55"/>
    <s v="Muud tegevuskulud"/>
    <x v="0"/>
    <s v="Põhitegevuse kulu"/>
  </r>
  <r>
    <x v="8"/>
    <x v="63"/>
    <x v="63"/>
    <s v="Põhihariduse otsekulud"/>
    <s v="Haridus"/>
    <s v="Muuga-Laekvere kool"/>
    <s v="vesi kanalisatsioon"/>
    <n v="3000"/>
    <m/>
    <n v="5511"/>
    <s v="Kinnistute, hoonete ja ruumide majandamiskulud"/>
    <n v="55"/>
    <s v="55"/>
    <s v="Muud tegevuskulud"/>
    <x v="0"/>
    <s v="Põhitegevuse kulu"/>
  </r>
  <r>
    <x v="8"/>
    <x v="63"/>
    <x v="63"/>
    <s v="Põhihariduse otsekulud"/>
    <s v="Haridus"/>
    <s v="Muuga-Laekvere kool"/>
    <s v="rem tööd"/>
    <n v="500"/>
    <m/>
    <n v="5511"/>
    <s v="Kinnistute, hoonete ja ruumide majandamiskulud"/>
    <n v="55"/>
    <s v="55"/>
    <s v="Muud tegevuskulud"/>
    <x v="0"/>
    <s v="Põhitegevuse kulu"/>
  </r>
  <r>
    <x v="8"/>
    <x v="63"/>
    <x v="63"/>
    <s v="Põhihariduse otsekulud"/>
    <s v="Haridus"/>
    <s v="Muuga-Laekvere kool"/>
    <s v="kindlustus"/>
    <n v="760"/>
    <m/>
    <n v="5511"/>
    <s v="Kinnistute, hoonete ja ruumide majandamiskulud"/>
    <n v="55"/>
    <s v="55"/>
    <s v="Muud tegevuskulud"/>
    <x v="0"/>
    <s v="Põhitegevuse kulu"/>
  </r>
  <r>
    <x v="8"/>
    <x v="63"/>
    <x v="63"/>
    <s v="Põhihariduse otsekulud"/>
    <s v="Haridus"/>
    <s v="Muuga-Laekvere kool"/>
    <s v="Muud kinnistukulud"/>
    <n v="1500"/>
    <m/>
    <n v="5511"/>
    <s v="Kinnistute, hoonete ja ruumide majandamiskulud"/>
    <n v="55"/>
    <s v="55"/>
    <s v="Muud tegevuskulud"/>
    <x v="0"/>
    <s v="Põhitegevuse kulu"/>
  </r>
  <r>
    <x v="8"/>
    <x v="63"/>
    <x v="63"/>
    <s v="Põhihariduse otsekulud"/>
    <s v="Haridus"/>
    <s v="Muuga-Laekvere kool"/>
    <s v="ohutusvahendite kontroll"/>
    <n v="150"/>
    <m/>
    <n v="5511"/>
    <s v="Kinnistute, hoonete ja ruumide majandamiskulud"/>
    <n v="55"/>
    <s v="55"/>
    <s v="Muud tegevuskulud"/>
    <x v="0"/>
    <s v="Põhitegevuse kulu"/>
  </r>
  <r>
    <x v="8"/>
    <x v="63"/>
    <x v="63"/>
    <s v="Põhihariduse otsekulud"/>
    <s v="Haridus"/>
    <s v="Muuga-Laekvere kool"/>
    <s v="tahm"/>
    <n v="400"/>
    <m/>
    <n v="5500"/>
    <s v="Administreerimiskulud"/>
    <n v="55"/>
    <s v="55"/>
    <s v="Muud tegevuskulud"/>
    <x v="0"/>
    <s v="Põhitegevuse kulu"/>
  </r>
  <r>
    <x v="8"/>
    <x v="63"/>
    <x v="63"/>
    <s v="Põhihariduse otsekulud"/>
    <s v="Haridus"/>
    <s v="Muuga-Laekvere kool"/>
    <s v="trükised"/>
    <n v="150"/>
    <m/>
    <n v="5500"/>
    <s v="Administreerimiskulud"/>
    <n v="55"/>
    <s v="55"/>
    <s v="Muud tegevuskulud"/>
    <x v="0"/>
    <s v="Põhitegevuse kulu"/>
  </r>
  <r>
    <x v="8"/>
    <x v="63"/>
    <x v="63"/>
    <s v="Põhihariduse otsekulud"/>
    <s v="Haridus"/>
    <s v="Muuga-Laekvere kool"/>
    <s v="post"/>
    <n v="50"/>
    <m/>
    <n v="5500"/>
    <s v="Administreerimiskulud"/>
    <n v="55"/>
    <s v="55"/>
    <s v="Muud tegevuskulud"/>
    <x v="0"/>
    <s v="Põhitegevuse kulu"/>
  </r>
  <r>
    <x v="8"/>
    <x v="63"/>
    <x v="63"/>
    <s v="Põhihariduse otsekulud"/>
    <s v="Haridus"/>
    <s v="Muuga-Laekvere kool"/>
    <s v="telefon"/>
    <n v="350"/>
    <m/>
    <n v="5500"/>
    <s v="Administreerimiskulud"/>
    <n v="55"/>
    <s v="55"/>
    <s v="Muud tegevuskulud"/>
    <x v="0"/>
    <s v="Põhitegevuse kulu"/>
  </r>
  <r>
    <x v="8"/>
    <x v="63"/>
    <x v="63"/>
    <s v="Põhihariduse otsekulud"/>
    <s v="Haridus"/>
    <s v="Muuga-Laekvere kool"/>
    <s v="mobiiltel"/>
    <n v="200"/>
    <m/>
    <n v="5500"/>
    <s v="Administreerimiskulud"/>
    <n v="55"/>
    <s v="55"/>
    <s v="Muud tegevuskulud"/>
    <x v="0"/>
    <s v="Põhitegevuse kulu"/>
  </r>
  <r>
    <x v="8"/>
    <x v="63"/>
    <x v="63"/>
    <s v="Põhihariduse otsekulud"/>
    <s v="Haridus"/>
    <s v="Muuga-Laekvere kool"/>
    <s v="kingitused"/>
    <n v="150"/>
    <m/>
    <n v="5500"/>
    <s v="Administreerimiskulud"/>
    <n v="55"/>
    <s v="55"/>
    <s v="Muud tegevuskulud"/>
    <x v="0"/>
    <s v="Põhitegevuse kulu"/>
  </r>
  <r>
    <x v="8"/>
    <x v="63"/>
    <x v="63"/>
    <s v="Põhihariduse otsekulud"/>
    <s v="Haridus"/>
    <s v="Muuga-Laekvere kool"/>
    <s v="esindamine"/>
    <n v="250"/>
    <m/>
    <n v="5500"/>
    <s v="Administreerimiskulud"/>
    <n v="55"/>
    <s v="55"/>
    <s v="Muud tegevuskulud"/>
    <x v="0"/>
    <s v="Põhitegevuse kulu"/>
  </r>
  <r>
    <x v="8"/>
    <x v="63"/>
    <x v="63"/>
    <s v="Põhihariduse otsekulud"/>
    <s v="Haridus"/>
    <s v="Muuga-Laekvere kool"/>
    <s v="kuulutused"/>
    <n v="50"/>
    <m/>
    <n v="5500"/>
    <s v="Administreerimiskulud"/>
    <n v="55"/>
    <s v="55"/>
    <s v="Muud tegevuskulud"/>
    <x v="0"/>
    <s v="Põhitegevuse kulu"/>
  </r>
  <r>
    <x v="8"/>
    <x v="63"/>
    <x v="63"/>
    <s v="Põhihariduse otsekulud"/>
    <s v="Haridus"/>
    <s v="Muuga-Laekvere kool"/>
    <s v="Muud admin.kulud"/>
    <n v="150"/>
    <m/>
    <n v="5500"/>
    <s v="Administreerimiskulud"/>
    <n v="55"/>
    <s v="55"/>
    <s v="Muud tegevuskulud"/>
    <x v="0"/>
    <s v="Põhitegevuse kulu"/>
  </r>
  <r>
    <x v="8"/>
    <x v="63"/>
    <x v="63"/>
    <s v="Põhihariduse otsekulud"/>
    <s v="Haridus"/>
    <s v="Muuga-Laekvere kool"/>
    <s v="koolitused"/>
    <n v="415.44000000000005"/>
    <m/>
    <n v="5504"/>
    <s v="Koolituskulud"/>
    <n v="55"/>
    <s v="55"/>
    <s v="Muud tegevuskulud"/>
    <x v="0"/>
    <s v="Põhitegevuse kulu"/>
  </r>
  <r>
    <x v="8"/>
    <x v="63"/>
    <x v="63"/>
    <s v="Põhihariduse otsekulud"/>
    <s v="Haridus"/>
    <s v="Muuga-Laekvere kool"/>
    <s v="isikliku sõiduki kasutamine"/>
    <n v="2600"/>
    <m/>
    <n v="5513"/>
    <s v="Sõidukite ülalpidamise kulud"/>
    <n v="55"/>
    <s v="55"/>
    <s v="Muud tegevuskulud"/>
    <x v="0"/>
    <s v="Põhitegevuse kulu"/>
  </r>
  <r>
    <x v="8"/>
    <x v="63"/>
    <x v="63"/>
    <s v="Põhihariduse otsekulud"/>
    <s v="Haridus"/>
    <s v="Muuga-Laekvere kool"/>
    <s v="Kooli bussi haldamine"/>
    <n v="3500"/>
    <m/>
    <n v="5513"/>
    <s v="Sõidukite ülalpidamise kulud"/>
    <n v="55"/>
    <s v="55"/>
    <s v="Muud tegevuskulud"/>
    <x v="0"/>
    <s v="Põhitegevuse kulu"/>
  </r>
  <r>
    <x v="8"/>
    <x v="63"/>
    <x v="63"/>
    <s v="Põhihariduse otsekulud"/>
    <s v="Haridus"/>
    <s v="Muuga-Laekvere kool"/>
    <s v="hooldus ja remont"/>
    <n v="3000"/>
    <m/>
    <n v="5515"/>
    <s v="Inventari kulud, v.a infotehnoloogia ja kaitseotstarbelised kulud"/>
    <n v="55"/>
    <s v="55"/>
    <s v="Muud tegevuskulud"/>
    <x v="0"/>
    <s v="Põhitegevuse kulu"/>
  </r>
  <r>
    <x v="8"/>
    <x v="63"/>
    <x v="63"/>
    <s v="Põhihariduse otsekulud"/>
    <s v="Haridus"/>
    <s v="Muuga-Laekvere kool"/>
    <s v="muud inventari kulud"/>
    <n v="500"/>
    <m/>
    <n v="5515"/>
    <s v="Inventari kulud, v.a infotehnoloogia ja kaitseotstarbelised kulud"/>
    <n v="55"/>
    <s v="55"/>
    <s v="Muud tegevuskulud"/>
    <x v="0"/>
    <s v="Põhitegevuse kulu"/>
  </r>
  <r>
    <x v="8"/>
    <x v="63"/>
    <x v="63"/>
    <s v="Põhihariduse otsekulud"/>
    <s v="Haridus"/>
    <s v="Muuga-Laekvere kool"/>
    <s v="toiduained"/>
    <n v="13965"/>
    <s v="Ped."/>
    <n v="5521"/>
    <s v="Toiduained ja toitlustusteenused"/>
    <n v="55"/>
    <s v="55"/>
    <s v="Muud tegevuskulud"/>
    <x v="0"/>
    <s v="Põhitegevuse kulu"/>
  </r>
  <r>
    <x v="8"/>
    <x v="63"/>
    <x v="63"/>
    <s v="Põhihariduse otsekulud"/>
    <s v="Haridus"/>
    <s v="Muuga-Laekvere kool"/>
    <s v="esmaabi"/>
    <n v="100"/>
    <m/>
    <n v="5522"/>
    <s v="Meditsiinikulud ja hügieenitarbed"/>
    <n v="55"/>
    <s v="55"/>
    <s v="Muud tegevuskulud"/>
    <x v="0"/>
    <s v="Põhitegevuse kulu"/>
  </r>
  <r>
    <x v="8"/>
    <x v="63"/>
    <x v="63"/>
    <s v="Põhihariduse otsekulud"/>
    <s v="Haridus"/>
    <s v="Muuga-Laekvere kool"/>
    <s v="hügieenivahendid"/>
    <n v="600"/>
    <m/>
    <n v="5522"/>
    <s v="Meditsiinikulud ja hügieenitarbed"/>
    <n v="55"/>
    <s v="55"/>
    <s v="Muud tegevuskulud"/>
    <x v="0"/>
    <s v="Põhitegevuse kulu"/>
  </r>
  <r>
    <x v="8"/>
    <x v="63"/>
    <x v="63"/>
    <s v="Põhihariduse otsekulud"/>
    <s v="Haridus"/>
    <s v="Muuga-Laekvere kool"/>
    <s v="tervisekontroll"/>
    <n v="50"/>
    <m/>
    <n v="5522"/>
    <s v="Meditsiinikulud ja hügieenitarbed"/>
    <n v="55"/>
    <s v="55"/>
    <s v="Muud tegevuskulud"/>
    <x v="0"/>
    <s v="Põhitegevuse kulu"/>
  </r>
  <r>
    <x v="8"/>
    <x v="63"/>
    <x v="63"/>
    <s v="Põhihariduse otsekulud"/>
    <s v="Haridus"/>
    <s v="Muuga-Laekvere kool"/>
    <s v="prillid"/>
    <n v="300"/>
    <m/>
    <n v="5522"/>
    <s v="Meditsiinikulud ja hügieenitarbed"/>
    <n v="55"/>
    <s v="55"/>
    <s v="Muud tegevuskulud"/>
    <x v="0"/>
    <s v="Põhitegevuse kulu"/>
  </r>
  <r>
    <x v="8"/>
    <x v="63"/>
    <x v="63"/>
    <s v="Põhihariduse otsekulud"/>
    <s v="Haridus"/>
    <s v="Muuga-Laekvere kool"/>
    <s v="õpikud, töövihikud"/>
    <n v="2788.58"/>
    <m/>
    <n v="5524"/>
    <s v="Õppevahendid"/>
    <n v="55"/>
    <s v="55"/>
    <s v="Muud tegevuskulud"/>
    <x v="0"/>
    <s v="Põhitegevuse kulu"/>
  </r>
  <r>
    <x v="8"/>
    <x v="63"/>
    <x v="63"/>
    <s v="Põhihariduse otsekulud"/>
    <s v="Haridus"/>
    <s v="Muuga-Laekvere kool"/>
    <s v="õppematerjalid"/>
    <n v="1400"/>
    <m/>
    <n v="5524"/>
    <s v="Õppevahendid"/>
    <n v="55"/>
    <s v="55"/>
    <s v="Muud tegevuskulud"/>
    <x v="0"/>
    <s v="Põhitegevuse kulu"/>
  </r>
  <r>
    <x v="8"/>
    <x v="63"/>
    <x v="63"/>
    <s v="Põhihariduse otsekulud"/>
    <s v="Haridus"/>
    <s v="Muuga-Laekvere kool"/>
    <s v="mänguasjad"/>
    <n v="0"/>
    <m/>
    <n v="5524"/>
    <s v="Õppevahendid"/>
    <n v="55"/>
    <s v="55"/>
    <s v="Muud tegevuskulud"/>
    <x v="0"/>
    <s v="Põhitegevuse kulu"/>
  </r>
  <r>
    <x v="8"/>
    <x v="63"/>
    <x v="63"/>
    <s v="Põhihariduse otsekulud"/>
    <s v="Haridus"/>
    <s v="Muuga-Laekvere kool"/>
    <s v="ühisüritused"/>
    <n v="600"/>
    <m/>
    <n v="5524"/>
    <s v="Õppevahendid"/>
    <n v="55"/>
    <s v="55"/>
    <s v="Muud tegevuskulud"/>
    <x v="0"/>
    <s v="Põhitegevuse kulu"/>
  </r>
  <r>
    <x v="8"/>
    <x v="63"/>
    <x v="63"/>
    <s v="Põhihariduse otsekulud"/>
    <s v="Haridus"/>
    <s v="Muuga-Laekvere kool"/>
    <s v="transport"/>
    <n v="4000"/>
    <m/>
    <n v="5524"/>
    <s v="Õppevahendid"/>
    <n v="55"/>
    <s v="55"/>
    <s v="Muud tegevuskulud"/>
    <x v="0"/>
    <s v="Põhitegevuse kulu"/>
  </r>
  <r>
    <x v="8"/>
    <x v="63"/>
    <x v="63"/>
    <s v="Põhihariduse otsekulud"/>
    <s v="Haridus"/>
    <s v="Muuga-Laekvere kool"/>
    <s v="ujumine"/>
    <n v="900"/>
    <m/>
    <n v="5524"/>
    <s v="Õppevahendid"/>
    <n v="55"/>
    <s v="55"/>
    <s v="Muud tegevuskulud"/>
    <x v="0"/>
    <s v="Põhitegevuse kulu"/>
  </r>
  <r>
    <x v="8"/>
    <x v="63"/>
    <x v="63"/>
    <s v="Põhihariduse otsekulud"/>
    <s v="Haridus"/>
    <s v="Muuga-Laekvere kool"/>
    <s v="etendused, kontserdid"/>
    <n v="150"/>
    <m/>
    <n v="5525"/>
    <s v="Kommunikatsiooni-, kultuuri- ja vaba aja sisustamise kulud"/>
    <n v="55"/>
    <s v="55"/>
    <s v="Muud tegevuskulud"/>
    <x v="0"/>
    <s v="Põhitegevuse kulu"/>
  </r>
  <r>
    <x v="8"/>
    <x v="63"/>
    <x v="63"/>
    <s v="Põhihariduse otsekulud"/>
    <s v="Haridus"/>
    <s v="Muuga-Laekvere kool"/>
    <s v="osalustasud"/>
    <n v="100"/>
    <m/>
    <n v="5525"/>
    <s v="Kommunikatsiooni-, kultuuri- ja vaba aja sisustamise kulud"/>
    <n v="55"/>
    <s v="55"/>
    <s v="Muud tegevuskulud"/>
    <x v="0"/>
    <s v="Põhitegevuse kulu"/>
  </r>
  <r>
    <x v="8"/>
    <x v="63"/>
    <x v="63"/>
    <s v="Põhihariduse otsekulud"/>
    <s v="Haridus"/>
    <s v="Muuga-Laekvere kool"/>
    <s v="aastapäevad"/>
    <n v="3000"/>
    <m/>
    <n v="5525"/>
    <s v="Kommunikatsiooni-, kultuuri- ja vaba aja sisustamise kulud"/>
    <n v="55"/>
    <s v="55"/>
    <s v="Muud tegevuskulud"/>
    <x v="0"/>
    <s v="Põhitegevuse kulu"/>
  </r>
  <r>
    <x v="8"/>
    <x v="63"/>
    <x v="63"/>
    <s v="Põhihariduse otsekulud"/>
    <s v="Haridus"/>
    <s v="Muuga-Laekvere kool"/>
    <s v="õpilaste üritused"/>
    <n v="2000"/>
    <m/>
    <n v="5525"/>
    <s v="Kommunikatsiooni-, kultuuri- ja vaba aja sisustamise kulud"/>
    <n v="55"/>
    <s v="55"/>
    <s v="Muud tegevuskulud"/>
    <x v="0"/>
    <s v="Põhitegevuse kulu"/>
  </r>
  <r>
    <x v="8"/>
    <x v="63"/>
    <x v="63"/>
    <s v="Põhihariduse otsekulud"/>
    <s v="Haridus"/>
    <s v="Muuga-Laekvere kool"/>
    <s v="programmid"/>
    <n v="1000"/>
    <m/>
    <n v="5514"/>
    <s v="Info- ja kommunikatsioonitehnoliigised kulud"/>
    <n v="55"/>
    <s v="55"/>
    <s v="Muud tegevuskulud"/>
    <x v="0"/>
    <s v="Põhitegevuse kulu"/>
  </r>
  <r>
    <x v="8"/>
    <x v="63"/>
    <x v="63"/>
    <s v="Põhihariduse otsekulud"/>
    <s v="Haridus"/>
    <s v="Muuga-Laekvere kool"/>
    <s v="soetamine"/>
    <n v="500"/>
    <m/>
    <n v="5514"/>
    <s v="Info- ja kommunikatsioonitehnoliigised kulud"/>
    <n v="55"/>
    <s v="55"/>
    <s v="Muud tegevuskulud"/>
    <x v="0"/>
    <s v="Põhitegevuse kulu"/>
  </r>
  <r>
    <x v="8"/>
    <x v="63"/>
    <x v="63"/>
    <s v="Põhihariduse otsekulud"/>
    <s v="Haridus"/>
    <s v="Muuga-Laekvere kool"/>
    <s v="andmeside"/>
    <n v="600"/>
    <m/>
    <n v="5514"/>
    <s v="Info- ja kommunikatsioonitehnoliigised kulud"/>
    <n v="55"/>
    <s v="55"/>
    <s v="Muud tegevuskulud"/>
    <x v="0"/>
    <s v="Põhitegevuse kulu"/>
  </r>
  <r>
    <x v="8"/>
    <x v="63"/>
    <x v="63"/>
    <s v="Põhihariduse otsekulud"/>
    <s v="Haridus"/>
    <s v="Muuga-Laekvere kool"/>
    <s v="remont ja hooldus"/>
    <n v="300"/>
    <m/>
    <n v="5514"/>
    <s v="Info- ja kommunikatsioonitehnoliigised kulud"/>
    <n v="55"/>
    <s v="55"/>
    <s v="Muud tegevuskulud"/>
    <x v="0"/>
    <s v="Põhitegevuse kulu"/>
  </r>
  <r>
    <x v="8"/>
    <x v="63"/>
    <x v="63"/>
    <s v="Põhihariduse otsekulud"/>
    <s v="Haridus"/>
    <s v="Muuga-Laekvere kool"/>
    <s v="Pedagoogilised koolitused"/>
    <n v="1384.56"/>
    <s v="Ped."/>
    <n v="5504"/>
    <s v="Koolituskulud"/>
    <n v="55"/>
    <s v="55"/>
    <s v="Muud tegevuskulud"/>
    <x v="0"/>
    <s v="Põhitegevuse kulu"/>
  </r>
  <r>
    <x v="8"/>
    <x v="63"/>
    <x v="63"/>
    <s v="Põhihariduse otsekulud"/>
    <s v="Haridus"/>
    <s v="Muuga-Laekvere kool"/>
    <s v="Pedagoogilised õppevahendid"/>
    <n v="4311.42"/>
    <s v="Ped."/>
    <n v="5524"/>
    <s v="Õppevahendid"/>
    <n v="55"/>
    <s v="55"/>
    <s v="Muud tegevuskulud"/>
    <x v="0"/>
    <s v="Põhitegevuse kulu"/>
  </r>
  <r>
    <x v="8"/>
    <x v="64"/>
    <x v="64"/>
    <s v="Põhihariduse otsekulud"/>
    <s v="Haridus"/>
    <s v="Muuga-Laekvere kool"/>
    <s v="küte"/>
    <n v="27000"/>
    <m/>
    <n v="5511"/>
    <s v="Kinnistute, hoonete ja ruumide majandamiskulud"/>
    <n v="55"/>
    <s v="55"/>
    <s v="Muud tegevuskulud"/>
    <x v="0"/>
    <s v="Põhitegevuse kulu"/>
  </r>
  <r>
    <x v="8"/>
    <x v="64"/>
    <x v="64"/>
    <s v="Põhihariduse otsekulud"/>
    <s v="Haridus"/>
    <s v="Muuga-Laekvere kool"/>
    <s v="elekter"/>
    <n v="5300"/>
    <m/>
    <n v="5511"/>
    <s v="Kinnistute, hoonete ja ruumide majandamiskulud"/>
    <n v="55"/>
    <s v="55"/>
    <s v="Muud tegevuskulud"/>
    <x v="0"/>
    <s v="Põhitegevuse kulu"/>
  </r>
  <r>
    <x v="8"/>
    <x v="64"/>
    <x v="64"/>
    <s v="Põhihariduse otsekulud"/>
    <s v="Haridus"/>
    <s v="Muuga-Laekvere kool"/>
    <s v="el.käitlus"/>
    <n v="400"/>
    <m/>
    <n v="5511"/>
    <s v="Kinnistute, hoonete ja ruumide majandamiskulud"/>
    <n v="55"/>
    <s v="55"/>
    <s v="Muud tegevuskulud"/>
    <x v="0"/>
    <s v="Põhitegevuse kulu"/>
  </r>
  <r>
    <x v="8"/>
    <x v="64"/>
    <x v="64"/>
    <s v="Põhihariduse otsekulud"/>
    <s v="Haridus"/>
    <s v="Muuga-Laekvere kool"/>
    <s v="korrashoid"/>
    <n v="2000"/>
    <m/>
    <n v="5511"/>
    <s v="Kinnistute, hoonete ja ruumide majandamiskulud"/>
    <n v="55"/>
    <s v="55"/>
    <s v="Muud tegevuskulud"/>
    <x v="0"/>
    <s v="Põhitegevuse kulu"/>
  </r>
  <r>
    <x v="8"/>
    <x v="64"/>
    <x v="64"/>
    <s v="Põhihariduse otsekulud"/>
    <s v="Haridus"/>
    <s v="Muuga-Laekvere kool"/>
    <s v="prügi"/>
    <n v="500"/>
    <m/>
    <n v="5511"/>
    <s v="Kinnistute, hoonete ja ruumide majandamiskulud"/>
    <n v="55"/>
    <s v="55"/>
    <s v="Muud tegevuskulud"/>
    <x v="0"/>
    <s v="Põhitegevuse kulu"/>
  </r>
  <r>
    <x v="8"/>
    <x v="64"/>
    <x v="64"/>
    <s v="Põhihariduse otsekulud"/>
    <s v="Haridus"/>
    <s v="Muuga-Laekvere kool"/>
    <s v="korstnapühkija"/>
    <n v="0"/>
    <m/>
    <n v="5511"/>
    <s v="Kinnistute, hoonete ja ruumide majandamiskulud"/>
    <n v="55"/>
    <s v="55"/>
    <s v="Muud tegevuskulud"/>
    <x v="0"/>
    <s v="Põhitegevuse kulu"/>
  </r>
  <r>
    <x v="8"/>
    <x v="64"/>
    <x v="64"/>
    <s v="Põhihariduse otsekulud"/>
    <s v="Haridus"/>
    <s v="Muuga-Laekvere kool"/>
    <s v="vesi kanalisatsioon"/>
    <n v="1500"/>
    <m/>
    <n v="5511"/>
    <s v="Kinnistute, hoonete ja ruumide majandamiskulud"/>
    <n v="55"/>
    <s v="55"/>
    <s v="Muud tegevuskulud"/>
    <x v="0"/>
    <s v="Põhitegevuse kulu"/>
  </r>
  <r>
    <x v="8"/>
    <x v="64"/>
    <x v="64"/>
    <s v="Põhihariduse otsekulud"/>
    <s v="Haridus"/>
    <s v="Muuga-Laekvere kool"/>
    <s v="rem tööd"/>
    <n v="500"/>
    <m/>
    <n v="5511"/>
    <s v="Kinnistute, hoonete ja ruumide majandamiskulud"/>
    <n v="55"/>
    <s v="55"/>
    <s v="Muud tegevuskulud"/>
    <x v="0"/>
    <s v="Põhitegevuse kulu"/>
  </r>
  <r>
    <x v="8"/>
    <x v="64"/>
    <x v="64"/>
    <s v="Põhihariduse otsekulud"/>
    <s v="Haridus"/>
    <s v="Muuga-Laekvere kool"/>
    <s v="kindlustus"/>
    <n v="900"/>
    <m/>
    <n v="5511"/>
    <s v="Kinnistute, hoonete ja ruumide majandamiskulud"/>
    <n v="55"/>
    <s v="55"/>
    <s v="Muud tegevuskulud"/>
    <x v="0"/>
    <s v="Põhitegevuse kulu"/>
  </r>
  <r>
    <x v="8"/>
    <x v="64"/>
    <x v="64"/>
    <s v="Põhihariduse otsekulud"/>
    <s v="Haridus"/>
    <s v="Muuga-Laekvere kool"/>
    <s v="Muud kinnistukulud"/>
    <n v="700"/>
    <m/>
    <n v="5511"/>
    <s v="Kinnistute, hoonete ja ruumide majandamiskulud"/>
    <n v="55"/>
    <s v="55"/>
    <s v="Muud tegevuskulud"/>
    <x v="0"/>
    <s v="Põhitegevuse kulu"/>
  </r>
  <r>
    <x v="8"/>
    <x v="64"/>
    <x v="64"/>
    <s v="Põhihariduse otsekulud"/>
    <s v="Haridus"/>
    <s v="Muuga-Laekvere kool"/>
    <s v="ohutusvahendite kontroll"/>
    <n v="150"/>
    <m/>
    <n v="5511"/>
    <s v="Kinnistute, hoonete ja ruumide majandamiskulud"/>
    <n v="55"/>
    <s v="55"/>
    <s v="Muud tegevuskulud"/>
    <x v="0"/>
    <s v="Põhitegevuse kulu"/>
  </r>
  <r>
    <x v="8"/>
    <x v="64"/>
    <x v="64"/>
    <s v="Põhihariduse otsekulud"/>
    <s v="Haridus"/>
    <s v="Muuga-Laekvere kool"/>
    <s v="büroo"/>
    <n v="400"/>
    <m/>
    <n v="5500"/>
    <s v="Administreerimiskulud"/>
    <n v="55"/>
    <s v="55"/>
    <s v="Muud tegevuskulud"/>
    <x v="0"/>
    <s v="Põhitegevuse kulu"/>
  </r>
  <r>
    <x v="8"/>
    <x v="64"/>
    <x v="64"/>
    <s v="Põhihariduse otsekulud"/>
    <s v="Haridus"/>
    <s v="Muuga-Laekvere kool"/>
    <s v="tahm"/>
    <n v="250"/>
    <m/>
    <n v="5500"/>
    <s v="Administreerimiskulud"/>
    <n v="55"/>
    <s v="55"/>
    <s v="Muud tegevuskulud"/>
    <x v="0"/>
    <s v="Põhitegevuse kulu"/>
  </r>
  <r>
    <x v="8"/>
    <x v="64"/>
    <x v="64"/>
    <s v="Põhihariduse otsekulud"/>
    <s v="Haridus"/>
    <s v="Muuga-Laekvere kool"/>
    <s v="trükised"/>
    <n v="170"/>
    <m/>
    <n v="5500"/>
    <s v="Administreerimiskulud"/>
    <n v="55"/>
    <s v="55"/>
    <s v="Muud tegevuskulud"/>
    <x v="0"/>
    <s v="Põhitegevuse kulu"/>
  </r>
  <r>
    <x v="8"/>
    <x v="64"/>
    <x v="64"/>
    <s v="Põhihariduse otsekulud"/>
    <s v="Haridus"/>
    <s v="Muuga-Laekvere kool"/>
    <s v="post"/>
    <n v="50"/>
    <m/>
    <n v="5500"/>
    <s v="Administreerimiskulud"/>
    <n v="55"/>
    <s v="55"/>
    <s v="Muud tegevuskulud"/>
    <x v="0"/>
    <s v="Põhitegevuse kulu"/>
  </r>
  <r>
    <x v="8"/>
    <x v="64"/>
    <x v="64"/>
    <s v="Põhihariduse otsekulud"/>
    <s v="Haridus"/>
    <s v="Muuga-Laekvere kool"/>
    <s v="telefon"/>
    <n v="300"/>
    <m/>
    <n v="5500"/>
    <s v="Administreerimiskulud"/>
    <n v="55"/>
    <s v="55"/>
    <s v="Muud tegevuskulud"/>
    <x v="0"/>
    <s v="Põhitegevuse kulu"/>
  </r>
  <r>
    <x v="8"/>
    <x v="64"/>
    <x v="64"/>
    <s v="Põhihariduse otsekulud"/>
    <s v="Haridus"/>
    <s v="Muuga-Laekvere kool"/>
    <s v="mobiiltel"/>
    <n v="0"/>
    <m/>
    <n v="5500"/>
    <s v="Administreerimiskulud"/>
    <n v="55"/>
    <s v="55"/>
    <s v="Muud tegevuskulud"/>
    <x v="0"/>
    <s v="Põhitegevuse kulu"/>
  </r>
  <r>
    <x v="8"/>
    <x v="64"/>
    <x v="64"/>
    <s v="Põhihariduse otsekulud"/>
    <s v="Haridus"/>
    <s v="Muuga-Laekvere kool"/>
    <s v="kingitused"/>
    <n v="150"/>
    <m/>
    <n v="5500"/>
    <s v="Administreerimiskulud"/>
    <n v="55"/>
    <s v="55"/>
    <s v="Muud tegevuskulud"/>
    <x v="0"/>
    <s v="Põhitegevuse kulu"/>
  </r>
  <r>
    <x v="8"/>
    <x v="64"/>
    <x v="64"/>
    <s v="Põhihariduse otsekulud"/>
    <s v="Haridus"/>
    <s v="Muuga-Laekvere kool"/>
    <s v="esindamine"/>
    <n v="150"/>
    <m/>
    <n v="5500"/>
    <s v="Administreerimiskulud"/>
    <n v="55"/>
    <s v="55"/>
    <s v="Muud tegevuskulud"/>
    <x v="0"/>
    <s v="Põhitegevuse kulu"/>
  </r>
  <r>
    <x v="8"/>
    <x v="64"/>
    <x v="64"/>
    <s v="Põhihariduse otsekulud"/>
    <s v="Haridus"/>
    <s v="Muuga-Laekvere kool"/>
    <s v="kuulutused"/>
    <n v="50"/>
    <m/>
    <n v="5500"/>
    <s v="Administreerimiskulud"/>
    <n v="55"/>
    <s v="55"/>
    <s v="Muud tegevuskulud"/>
    <x v="0"/>
    <s v="Põhitegevuse kulu"/>
  </r>
  <r>
    <x v="8"/>
    <x v="64"/>
    <x v="64"/>
    <s v="Põhihariduse otsekulud"/>
    <s v="Haridus"/>
    <s v="Muuga-Laekvere kool"/>
    <s v="Muud admin.kulud"/>
    <n v="150"/>
    <m/>
    <n v="5500"/>
    <s v="Administreerimiskulud"/>
    <n v="55"/>
    <s v="55"/>
    <s v="Muud tegevuskulud"/>
    <x v="0"/>
    <s v="Põhitegevuse kulu"/>
  </r>
  <r>
    <x v="8"/>
    <x v="64"/>
    <x v="64"/>
    <s v="Põhihariduse otsekulud"/>
    <s v="Haridus"/>
    <s v="Muuga-Laekvere kool"/>
    <s v="koolitused"/>
    <n v="184.64"/>
    <m/>
    <n v="5504"/>
    <s v="Koolituskulud"/>
    <n v="55"/>
    <s v="55"/>
    <s v="Muud tegevuskulud"/>
    <x v="0"/>
    <s v="Põhitegevuse kulu"/>
  </r>
  <r>
    <x v="8"/>
    <x v="64"/>
    <x v="64"/>
    <s v="Põhihariduse otsekulud"/>
    <s v="Haridus"/>
    <s v="Muuga-Laekvere kool"/>
    <s v="isikliku sõiduki kasutamine"/>
    <n v="600"/>
    <m/>
    <n v="5513"/>
    <s v="Sõidukite ülalpidamise kulud"/>
    <n v="55"/>
    <s v="55"/>
    <s v="Muud tegevuskulud"/>
    <x v="0"/>
    <s v="Põhitegevuse kulu"/>
  </r>
  <r>
    <x v="8"/>
    <x v="64"/>
    <x v="64"/>
    <s v="Põhihariduse otsekulud"/>
    <s v="Haridus"/>
    <s v="Muuga-Laekvere kool"/>
    <s v="Kooli bussi haldamine"/>
    <n v="3500"/>
    <m/>
    <n v="5513"/>
    <s v="Sõidukite ülalpidamise kulud"/>
    <n v="55"/>
    <s v="55"/>
    <s v="Muud tegevuskulud"/>
    <x v="0"/>
    <s v="Põhitegevuse kulu"/>
  </r>
  <r>
    <x v="8"/>
    <x v="64"/>
    <x v="64"/>
    <s v="Põhihariduse otsekulud"/>
    <s v="Haridus"/>
    <s v="Muuga-Laekvere kool"/>
    <s v="hooldus ja remont"/>
    <n v="500"/>
    <m/>
    <n v="5515"/>
    <s v="Inventari kulud, v.a infotehnoloogia ja kaitseotstarbelised kulud"/>
    <n v="55"/>
    <s v="55"/>
    <s v="Muud tegevuskulud"/>
    <x v="0"/>
    <s v="Põhitegevuse kulu"/>
  </r>
  <r>
    <x v="8"/>
    <x v="64"/>
    <x v="64"/>
    <s v="Põhihariduse otsekulud"/>
    <s v="Haridus"/>
    <s v="Muuga-Laekvere kool"/>
    <s v="muud inventari kulud"/>
    <n v="700"/>
    <m/>
    <n v="5515"/>
    <s v="Inventari kulud, v.a infotehnoloogia ja kaitseotstarbelised kulud"/>
    <n v="55"/>
    <s v="55"/>
    <s v="Muud tegevuskulud"/>
    <x v="0"/>
    <s v="Põhitegevuse kulu"/>
  </r>
  <r>
    <x v="8"/>
    <x v="64"/>
    <x v="64"/>
    <s v="Põhihariduse otsekulud"/>
    <s v="Haridus"/>
    <s v="Muuga-Laekvere kool"/>
    <s v="rent"/>
    <n v="300"/>
    <m/>
    <n v="5515"/>
    <s v="Inventari kulud, v.a infotehnoloogia ja kaitseotstarbelised kulud"/>
    <n v="55"/>
    <s v="55"/>
    <s v="Muud tegevuskulud"/>
    <x v="0"/>
    <s v="Põhitegevuse kulu"/>
  </r>
  <r>
    <x v="8"/>
    <x v="64"/>
    <x v="64"/>
    <s v="Põhihariduse otsekulud"/>
    <s v="Haridus"/>
    <s v="Muuga-Laekvere kool"/>
    <s v="Toiduained"/>
    <n v="5985"/>
    <s v="Ped."/>
    <n v="5521"/>
    <s v="Toiduained ja toitlustusteenused"/>
    <n v="55"/>
    <s v="55"/>
    <s v="Muud tegevuskulud"/>
    <x v="0"/>
    <s v="Põhitegevuse kulu"/>
  </r>
  <r>
    <x v="8"/>
    <x v="64"/>
    <x v="64"/>
    <s v="Põhihariduse otsekulud"/>
    <s v="Haridus"/>
    <s v="Muuga-Laekvere kool"/>
    <s v="esmaabi"/>
    <n v="100"/>
    <m/>
    <n v="5522"/>
    <s v="Meditsiinikulud ja hügieenitarbed"/>
    <n v="55"/>
    <s v="55"/>
    <s v="Muud tegevuskulud"/>
    <x v="0"/>
    <s v="Põhitegevuse kulu"/>
  </r>
  <r>
    <x v="8"/>
    <x v="64"/>
    <x v="64"/>
    <s v="Põhihariduse otsekulud"/>
    <s v="Haridus"/>
    <s v="Muuga-Laekvere kool"/>
    <s v="hügieenivahendid"/>
    <n v="600"/>
    <m/>
    <n v="5522"/>
    <s v="Meditsiinikulud ja hügieenitarbed"/>
    <n v="55"/>
    <s v="55"/>
    <s v="Muud tegevuskulud"/>
    <x v="0"/>
    <s v="Põhitegevuse kulu"/>
  </r>
  <r>
    <x v="8"/>
    <x v="64"/>
    <x v="64"/>
    <s v="Põhihariduse otsekulud"/>
    <s v="Haridus"/>
    <s v="Muuga-Laekvere kool"/>
    <s v="tervisekontroll"/>
    <n v="50"/>
    <m/>
    <n v="5522"/>
    <s v="Meditsiinikulud ja hügieenitarbed"/>
    <n v="55"/>
    <s v="55"/>
    <s v="Muud tegevuskulud"/>
    <x v="0"/>
    <s v="Põhitegevuse kulu"/>
  </r>
  <r>
    <x v="8"/>
    <x v="64"/>
    <x v="64"/>
    <s v="Põhihariduse otsekulud"/>
    <s v="Haridus"/>
    <s v="Muuga-Laekvere kool"/>
    <s v="prillid"/>
    <n v="300"/>
    <m/>
    <n v="5522"/>
    <s v="Meditsiinikulud ja hügieenitarbed"/>
    <n v="55"/>
    <s v="55"/>
    <s v="Muud tegevuskulud"/>
    <x v="0"/>
    <s v="Põhitegevuse kulu"/>
  </r>
  <r>
    <x v="8"/>
    <x v="64"/>
    <x v="64"/>
    <s v="Põhihariduse otsekulud"/>
    <s v="Haridus"/>
    <s v="Muuga-Laekvere kool"/>
    <s v="õpikud, töövihikud"/>
    <n v="313.42000000000007"/>
    <m/>
    <n v="5524"/>
    <s v="Õppevahendid"/>
    <n v="55"/>
    <s v="55"/>
    <s v="Muud tegevuskulud"/>
    <x v="0"/>
    <s v="Põhitegevuse kulu"/>
  </r>
  <r>
    <x v="8"/>
    <x v="64"/>
    <x v="64"/>
    <s v="Põhihariduse otsekulud"/>
    <s v="Haridus"/>
    <s v="Muuga-Laekvere kool"/>
    <s v="õppematerjalid"/>
    <n v="500"/>
    <m/>
    <n v="5524"/>
    <s v="Õppevahendid"/>
    <n v="55"/>
    <s v="55"/>
    <s v="Muud tegevuskulud"/>
    <x v="0"/>
    <s v="Põhitegevuse kulu"/>
  </r>
  <r>
    <x v="8"/>
    <x v="64"/>
    <x v="64"/>
    <s v="Põhihariduse otsekulud"/>
    <s v="Haridus"/>
    <s v="Muuga-Laekvere kool"/>
    <s v="ühisüritused"/>
    <n v="500"/>
    <m/>
    <n v="5524"/>
    <s v="Õppevahendid"/>
    <n v="55"/>
    <s v="55"/>
    <s v="Muud tegevuskulud"/>
    <x v="0"/>
    <s v="Põhitegevuse kulu"/>
  </r>
  <r>
    <x v="8"/>
    <x v="64"/>
    <x v="64"/>
    <s v="Põhihariduse otsekulud"/>
    <s v="Haridus"/>
    <s v="Muuga-Laekvere kool"/>
    <s v="transport"/>
    <n v="2800"/>
    <m/>
    <n v="5524"/>
    <s v="Õppevahendid"/>
    <n v="55"/>
    <s v="55"/>
    <s v="Muud tegevuskulud"/>
    <x v="0"/>
    <s v="Põhitegevuse kulu"/>
  </r>
  <r>
    <x v="8"/>
    <x v="64"/>
    <x v="64"/>
    <s v="Põhihariduse otsekulud"/>
    <s v="Haridus"/>
    <s v="Muuga-Laekvere kool"/>
    <s v="ujumine"/>
    <n v="800"/>
    <m/>
    <n v="5524"/>
    <s v="Õppevahendid"/>
    <n v="55"/>
    <s v="55"/>
    <s v="Muud tegevuskulud"/>
    <x v="0"/>
    <s v="Põhitegevuse kulu"/>
  </r>
  <r>
    <x v="8"/>
    <x v="64"/>
    <x v="64"/>
    <s v="Põhihariduse otsekulud"/>
    <s v="Haridus"/>
    <s v="Muuga-Laekvere kool"/>
    <s v="etendused, kontserdid"/>
    <n v="450"/>
    <m/>
    <n v="5525"/>
    <s v="Kommunikatsiooni-, kultuuri- ja vaba aja sisustamise kulud"/>
    <n v="55"/>
    <s v="55"/>
    <s v="Muud tegevuskulud"/>
    <x v="0"/>
    <s v="Põhitegevuse kulu"/>
  </r>
  <r>
    <x v="8"/>
    <x v="64"/>
    <x v="64"/>
    <s v="Põhihariduse otsekulud"/>
    <s v="Haridus"/>
    <s v="Muuga-Laekvere kool"/>
    <s v="osalustasud"/>
    <n v="300"/>
    <m/>
    <n v="5525"/>
    <s v="Kommunikatsiooni-, kultuuri- ja vaba aja sisustamise kulud"/>
    <n v="55"/>
    <s v="55"/>
    <s v="Muud tegevuskulud"/>
    <x v="0"/>
    <s v="Põhitegevuse kulu"/>
  </r>
  <r>
    <x v="8"/>
    <x v="64"/>
    <x v="64"/>
    <s v="Põhihariduse otsekulud"/>
    <s v="Haridus"/>
    <s v="Muuga-Laekvere kool"/>
    <s v="õpilaste üritused, autasud"/>
    <n v="750"/>
    <m/>
    <n v="5525"/>
    <s v="Kommunikatsiooni-, kultuuri- ja vaba aja sisustamise kulud"/>
    <n v="55"/>
    <s v="55"/>
    <s v="Muud tegevuskulud"/>
    <x v="0"/>
    <s v="Põhitegevuse kulu"/>
  </r>
  <r>
    <x v="8"/>
    <x v="64"/>
    <x v="64"/>
    <s v="Põhihariduse otsekulud"/>
    <s v="Haridus"/>
    <s v="Muuga-Laekvere kool"/>
    <s v="programmid"/>
    <n v="1000"/>
    <m/>
    <n v="5514"/>
    <s v="Info- ja kommunikatsioonitehnoliigised kulud"/>
    <n v="55"/>
    <s v="55"/>
    <s v="Muud tegevuskulud"/>
    <x v="0"/>
    <s v="Põhitegevuse kulu"/>
  </r>
  <r>
    <x v="8"/>
    <x v="64"/>
    <x v="64"/>
    <s v="Põhihariduse otsekulud"/>
    <s v="Haridus"/>
    <s v="Muuga-Laekvere kool"/>
    <s v="soetamine"/>
    <n v="500"/>
    <m/>
    <n v="5514"/>
    <s v="Info- ja kommunikatsioonitehnoliigised kulud"/>
    <n v="55"/>
    <s v="55"/>
    <s v="Muud tegevuskulud"/>
    <x v="0"/>
    <s v="Põhitegevuse kulu"/>
  </r>
  <r>
    <x v="8"/>
    <x v="64"/>
    <x v="64"/>
    <s v="Põhihariduse otsekulud"/>
    <s v="Haridus"/>
    <s v="Muuga-Laekvere kool"/>
    <s v="andmeside"/>
    <n v="700"/>
    <m/>
    <n v="5514"/>
    <s v="Info- ja kommunikatsioonitehnoliigised kulud"/>
    <n v="55"/>
    <s v="55"/>
    <s v="Muud tegevuskulud"/>
    <x v="0"/>
    <s v="Põhitegevuse kulu"/>
  </r>
  <r>
    <x v="8"/>
    <x v="64"/>
    <x v="64"/>
    <s v="Põhihariduse otsekulud"/>
    <s v="Haridus"/>
    <s v="Muuga-Laekvere kool"/>
    <s v="remont ja hooldus"/>
    <n v="300"/>
    <m/>
    <n v="5514"/>
    <s v="Info- ja kommunikatsioonitehnoliigised kulud"/>
    <n v="55"/>
    <s v="55"/>
    <s v="Muud tegevuskulud"/>
    <x v="0"/>
    <s v="Põhitegevuse kulu"/>
  </r>
  <r>
    <x v="8"/>
    <x v="64"/>
    <x v="64"/>
    <s v="Põhihariduse otsekulud"/>
    <s v="Haridus"/>
    <s v="Muuga-Laekvere kool"/>
    <s v="rent"/>
    <n v="500"/>
    <m/>
    <n v="5514"/>
    <s v="Info- ja kommunikatsioonitehnoliigised kulud"/>
    <n v="55"/>
    <s v="55"/>
    <s v="Muud tegevuskulud"/>
    <x v="0"/>
    <s v="Põhitegevuse kulu"/>
  </r>
  <r>
    <x v="8"/>
    <x v="64"/>
    <x v="64"/>
    <s v="Põhihariduse otsekulud"/>
    <s v="Haridus"/>
    <s v="Muuga-Laekvere kool"/>
    <s v="Pedagoogilised koolitused"/>
    <n v="615.36"/>
    <s v="Ped."/>
    <n v="5504"/>
    <s v="Koolituskulud"/>
    <n v="55"/>
    <s v="55"/>
    <s v="Muud tegevuskulud"/>
    <x v="0"/>
    <s v="Põhitegevuse kulu"/>
  </r>
  <r>
    <x v="8"/>
    <x v="64"/>
    <x v="64"/>
    <s v="Põhihariduse otsekulud"/>
    <s v="Haridus"/>
    <s v="Muuga-Laekvere kool"/>
    <s v="Pedagoogilised õppevahendid"/>
    <n v="2186.58"/>
    <s v="Ped."/>
    <n v="5524"/>
    <s v="Õppevahendi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telefonid ja internet"/>
    <n v="1140"/>
    <s v="95 x 12"/>
    <n v="5500"/>
    <s v="Administreerimis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postikulu, kuulutused"/>
    <n v="50"/>
    <m/>
    <n v="5500"/>
    <s v="Administreerimis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tahmakassetid (värviline, õp.tuba, kantselei, direktor, LA)"/>
    <n v="1200"/>
    <m/>
    <n v="5500"/>
    <s v="Administreerimis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veebimajutus"/>
    <n v="24"/>
    <m/>
    <n v="5500"/>
    <s v="Administreerimis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kantseleitarbed (kalendrid, pastapl., liim jne)"/>
    <n v="200"/>
    <m/>
    <n v="5500"/>
    <s v="Administreerimis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printeripaber"/>
    <n v="276"/>
    <s v="20 karpi"/>
    <n v="5500"/>
    <s v="Administreerimis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külalised"/>
    <n v="100"/>
    <m/>
    <n v="5500"/>
    <s v="Administreerimis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koolituste plaan"/>
    <n v="1650"/>
    <m/>
    <n v="5504"/>
    <s v="Koolitus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bussi liikluskindlustus"/>
    <n v="620"/>
    <m/>
    <n v="5513"/>
    <s v="Sõidukite ülalpidamise 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kütus"/>
    <n v="2700"/>
    <m/>
    <n v="5513"/>
    <s v="Sõidukite ülalpidamise 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remont ja hooldus"/>
    <n v="1000"/>
    <m/>
    <n v="5513"/>
    <s v="Sõidukite ülalpidamise 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isikliku sõduauto kasutus"/>
    <n v="640"/>
    <s v="V. Klemmer (10 x 64)"/>
    <n v="5513"/>
    <s v="Sõidukite ülalpidamise 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isikliku sõduauto kasutus"/>
    <n v="640"/>
    <s v="M. Mirt (10 x 64)"/>
    <n v="5513"/>
    <s v="Sõidukite ülalpidamise 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isikliku sõduauto kasutus"/>
    <n v="640"/>
    <s v="H. Supper (10 x 64)"/>
    <n v="5513"/>
    <s v="Sõidukite ülalpidamise 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isikliku sõduauto kasutus"/>
    <n v="640"/>
    <s v="U. Kruusimägi (10 x 64)"/>
    <n v="5513"/>
    <s v="Sõidukite ülalpidamise 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isikliku sõduauto kasutus"/>
    <n v="704"/>
    <s v="S. Kalme (11 x 64)"/>
    <n v="5513"/>
    <s v="Sõidukite ülalpidamise 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klaverihäälestamine"/>
    <n v="200"/>
    <s v=" klaverit"/>
    <n v="5515"/>
    <s v="Inventari kulud, v.a infotehnoloogia ja kaitseotstarbelised 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seadmete remondid"/>
    <n v="200"/>
    <m/>
    <n v="5515"/>
    <s v="Inventari kulud, v.a infotehnoloogia ja kaitseotstarbelised 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ekraan + projektor(1 tk)"/>
    <n v="1000"/>
    <s v="aula"/>
    <n v="5515"/>
    <s v="Inventari kulud, v.a infotehnoloogia ja kaitseotstarbelised 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toiduained  "/>
    <n v="10675"/>
    <m/>
    <n v="5521"/>
    <s v="Toiduained ja toitlustusteenuse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töötervishoiuarst"/>
    <n v="150"/>
    <s v="3 töötajat"/>
    <n v="5522"/>
    <s v="Meditsiinikulud ja hügieenitarbe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plaastrid, sidemed jne"/>
    <n v="100"/>
    <m/>
    <n v="5522"/>
    <s v="Meditsiinikulud ja hügieenitarbe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õpikud"/>
    <n v="200"/>
    <m/>
    <n v="5524"/>
    <s v="Õppevahendi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töövihikud"/>
    <n v="3023"/>
    <s v="tellimislehti pole veel"/>
    <n v="5524"/>
    <s v="Õppevahendi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õpetajate tööraamatud, CD"/>
    <n v="100"/>
    <m/>
    <n v="5524"/>
    <s v="Õppevahendi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Õppevahendid"/>
    <n v="500"/>
    <s v="värvil.paber,joonistuspaber,värvid,mänguasjad"/>
    <n v="5524"/>
    <s v="Õppevahendi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sporditarbed"/>
    <n v="500"/>
    <s v="pallid, kõrgushüppe postid, tõkked"/>
    <n v="5524"/>
    <s v="Õppevahendi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poiste tööõpetus"/>
    <n v="100"/>
    <s v="kruvid, naelad, vineerisaelehed,liivapaber"/>
    <n v="5524"/>
    <s v="Õppevahendi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kodundus"/>
    <n v="200"/>
    <s v="käsitöövahendid, toiduained"/>
    <n v="5524"/>
    <s v="Õppevahendi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õppeköök"/>
    <n v="200"/>
    <s v="köögi tarvikud (pannid, kausid, noad)"/>
    <n v="5524"/>
    <s v="Õppevahendi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ATV bensiin suusaradade hoolduseks ja korrashoid"/>
    <n v="150"/>
    <m/>
    <n v="5524"/>
    <s v="Õppevahendi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lõpetamine (kingitused lõpetajatele)"/>
    <n v="150"/>
    <s v="kool + LA"/>
    <n v="5525"/>
    <s v="Kommunikatsiooni-, kultuuri- ja vaba aja sisustamise 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kooli logoga meened kingitusteks"/>
    <n v="150"/>
    <m/>
    <n v="5525"/>
    <s v="Kommunikatsiooni-, kultuuri- ja vaba aja sisustamise 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õpilaste premeerimine saavutuste puhul"/>
    <n v="150"/>
    <m/>
    <n v="5525"/>
    <s v="Kommunikatsiooni-, kultuuri- ja vaba aja sisustamise 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lilled ürituste dekoreerimiseks"/>
    <n v="200"/>
    <m/>
    <n v="5525"/>
    <s v="Kommunikatsiooni-, kultuuri- ja vaba aja sisustamise 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spordipäevade auhinnad"/>
    <n v="100"/>
    <m/>
    <n v="5525"/>
    <s v="Kommunikatsiooni-, kultuuri- ja vaba aja sisustamise 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õppeekskursioon õpetajatele"/>
    <n v="700"/>
    <m/>
    <n v="5525"/>
    <s v="Kommunikatsiooni-, kultuuri- ja vaba aja sisustamise 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küte"/>
    <n v="37000"/>
    <m/>
    <n v="5511"/>
    <s v="Kinnistute, hoonete ja ruumide majandamis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elekter"/>
    <n v="6500"/>
    <m/>
    <n v="5511"/>
    <s v="Kinnistute, hoonete ja ruumide majandamis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vesi + kanalisatsioon + san tehnilised tööd"/>
    <n v="4000"/>
    <m/>
    <n v="5511"/>
    <s v="Kinnistute, hoonete ja ruumide majandamis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prügi"/>
    <n v="489"/>
    <s v="14 x 20,50 + 12 x16,80 (konteineri laenutus)"/>
    <n v="5511"/>
    <s v="Kinnistute, hoonete ja ruumide majandamis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valvesignalisatsioon"/>
    <n v="850"/>
    <s v="4 x 153.40 + materjalid + G4S (200.-)"/>
    <n v="5511"/>
    <s v="Kinnistute, hoonete ja ruumide majandamis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el.käiduleping"/>
    <n v="800"/>
    <s v="48 x 12 + materjalid"/>
    <n v="5511"/>
    <s v="Kinnistute, hoonete ja ruumide majandamis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söökla ventilatsiooni puhastus"/>
    <n v="450"/>
    <s v="1 kord aastas kohustuslik"/>
    <n v="5511"/>
    <s v="Kinnistute, hoonete ja ruumide majandamis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söökla uhteproovid, vee analüüsid"/>
    <n v="106"/>
    <s v="2 x 53"/>
    <n v="5511"/>
    <s v="Kinnistute, hoonete ja ruumide majandamis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söökla kahjuritõrje"/>
    <n v="92"/>
    <s v="4 x 23.01"/>
    <n v="5511"/>
    <s v="Kinnistute, hoonete ja ruumide majandamis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tulekustutite kontroll"/>
    <n v="113"/>
    <s v="23 x 4,90"/>
    <n v="5511"/>
    <s v="Kinnistute, hoonete ja ruumide majandamis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korrashoiuvahendid"/>
    <n v="1400"/>
    <s v="WC paber, puhastusvahendid jne"/>
    <n v="5511"/>
    <s v="Kinnistute, hoonete ja ruumide majandamis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pisiremont (pahtel, värv jne)"/>
    <n v="4500"/>
    <m/>
    <n v="5511"/>
    <s v="Kinnistute, hoonete ja ruumide majandamis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e-kool"/>
    <n v="400"/>
    <s v="12 x 33,33"/>
    <n v="5514"/>
    <s v="Info- ja kommunikatsioonitehnoliigised 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arvutiprogrammid, hooldused"/>
    <n v="250"/>
    <s v="viiruse tõrje"/>
    <n v="5514"/>
    <s v="Info- ja kommunikatsioonitehnoliigised 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haridusserver"/>
    <n v="20"/>
    <m/>
    <n v="5514"/>
    <s v="Info- ja kommunikatsioonitehnoliigised 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sülearvuti (2 tk)"/>
    <n v="1000"/>
    <s v="õpetajatele vanade asendamiseks"/>
    <n v="5514"/>
    <s v="Info- ja kommunikatsioonitehnoliigised kulud"/>
    <n v="55"/>
    <s v="55"/>
    <s v="Muud tegevuskulud"/>
    <x v="0"/>
    <s v="Põhitegevuse kulu"/>
  </r>
  <r>
    <x v="8"/>
    <x v="65"/>
    <x v="65"/>
    <s v="Põhihariduse otsekulud"/>
    <s v="Haridus"/>
    <s v="Roela kool"/>
    <s v="Signalisatsioon ühendada (LA, r/k, kool)"/>
    <n v="785.4"/>
    <s v="LA ja r/k signal. puudub"/>
    <n v="5511"/>
    <s v="Kinnistute, hoonete ja ruumide majandamiskulud"/>
    <n v="55"/>
    <s v="55"/>
    <s v="Muud tegevuskulud"/>
    <x v="0"/>
    <s v="Põhitegevuse kulu"/>
  </r>
  <r>
    <x v="8"/>
    <x v="65"/>
    <x v="65"/>
    <s v="Põhihariduse otsekulud"/>
    <s v="Haridus"/>
    <s v="Roela kool"/>
    <s v="Kooli ja LA juubel (40/45)"/>
    <n v="4580"/>
    <s v="Esinejad, toitlustamine, meened"/>
    <n v="5525"/>
    <s v="Kommunikatsiooni-, kultuuri- ja vaba aja sisustamise kulud"/>
    <n v="55"/>
    <s v="55"/>
    <s v="Muud tegevuskulud"/>
    <x v="0"/>
    <s v="Põhitegevuse kulu"/>
  </r>
  <r>
    <x v="8"/>
    <x v="65"/>
    <x v="65"/>
    <s v="Põhihariduse otsekulud"/>
    <s v="Haridus"/>
    <s v="Roela kool"/>
    <s v="1. klassi ujumise transport (19 x 40.-)"/>
    <n v="760"/>
    <s v="õppekavas ette nähtud"/>
    <n v="5540"/>
    <s v="Mitmesugused majandus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Pedagoogilised koolitused"/>
    <n v="1100"/>
    <s v="Ped."/>
    <n v="5504"/>
    <s v="Koolituskulud"/>
    <n v="55"/>
    <s v="55"/>
    <s v="Muud tegevuskulud"/>
    <x v="0"/>
    <s v="Põhitegevuse kulu"/>
  </r>
  <r>
    <x v="8"/>
    <x v="65"/>
    <x v="65"/>
    <s v="Põhihariduse otsekulud"/>
    <s v="Haridus"/>
    <s v="Ferdinand von Wrangelli nim Roela Lasteaed-Põhikool"/>
    <s v="Pedagoogilised õppevahendid"/>
    <n v="3477"/>
    <s v="Ped."/>
    <n v="5524"/>
    <s v="Õppevahendid"/>
    <n v="55"/>
    <s v="55"/>
    <s v="Muud tegevuskulud"/>
    <x v="0"/>
    <s v="Põhitegevuse kulu"/>
  </r>
  <r>
    <x v="8"/>
    <x v="66"/>
    <x v="66"/>
    <s v="Põhihariduse otsekulud"/>
    <s v="Haridus"/>
    <s v="Tudu Põhikool"/>
    <s v="telefonid ja internet"/>
    <n v="800"/>
    <s v="EMT 200; lauatel+neti=600"/>
    <n v="5500"/>
    <s v="Administreerimiskulud"/>
    <n v="55"/>
    <s v="55"/>
    <s v="Muud tegevuskulud"/>
    <x v="0"/>
    <s v="Põhitegevuse kulu"/>
  </r>
  <r>
    <x v="8"/>
    <x v="66"/>
    <x v="66"/>
    <s v="Põhihariduse otsekulud"/>
    <s v="Haridus"/>
    <s v="Tudu Põhikool"/>
    <s v="postikulu"/>
    <n v="50"/>
    <m/>
    <n v="5500"/>
    <s v="Administreerimiskulud"/>
    <n v="55"/>
    <s v="55"/>
    <s v="Muud tegevuskulud"/>
    <x v="0"/>
    <s v="Põhitegevuse kulu"/>
  </r>
  <r>
    <x v="8"/>
    <x v="66"/>
    <x v="66"/>
    <s v="Põhihariduse otsekulud"/>
    <s v="Haridus"/>
    <s v="Tudu Põhikool"/>
    <s v="printeritahm ja tint"/>
    <n v="200"/>
    <m/>
    <n v="5500"/>
    <s v="Administreerimiskulud"/>
    <n v="55"/>
    <s v="55"/>
    <s v="Muud tegevuskulud"/>
    <x v="0"/>
    <s v="Põhitegevuse kulu"/>
  </r>
  <r>
    <x v="8"/>
    <x v="66"/>
    <x v="66"/>
    <s v="Põhihariduse otsekulud"/>
    <s v="Haridus"/>
    <s v="Tudu Põhikool"/>
    <s v="kantseleitarbed"/>
    <n v="200"/>
    <s v="paber, kladed, pliiatsid jne"/>
    <n v="5500"/>
    <s v="Administreerimiskulud"/>
    <n v="55"/>
    <s v="55"/>
    <s v="Muud tegevuskulud"/>
    <x v="0"/>
    <s v="Põhitegevuse kulu"/>
  </r>
  <r>
    <x v="8"/>
    <x v="66"/>
    <x v="66"/>
    <s v="Põhihariduse otsekulud"/>
    <s v="Haridus"/>
    <s v="Tudu Põhikool"/>
    <s v="kuulutused"/>
    <n v="50"/>
    <m/>
    <n v="5500"/>
    <s v="Administreerimiskulud"/>
    <n v="55"/>
    <s v="55"/>
    <s v="Muud tegevuskulud"/>
    <x v="0"/>
    <s v="Põhitegevuse kulu"/>
  </r>
  <r>
    <x v="8"/>
    <x v="66"/>
    <x v="66"/>
    <s v="Põhihariduse otsekulud"/>
    <s v="Haridus"/>
    <s v="Tudu Põhikool"/>
    <s v="ajakirjanduse tellimine"/>
    <n v="230"/>
    <s v="ajalehed"/>
    <n v="5500"/>
    <s v="Administreerimiskulud"/>
    <n v="55"/>
    <s v="55"/>
    <s v="Muud tegevuskulud"/>
    <x v="0"/>
    <s v="Põhitegevuse kulu"/>
  </r>
  <r>
    <x v="8"/>
    <x v="66"/>
    <x v="66"/>
    <s v="Põhihariduse otsekulud"/>
    <s v="Haridus"/>
    <s v="Tudu Põhikool"/>
    <s v="erivajadustega laste õpet"/>
    <n v="200"/>
    <m/>
    <n v="5504"/>
    <s v="Koolituskulud"/>
    <n v="55"/>
    <s v="55"/>
    <s v="Muud tegevuskulud"/>
    <x v="0"/>
    <s v="Põhitegevuse kulu"/>
  </r>
  <r>
    <x v="8"/>
    <x v="66"/>
    <x v="66"/>
    <s v="Põhihariduse otsekulud"/>
    <s v="Haridus"/>
    <s v="Tudu Põhikool"/>
    <s v="robootika ainetundides"/>
    <n v="100"/>
    <m/>
    <n v="5504"/>
    <s v="Koolituskulud"/>
    <n v="55"/>
    <s v="55"/>
    <s v="Muud tegevuskulud"/>
    <x v="0"/>
    <s v="Põhitegevuse kulu"/>
  </r>
  <r>
    <x v="8"/>
    <x v="66"/>
    <x v="66"/>
    <s v="Põhihariduse otsekulud"/>
    <s v="Haridus"/>
    <s v="Tudu Põhikool"/>
    <s v="enesekehtestamine"/>
    <n v="300"/>
    <m/>
    <n v="5504"/>
    <s v="Koolituskulud"/>
    <n v="55"/>
    <s v="55"/>
    <s v="Muud tegevuskulud"/>
    <x v="0"/>
    <s v="Põhitegevuse kulu"/>
  </r>
  <r>
    <x v="8"/>
    <x v="66"/>
    <x v="66"/>
    <s v="Põhihariduse otsekulud"/>
    <s v="Haridus"/>
    <s v="Tudu Põhikool"/>
    <s v="kindlustus"/>
    <n v="684"/>
    <m/>
    <n v="5513"/>
    <s v="Sõidukite ülalpidamise kulud"/>
    <n v="55"/>
    <s v="55"/>
    <s v="Muud tegevuskulud"/>
    <x v="0"/>
    <s v="Põhitegevuse kulu"/>
  </r>
  <r>
    <x v="8"/>
    <x v="66"/>
    <x v="66"/>
    <s v="Põhihariduse otsekulud"/>
    <s v="Haridus"/>
    <s v="Tudu Põhikool"/>
    <s v="hooldus"/>
    <n v="500"/>
    <m/>
    <n v="5513"/>
    <s v="Sõidukite ülalpidamise kulud"/>
    <n v="55"/>
    <s v="55"/>
    <s v="Muud tegevuskulud"/>
    <x v="0"/>
    <s v="Põhitegevuse kulu"/>
  </r>
  <r>
    <x v="8"/>
    <x v="66"/>
    <x v="66"/>
    <s v="Põhihariduse otsekulud"/>
    <s v="Haridus"/>
    <s v="Tudu Põhikool"/>
    <s v="kütus"/>
    <n v="5000"/>
    <m/>
    <n v="5513"/>
    <s v="Sõidukite ülalpidamise kulud"/>
    <n v="55"/>
    <s v="55"/>
    <s v="Muud tegevuskulud"/>
    <x v="0"/>
    <s v="Põhitegevuse kulu"/>
  </r>
  <r>
    <x v="8"/>
    <x v="66"/>
    <x v="66"/>
    <s v="Põhihariduse otsekulud"/>
    <s v="Haridus"/>
    <s v="Tudu Põhikool"/>
    <s v="autohüvitised"/>
    <n v="200"/>
    <m/>
    <n v="5513"/>
    <s v="Sõidukite ülalpidamise kulud"/>
    <n v="55"/>
    <s v="55"/>
    <s v="Muud tegevuskulud"/>
    <x v="0"/>
    <s v="Põhitegevuse kulu"/>
  </r>
  <r>
    <x v="8"/>
    <x v="66"/>
    <x v="66"/>
    <s v="Põhihariduse otsekulud"/>
    <s v="Haridus"/>
    <s v="Tudu Põhikool"/>
    <s v="liising"/>
    <n v="4824"/>
    <m/>
    <n v="5513"/>
    <s v="Sõidukite ülalpidamise kulud"/>
    <n v="55"/>
    <s v="55"/>
    <s v="Muud tegevuskulud"/>
    <x v="0"/>
    <s v="Põhitegevuse kulu"/>
  </r>
  <r>
    <x v="8"/>
    <x v="66"/>
    <x v="66"/>
    <s v="Põhihariduse otsekulud"/>
    <s v="Haridus"/>
    <s v="Tudu Põhikool"/>
    <s v="rehvivahetus"/>
    <n v="100"/>
    <m/>
    <n v="5513"/>
    <s v="Sõidukite ülalpidamise kulud"/>
    <n v="55"/>
    <s v="55"/>
    <s v="Muud tegevuskulud"/>
    <x v="0"/>
    <s v="Põhitegevuse kulu"/>
  </r>
  <r>
    <x v="8"/>
    <x v="66"/>
    <x v="66"/>
    <s v="Põhihariduse otsekulud"/>
    <s v="Haridus"/>
    <s v="Tudu Põhikool"/>
    <s v="robootika õppevah"/>
    <n v="160"/>
    <m/>
    <n v="5524"/>
    <s v="Õppevahendid"/>
    <n v="55"/>
    <s v="55"/>
    <s v="Muud tegevuskulud"/>
    <x v="0"/>
    <s v="Põhitegevuse kulu"/>
  </r>
  <r>
    <x v="8"/>
    <x v="66"/>
    <x v="66"/>
    <s v="Põhihariduse otsekulud"/>
    <s v="Haridus"/>
    <s v="Tudu Põhikool"/>
    <s v="muruniiduk"/>
    <n v="250"/>
    <m/>
    <n v="5515"/>
    <s v="Inventari kulud, v.a infotehnoloogia ja kaitseotstarbelised kulud"/>
    <n v="55"/>
    <s v="55"/>
    <s v="Muud tegevuskulud"/>
    <x v="0"/>
    <s v="Põhitegevuse kulu"/>
  </r>
  <r>
    <x v="8"/>
    <x v="66"/>
    <x v="66"/>
    <s v="Põhihariduse otsekulud"/>
    <s v="Haridus"/>
    <s v="Tudu Põhikool"/>
    <s v="köögikombain"/>
    <n v="150"/>
    <m/>
    <n v="5515"/>
    <s v="Inventari kulud, v.a infotehnoloogia ja kaitseotstarbelised kulud"/>
    <n v="55"/>
    <s v="55"/>
    <s v="Muud tegevuskulud"/>
    <x v="0"/>
    <s v="Põhitegevuse kulu"/>
  </r>
  <r>
    <x v="8"/>
    <x v="66"/>
    <x v="66"/>
    <s v="Põhihariduse otsekulud"/>
    <s v="Haridus"/>
    <s v="Tudu Põhikool"/>
    <s v="tolmuimeja"/>
    <n v="100"/>
    <m/>
    <n v="5515"/>
    <s v="Inventari kulud, v.a infotehnoloogia ja kaitseotstarbelised kulud"/>
    <n v="55"/>
    <s v="55"/>
    <s v="Muud tegevuskulud"/>
    <x v="0"/>
    <s v="Põhitegevuse kulu"/>
  </r>
  <r>
    <x v="8"/>
    <x v="66"/>
    <x v="66"/>
    <s v="Põhihariduse otsekulud"/>
    <s v="Haridus"/>
    <s v="Tudu Põhikool"/>
    <s v="kool"/>
    <n v="2275"/>
    <s v="Ped."/>
    <n v="5521"/>
    <s v="Toiduained ja toitlustusteenused"/>
    <n v="55"/>
    <s v="55"/>
    <s v="Muud tegevuskulud"/>
    <x v="0"/>
    <s v="Põhitegevuse kulu"/>
  </r>
  <r>
    <x v="8"/>
    <x v="66"/>
    <x v="66"/>
    <s v="Põhihariduse otsekulud"/>
    <s v="Haridus"/>
    <s v="Tudu Põhikool"/>
    <s v="tervisekontroll"/>
    <n v="50"/>
    <m/>
    <n v="5522"/>
    <s v="Meditsiinikulud ja hügieenitarbed"/>
    <n v="55"/>
    <s v="55"/>
    <s v="Muud tegevuskulud"/>
    <x v="0"/>
    <s v="Põhitegevuse kulu"/>
  </r>
  <r>
    <x v="8"/>
    <x v="66"/>
    <x v="66"/>
    <s v="Põhihariduse otsekulud"/>
    <s v="Haridus"/>
    <s v="Tudu Põhikool"/>
    <s v="esmaabi kapp"/>
    <n v="100"/>
    <m/>
    <n v="5522"/>
    <s v="Meditsiinikulud ja hügieenitarbed"/>
    <n v="55"/>
    <s v="55"/>
    <s v="Muud tegevuskulud"/>
    <x v="0"/>
    <s v="Põhitegevuse kulu"/>
  </r>
  <r>
    <x v="8"/>
    <x v="66"/>
    <x v="66"/>
    <s v="Põhihariduse otsekulud"/>
    <s v="Haridus"/>
    <s v="Tudu Põhikool"/>
    <s v="õpikud sh etunni mälupulgad õpet"/>
    <n v="1200"/>
    <m/>
    <n v="5524"/>
    <s v="Õppevahendid"/>
    <n v="55"/>
    <s v="55"/>
    <s v="Muud tegevuskulud"/>
    <x v="0"/>
    <s v="Põhitegevuse kulu"/>
  </r>
  <r>
    <x v="8"/>
    <x v="66"/>
    <x v="66"/>
    <s v="Põhihariduse otsekulud"/>
    <s v="Haridus"/>
    <s v="Tudu Põhikool"/>
    <s v="töövihikud"/>
    <n v="400"/>
    <m/>
    <n v="5524"/>
    <s v="Õppevahendid"/>
    <n v="55"/>
    <s v="55"/>
    <s v="Muud tegevuskulud"/>
    <x v="0"/>
    <s v="Põhitegevuse kulu"/>
  </r>
  <r>
    <x v="8"/>
    <x v="66"/>
    <x v="66"/>
    <s v="Põhihariduse otsekulud"/>
    <s v="Haridus"/>
    <s v="Tudu Põhikool"/>
    <s v="tehnoloogia, kodund õppev"/>
    <n v="300"/>
    <m/>
    <n v="5524"/>
    <s v="Õppevahendid"/>
    <n v="55"/>
    <s v="55"/>
    <s v="Muud tegevuskulud"/>
    <x v="0"/>
    <s v="Põhitegevuse kulu"/>
  </r>
  <r>
    <x v="8"/>
    <x v="66"/>
    <x v="66"/>
    <s v="Põhihariduse otsekulud"/>
    <s v="Haridus"/>
    <s v="Tudu Põhikool"/>
    <s v="eriped teenus"/>
    <n v="900"/>
    <m/>
    <n v="5524"/>
    <s v="Õppevahendid"/>
    <n v="55"/>
    <s v="55"/>
    <s v="Muud tegevuskulud"/>
    <x v="0"/>
    <s v="Põhitegevuse kulu"/>
  </r>
  <r>
    <x v="8"/>
    <x v="66"/>
    <x v="66"/>
    <s v="Põhihariduse otsekulud"/>
    <s v="Haridus"/>
    <s v="Tudu Põhikool"/>
    <s v="paber, värvid jm"/>
    <n v="100"/>
    <m/>
    <n v="5524"/>
    <s v="Õppevahendid"/>
    <n v="55"/>
    <s v="55"/>
    <s v="Muud tegevuskulud"/>
    <x v="0"/>
    <s v="Põhitegevuse kulu"/>
  </r>
  <r>
    <x v="8"/>
    <x v="66"/>
    <x v="66"/>
    <s v="Põhihariduse otsekulud"/>
    <s v="Haridus"/>
    <s v="Tudu Põhikool"/>
    <s v="vastlapäev"/>
    <n v="10"/>
    <m/>
    <n v="5525"/>
    <s v="Kommunikatsiooni-, kultuuri- ja vaba aja sisustamise kulud"/>
    <n v="55"/>
    <s v="55"/>
    <s v="Muud tegevuskulud"/>
    <x v="0"/>
    <s v="Põhitegevuse kulu"/>
  </r>
  <r>
    <x v="8"/>
    <x v="66"/>
    <x v="66"/>
    <s v="Põhihariduse otsekulud"/>
    <s v="Haridus"/>
    <s v="Tudu Põhikool"/>
    <s v="EV aastpäev"/>
    <n v="20"/>
    <m/>
    <n v="5525"/>
    <s v="Kommunikatsiooni-, kultuuri- ja vaba aja sisustamise kulud"/>
    <n v="55"/>
    <s v="55"/>
    <s v="Muud tegevuskulud"/>
    <x v="0"/>
    <s v="Põhitegevuse kulu"/>
  </r>
  <r>
    <x v="8"/>
    <x v="66"/>
    <x v="66"/>
    <s v="Põhihariduse otsekulud"/>
    <s v="Haridus"/>
    <s v="Tudu Põhikool"/>
    <s v="etenduse dekor"/>
    <n v="40"/>
    <m/>
    <n v="5525"/>
    <s v="Kommunikatsiooni-, kultuuri- ja vaba aja sisustamise kulud"/>
    <n v="55"/>
    <s v="55"/>
    <s v="Muud tegevuskulud"/>
    <x v="0"/>
    <s v="Põhitegevuse kulu"/>
  </r>
  <r>
    <x v="8"/>
    <x v="66"/>
    <x v="66"/>
    <s v="Põhihariduse otsekulud"/>
    <s v="Haridus"/>
    <s v="Tudu Põhikool"/>
    <s v="jõuluvana"/>
    <n v="75"/>
    <m/>
    <n v="5525"/>
    <s v="Kommunikatsiooni-, kultuuri- ja vaba aja sisustamise kulud"/>
    <n v="55"/>
    <s v="55"/>
    <s v="Muud tegevuskulud"/>
    <x v="0"/>
    <s v="Põhitegevuse kulu"/>
  </r>
  <r>
    <x v="8"/>
    <x v="66"/>
    <x v="66"/>
    <s v="Põhihariduse otsekulud"/>
    <s v="Haridus"/>
    <s v="Tudu Põhikool"/>
    <s v="isadepäev, emadepäev"/>
    <n v="50"/>
    <m/>
    <n v="5525"/>
    <s v="Kommunikatsiooni-, kultuuri- ja vaba aja sisustamise kulud"/>
    <n v="55"/>
    <s v="55"/>
    <s v="Muud tegevuskulud"/>
    <x v="0"/>
    <s v="Põhitegevuse kulu"/>
  </r>
  <r>
    <x v="8"/>
    <x v="66"/>
    <x v="66"/>
    <s v="Põhihariduse otsekulud"/>
    <s v="Haridus"/>
    <s v="Tudu Põhikool"/>
    <s v="ekskursioonid, õppepäevad"/>
    <n v="500"/>
    <m/>
    <n v="5525"/>
    <s v="Kommunikatsiooni-, kultuuri- ja vaba aja sisustamise kulud"/>
    <n v="55"/>
    <s v="55"/>
    <s v="Muud tegevuskulud"/>
    <x v="0"/>
    <s v="Põhitegevuse kulu"/>
  </r>
  <r>
    <x v="8"/>
    <x v="66"/>
    <x v="66"/>
    <s v="Põhihariduse otsekulud"/>
    <s v="Haridus"/>
    <s v="Tudu Põhikool"/>
    <s v="õa lõpetamine"/>
    <n v="30"/>
    <m/>
    <n v="5525"/>
    <s v="Kommunikatsiooni-, kultuuri- ja vaba aja sisustamise kulud"/>
    <n v="55"/>
    <s v="55"/>
    <s v="Muud tegevuskulud"/>
    <x v="0"/>
    <s v="Põhitegevuse kulu"/>
  </r>
  <r>
    <x v="8"/>
    <x v="66"/>
    <x v="66"/>
    <s v="Põhihariduse otsekulud"/>
    <s v="Haridus"/>
    <s v="Tudu Põhikool"/>
    <s v="õpetajate päev "/>
    <n v="20"/>
    <m/>
    <n v="5525"/>
    <s v="Kommunikatsiooni-, kultuuri- ja vaba aja sisustamise kulud"/>
    <n v="55"/>
    <s v="55"/>
    <s v="Muud tegevuskulud"/>
    <x v="0"/>
    <s v="Põhitegevuse kulu"/>
  </r>
  <r>
    <x v="8"/>
    <x v="66"/>
    <x v="66"/>
    <s v="Põhihariduse otsekulud"/>
    <s v="Haridus"/>
    <s v="Tudu Põhikool"/>
    <s v="Tudu hariduselu 170 tähist"/>
    <n v="200"/>
    <m/>
    <n v="5525"/>
    <s v="Kommunikatsiooni-, kultuuri- ja vaba aja sisustamise kulud"/>
    <n v="55"/>
    <s v="55"/>
    <s v="Muud tegevuskulud"/>
    <x v="0"/>
    <s v="Põhitegevuse kulu"/>
  </r>
  <r>
    <x v="8"/>
    <x v="66"/>
    <x v="66"/>
    <s v="Põhihariduse otsekulud"/>
    <s v="Haridus"/>
    <s v="Tudu Põhikool"/>
    <s v="küte"/>
    <n v="6500"/>
    <m/>
    <n v="5511"/>
    <s v="Kinnistute, hoonete ja ruumide majandamiskulud"/>
    <n v="55"/>
    <s v="55"/>
    <s v="Muud tegevuskulud"/>
    <x v="0"/>
    <s v="Põhitegevuse kulu"/>
  </r>
  <r>
    <x v="8"/>
    <x v="66"/>
    <x v="66"/>
    <s v="Põhihariduse otsekulud"/>
    <s v="Haridus"/>
    <s v="Tudu Põhikool"/>
    <s v="elekter"/>
    <n v="2700"/>
    <m/>
    <n v="5511"/>
    <s v="Kinnistute, hoonete ja ruumide majandamiskulud"/>
    <n v="55"/>
    <s v="55"/>
    <s v="Muud tegevuskulud"/>
    <x v="0"/>
    <s v="Põhitegevuse kulu"/>
  </r>
  <r>
    <x v="8"/>
    <x v="66"/>
    <x v="66"/>
    <s v="Põhihariduse otsekulud"/>
    <s v="Haridus"/>
    <s v="Tudu Põhikool"/>
    <s v="korrashoiuvahendid"/>
    <n v="300"/>
    <m/>
    <n v="5511"/>
    <s v="Kinnistute, hoonete ja ruumide majandamiskulud"/>
    <n v="55"/>
    <s v="55"/>
    <s v="Muud tegevuskulud"/>
    <x v="0"/>
    <s v="Põhitegevuse kulu"/>
  </r>
  <r>
    <x v="8"/>
    <x v="66"/>
    <x v="66"/>
    <s v="Põhihariduse otsekulud"/>
    <s v="Haridus"/>
    <s v="Tudu Põhikool"/>
    <s v="aknapesuteenus"/>
    <n v="500"/>
    <m/>
    <n v="5511"/>
    <s v="Kinnistute, hoonete ja ruumide majandamiskulud"/>
    <n v="55"/>
    <s v="55"/>
    <s v="Muud tegevuskulud"/>
    <x v="0"/>
    <s v="Põhitegevuse kulu"/>
  </r>
  <r>
    <x v="8"/>
    <x v="66"/>
    <x v="66"/>
    <s v="Põhihariduse otsekulud"/>
    <s v="Haridus"/>
    <s v="Tudu Põhikool"/>
    <s v="prügi"/>
    <n v="400"/>
    <m/>
    <n v="5511"/>
    <s v="Kinnistute, hoonete ja ruumide majandamiskulud"/>
    <n v="55"/>
    <s v="55"/>
    <s v="Muud tegevuskulud"/>
    <x v="0"/>
    <s v="Põhitegevuse kulu"/>
  </r>
  <r>
    <x v="8"/>
    <x v="66"/>
    <x v="66"/>
    <s v="Põhihariduse otsekulud"/>
    <s v="Haridus"/>
    <s v="Tudu Põhikool"/>
    <s v="elektritööd"/>
    <n v="600"/>
    <m/>
    <n v="5511"/>
    <s v="Kinnistute, hoonete ja ruumide majandamiskulud"/>
    <n v="55"/>
    <s v="55"/>
    <s v="Muud tegevuskulud"/>
    <x v="0"/>
    <s v="Põhitegevuse kulu"/>
  </r>
  <r>
    <x v="8"/>
    <x v="66"/>
    <x v="66"/>
    <s v="Põhihariduse otsekulud"/>
    <s v="Haridus"/>
    <s v="Tudu Põhikool"/>
    <s v="korstnapühkimine"/>
    <n v="200"/>
    <m/>
    <n v="5511"/>
    <s v="Kinnistute, hoonete ja ruumide majandamiskulud"/>
    <n v="55"/>
    <s v="55"/>
    <s v="Muud tegevuskulud"/>
    <x v="0"/>
    <s v="Põhitegevuse kulu"/>
  </r>
  <r>
    <x v="8"/>
    <x v="66"/>
    <x v="66"/>
    <s v="Põhihariduse otsekulud"/>
    <s v="Haridus"/>
    <s v="Tudu Põhikool"/>
    <s v="vee analüüsid"/>
    <n v="80"/>
    <m/>
    <n v="5511"/>
    <s v="Kinnistute, hoonete ja ruumide majandamiskulud"/>
    <n v="55"/>
    <s v="55"/>
    <s v="Muud tegevuskulud"/>
    <x v="0"/>
    <s v="Põhitegevuse kulu"/>
  </r>
  <r>
    <x v="8"/>
    <x v="66"/>
    <x v="66"/>
    <s v="Põhihariduse otsekulud"/>
    <s v="Haridus"/>
    <s v="Tudu Põhikool"/>
    <s v="vesi, kanalisatsioon"/>
    <n v="1100"/>
    <m/>
    <n v="5511"/>
    <s v="Kinnistute, hoonete ja ruumide majandamiskulud"/>
    <n v="55"/>
    <s v="55"/>
    <s v="Muud tegevuskulud"/>
    <x v="0"/>
    <s v="Põhitegevuse kulu"/>
  </r>
  <r>
    <x v="8"/>
    <x v="66"/>
    <x v="66"/>
    <s v="Põhihariduse otsekulud"/>
    <s v="Haridus"/>
    <s v="Tudu Põhikool"/>
    <s v="jooksev remont"/>
    <n v="600"/>
    <m/>
    <n v="5511"/>
    <s v="Kinnistute, hoonete ja ruumide majandamiskulud"/>
    <n v="55"/>
    <s v="55"/>
    <s v="Muud tegevuskulud"/>
    <x v="0"/>
    <s v="Põhitegevuse kulu"/>
  </r>
  <r>
    <x v="8"/>
    <x v="66"/>
    <x v="66"/>
    <s v="Põhihariduse otsekulud"/>
    <s v="Haridus"/>
    <s v="Tudu Põhikool"/>
    <s v="riigi sümboolika"/>
    <n v="150"/>
    <m/>
    <n v="5511"/>
    <s v="Kinnistute, hoonete ja ruumide majandamiskulud"/>
    <n v="55"/>
    <s v="55"/>
    <s v="Muud tegevuskulud"/>
    <x v="0"/>
    <s v="Põhitegevuse kulu"/>
  </r>
  <r>
    <x v="8"/>
    <x v="66"/>
    <x v="66"/>
    <s v="Põhihariduse otsekulud"/>
    <s v="Haridus"/>
    <s v="Tudu Põhikool"/>
    <s v="kooliaed(seemned, istikud)"/>
    <n v="150"/>
    <m/>
    <n v="5511"/>
    <s v="Kinnistute, hoonete ja ruumide majandamiskulud"/>
    <n v="55"/>
    <s v="55"/>
    <s v="Muud tegevuskulud"/>
    <x v="0"/>
    <s v="Põhitegevuse kulu"/>
  </r>
  <r>
    <x v="8"/>
    <x v="66"/>
    <x v="66"/>
    <s v="Põhihariduse otsekulud"/>
    <s v="Haridus"/>
    <s v="Tudu Põhikool"/>
    <s v="avariivalgustus"/>
    <n v="200"/>
    <m/>
    <n v="5511"/>
    <s v="Kinnistute, hoonete ja ruumide majandamiskulud"/>
    <n v="55"/>
    <s v="55"/>
    <s v="Muud tegevuskulud"/>
    <x v="0"/>
    <s v="Põhitegevuse kulu"/>
  </r>
  <r>
    <x v="8"/>
    <x v="66"/>
    <x v="66"/>
    <s v="Põhihariduse otsekulud"/>
    <s v="Haridus"/>
    <s v="Tudu Põhikool"/>
    <s v="ATS hooldus"/>
    <n v="500"/>
    <m/>
    <n v="5511"/>
    <s v="Kinnistute, hoonete ja ruumide majandamiskulud"/>
    <n v="55"/>
    <s v="55"/>
    <s v="Muud tegevuskulud"/>
    <x v="0"/>
    <s v="Põhitegevuse kulu"/>
  </r>
  <r>
    <x v="8"/>
    <x v="66"/>
    <x v="66"/>
    <s v="Põhihariduse otsekulud"/>
    <s v="Haridus"/>
    <s v="Tudu Põhikool"/>
    <s v="arvutiprogrammid, hooldused"/>
    <n v="650"/>
    <m/>
    <n v="5514"/>
    <s v="Info- ja kommunikatsioonitehnoliigised kulud"/>
    <n v="55"/>
    <s v="55"/>
    <s v="Muud tegevuskulud"/>
    <x v="0"/>
    <s v="Põhitegevuse kulu"/>
  </r>
  <r>
    <x v="8"/>
    <x v="66"/>
    <x v="66"/>
    <s v="Põhihariduse otsekulud"/>
    <s v="Haridus"/>
    <s v="Tudu Põhikool"/>
    <s v="IT-tarvikud"/>
    <n v="150"/>
    <m/>
    <n v="5514"/>
    <s v="Info- ja kommunikatsioonitehnoliigised kulud"/>
    <n v="55"/>
    <s v="55"/>
    <s v="Muud tegevuskulud"/>
    <x v="0"/>
    <s v="Põhitegevuse kulu"/>
  </r>
  <r>
    <x v="8"/>
    <x v="66"/>
    <x v="66"/>
    <s v="Põhihariduse otsekulud"/>
    <s v="Haridus"/>
    <s v="Tudu Põhikool"/>
    <s v="koopiamasin"/>
    <n v="100"/>
    <m/>
    <n v="5514"/>
    <s v="Info- ja kommunikatsioonitehnoliigised kulud"/>
    <n v="55"/>
    <s v="55"/>
    <s v="Muud tegevuskulud"/>
    <x v="0"/>
    <s v="Põhitegevuse kulu"/>
  </r>
  <r>
    <x v="8"/>
    <x v="66"/>
    <x v="66"/>
    <s v="Põhihariduse otsekulud"/>
    <s v="Haridus"/>
    <s v="Tudu Põhikool"/>
    <s v="Pedagoogilised koolitused"/>
    <n v="200"/>
    <s v="Ped."/>
    <n v="5504"/>
    <s v="Koolituskulud"/>
    <n v="55"/>
    <s v="55"/>
    <s v="Muud tegevuskulud"/>
    <x v="0"/>
    <s v="Põhitegevuse kulu"/>
  </r>
  <r>
    <x v="8"/>
    <x v="66"/>
    <x v="66"/>
    <s v="Põhihariduse otsekulud"/>
    <s v="Haridus"/>
    <s v="Tudu Põhikool"/>
    <s v="Pedagoogilised õppevahendid"/>
    <n v="741"/>
    <s v="Ped."/>
    <n v="5524"/>
    <s v="Õppevahendi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telefonid ja internet "/>
    <n v="5940"/>
    <s v="Telia Ettevõted, internet ja telefonid"/>
    <n v="5500"/>
    <s v="Administreerimis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mobiilside"/>
    <n v="210"/>
    <s v="Telia "/>
    <n v="5500"/>
    <s v="Administreerimis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postikulu"/>
    <n v="250"/>
    <s v="aruanded jne "/>
    <n v="5500"/>
    <s v="Administreerimis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ajalehed ja muu teabekirjandus"/>
    <n v="750"/>
    <s v="päevaleht,õpetajate leht,virumaa teataja"/>
    <n v="5500"/>
    <s v="Administreerimis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raamatukogutarvikud"/>
    <n v="350"/>
    <s v="Deltmar(rmtk programm), raamatukile"/>
    <n v="5500"/>
    <s v="Administreerimis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veebimajutus"/>
    <n v="1320"/>
    <s v="andmesidevõrk 110 x 12"/>
    <n v="5500"/>
    <s v="Administreerimis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kuulutused"/>
    <n v="550"/>
    <s v="kaastunne, tööpakkumine"/>
    <n v="5500"/>
    <s v="Administreerimis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kantseleikaup"/>
    <n v="4000"/>
    <s v="paljundused, paber, pliiats jne"/>
    <n v="5500"/>
    <s v="Administreerimis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eKool"/>
    <n v="960"/>
    <s v="eKool 80 x 12"/>
    <n v="5500"/>
    <s v="Administreerimis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televisioon"/>
    <n v="150"/>
    <s v="kaabel TV, Telia"/>
    <n v="5500"/>
    <s v="Administreerimis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koolituste plaan"/>
    <n v="800"/>
    <s v="lisatud eraldi dokumendina"/>
    <n v="5504"/>
    <s v="Koolitus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Kütus ja isikliku sõiduauto komp."/>
    <n v="7000"/>
    <s v="Kallaste 135,Albert 185,buss 200 x 12 kuud"/>
    <n v="5513"/>
    <s v="Sõidukite ülalpidamise 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remont+liising"/>
    <n v="11000"/>
    <s v="Kallaste 249,Albert 220,buss 420x12 kuud "/>
    <n v="5513"/>
    <s v="Sõidukite ülalpidamise 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kindlustus"/>
    <n v="1750"/>
    <s v="liiklus+kasko 3 autot"/>
    <n v="5513"/>
    <s v="Sõidukite ülalpidamise 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autohüvitus(toiger,reimets)"/>
    <n v="1900"/>
    <s v="(40+150)x10kuud"/>
    <n v="5513"/>
    <s v="Sõidukite ülalpidamise 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tehn.hoole"/>
    <n v="850"/>
    <s v="3 autot"/>
    <n v="5513"/>
    <s v="Sõidukite ülalpidamise 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remonditööd ja hooldus"/>
    <n v="5000"/>
    <m/>
    <n v="5515"/>
    <s v="Inventari kulud, v.a infotehnoloogia ja kaitseotstarbelised 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esmaabi vahendid,korral.med"/>
    <n v="1500"/>
    <s v="med.tõend, vaktsineerimised,esmaabi vahendid"/>
    <n v="5522"/>
    <s v="Meditsiinikulud ja hügieenitarbe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õpik,töövihik,mänguasjad jm"/>
    <n v="35000"/>
    <m/>
    <n v="5524"/>
    <s v="Õppevahendi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paljunduspaber"/>
    <n v="1700"/>
    <m/>
    <n v="5524"/>
    <s v="Õppevahendi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õppetransport"/>
    <n v="20000"/>
    <m/>
    <n v="5524"/>
    <s v="Õppevahendi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mälumängud,spordivõistlused jm"/>
    <n v="13000"/>
    <m/>
    <n v="5525"/>
    <s v="Kommunikatsiooni-, kultuuri- ja vaba aja sisustamise 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meened"/>
    <n v="3500"/>
    <m/>
    <n v="5525"/>
    <s v="Kommunikatsiooni-, kultuuri- ja vaba aja sisustamise 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küte"/>
    <n v="115000"/>
    <s v="1200 MWH x ???"/>
    <n v="5511"/>
    <s v="Kinnistute, hoonete ja ruumide majandamis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elekter"/>
    <n v="37894"/>
    <s v="24000 Kwa x"/>
    <n v="5511"/>
    <s v="Kinnistute, hoonete ja ruumide majandamis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vesi- ja kanalisatsioon"/>
    <n v="11000"/>
    <s v="aasta tarbimine 2800m3 x ???"/>
    <n v="5511"/>
    <s v="Kinnistute, hoonete ja ruumide majandamis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korrashoiuvahendid"/>
    <n v="10000"/>
    <s v="puh.vahendid, paber jne"/>
    <n v="5511"/>
    <s v="Kinnistute, hoonete ja ruumide majandamis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prügivedu"/>
    <n v="850"/>
    <m/>
    <n v="5511"/>
    <s v="Kinnistute, hoonete ja ruumide majandamis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Lindström vaipade pesu"/>
    <n v="986"/>
    <m/>
    <n v="5511"/>
    <s v="Kinnistute, hoonete ja ruumide majandamis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ATS hooldus"/>
    <n v="1420"/>
    <s v="KEK Elekter"/>
    <n v="5511"/>
    <s v="Kinnistute, hoonete ja ruumide majandamis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KH ENERGIA KONSULT"/>
    <n v="922"/>
    <m/>
    <n v="5511"/>
    <s v="Kinnistute, hoonete ja ruumide majandamis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G4S AS"/>
    <n v="940"/>
    <m/>
    <n v="5511"/>
    <s v="Kinnistute, hoonete ja ruumide majandamis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USS Securiry"/>
    <n v="385"/>
    <m/>
    <n v="5511"/>
    <s v="Kinnistute, hoonete ja ruumide majandamis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Rentokil-kahjuritõrjeteenus"/>
    <n v="260"/>
    <m/>
    <n v="5511"/>
    <s v="Kinnistute, hoonete ja ruumide majandamis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ventilatsiooni hooldus"/>
    <n v="2500"/>
    <s v="hooldus+filtrid"/>
    <n v="5511"/>
    <s v="Kinnistute, hoonete ja ruumide majandamis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remont"/>
    <n v="10000"/>
    <s v="pisiremont(san.remont)"/>
    <n v="5511"/>
    <s v="Kinnistute, hoonete ja ruumide majandamis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arvutite värskendus(mälu,kõvaketad"/>
    <n v="2000"/>
    <m/>
    <n v="5514"/>
    <s v="Info- ja kommunikatsioonitehnoliigised 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tarkvara litsensid"/>
    <n v="2500"/>
    <m/>
    <n v="5514"/>
    <s v="Info- ja kommunikatsioonitehnoliigised 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Toiduained"/>
    <n v="70525"/>
    <s v="Ped."/>
    <n v="5521"/>
    <s v="Toiduained ja toitlustusteenuse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Spordiinventaar"/>
    <n v="10000"/>
    <s v="Matid on vanad ja vajavad vahetamist ning uuendamist,"/>
    <n v="5515"/>
    <s v="Inventari kulud, v.a infotehnoloogia ja kaitseotstarbelised 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Projektorid"/>
    <n v="2500"/>
    <s v="5 projektorit vajavad vahetamist"/>
    <n v="5515"/>
    <s v="Inventari kulud, v.a infotehnoloogia ja kaitseotstarbelised 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Võrguseadmed"/>
    <n v="1000"/>
    <s v="Sisevõrgu korrastamine ja uuendamine"/>
    <n v="5514"/>
    <s v="Info- ja kommunikatsioonitehnoliigised 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Klassimööbel"/>
    <n v="8500"/>
    <s v="Õppevahendite hoiustamise kapid (6 klassi)"/>
    <n v="5515"/>
    <s v="Inventari kulud, v.a infotehnoloogia ja kaitseotstarbelised 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Arvutipargi uuendus"/>
    <n v="2500"/>
    <s v="Vananevad arvutid vajavad uuendust ja vahetamist "/>
    <n v="5514"/>
    <s v="Info- ja kommunikatsioonitehnoliigised 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Valveseadmed"/>
    <n v="1000"/>
    <s v="Valveseadmete korrastamine ja uuendamine"/>
    <n v="5511"/>
    <s v="Kinnistute, hoonete ja ruumide majandamis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Infotabloo"/>
    <n v="8000"/>
    <s v="Info edastamine õpilastele, õpetajatele ja vanematele"/>
    <n v="5515"/>
    <s v="Inventari kulud, v.a infotehnoloogia ja kaitseotstarbelised 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Pedagoogilised koolitused"/>
    <n v="7036"/>
    <s v="Ped."/>
    <n v="5504"/>
    <s v="Koolituskulud"/>
    <n v="55"/>
    <s v="55"/>
    <s v="Muud tegevuskulud"/>
    <x v="0"/>
    <s v="Põhitegevuse kulu"/>
  </r>
  <r>
    <x v="8"/>
    <x v="67"/>
    <x v="67"/>
    <s v="Põhihariduse otsekulud"/>
    <s v="Haridus"/>
    <s v="Vinni-Pajusti Gümnaasium"/>
    <s v="Pedagoogilised õppevahendid"/>
    <n v="22971"/>
    <s v="Ped."/>
    <n v="5524"/>
    <s v="Õppevahendid"/>
    <n v="55"/>
    <s v="55"/>
    <s v="Muud tegevuskulud"/>
    <x v="0"/>
    <s v="Põhitegevuse kulu"/>
  </r>
  <r>
    <x v="8"/>
    <x v="68"/>
    <x v="62"/>
    <s v="Põhihariduse otsekulud"/>
    <s v="Haridus"/>
    <s v="Haridusnõunik"/>
    <s v="Kohatasud "/>
    <n v="87579"/>
    <s v="põhikool"/>
    <n v="5524"/>
    <s v="Õppevahendid"/>
    <n v="55"/>
    <s v="55"/>
    <s v="Muud tegevuskulud"/>
    <x v="0"/>
    <s v="Põhitegevuse kulu"/>
  </r>
  <r>
    <x v="8"/>
    <x v="69"/>
    <x v="68"/>
    <s v="Põhihariduse otsekulud"/>
    <s v="Haridus"/>
    <s v="Põlula kool"/>
    <s v="kontoritarbed"/>
    <n v="500"/>
    <m/>
    <n v="5500"/>
    <s v="Administreerimiskulud"/>
    <n v="55"/>
    <s v="55"/>
    <s v="Muud tegevuskulud"/>
    <x v="0"/>
    <s v="Põhitegevuse kulu"/>
  </r>
  <r>
    <x v="8"/>
    <x v="69"/>
    <x v="68"/>
    <s v="Põhihariduse otsekulud"/>
    <s v="Haridus"/>
    <s v="Põlula kool"/>
    <s v="koolitused"/>
    <n v="1300"/>
    <m/>
    <n v="5504"/>
    <s v="Koolituskulud"/>
    <n v="55"/>
    <s v="55"/>
    <s v="Muud tegevuskulud"/>
    <x v="0"/>
    <s v="Põhitegevuse kulu"/>
  </r>
  <r>
    <x v="8"/>
    <x v="69"/>
    <x v="68"/>
    <s v="Põhihariduse otsekulud"/>
    <s v="Haridus"/>
    <s v="Põlula kool"/>
    <s v="Pedagoogilised koolitused"/>
    <n v="200"/>
    <s v="Ped."/>
    <n v="5504"/>
    <s v="Koolituskulud"/>
    <n v="55"/>
    <s v="55"/>
    <s v="Muud tegevuskulud"/>
    <x v="0"/>
    <s v="Põhitegevuse kulu"/>
  </r>
  <r>
    <x v="8"/>
    <x v="69"/>
    <x v="68"/>
    <s v="Põhihariduse otsekulud"/>
    <s v="Haridus"/>
    <s v="Põlula kool"/>
    <s v="isikliku auto kasutus"/>
    <n v="2750"/>
    <m/>
    <n v="5513"/>
    <s v="Sõidukite ülalpidamise kulud"/>
    <n v="55"/>
    <s v="55"/>
    <s v="Muud tegevuskulud"/>
    <x v="0"/>
    <s v="Põhitegevuse kulu"/>
  </r>
  <r>
    <x v="8"/>
    <x v="69"/>
    <x v="68"/>
    <s v="Põhihariduse otsekulud"/>
    <s v="Haridus"/>
    <s v="Põlula kool"/>
    <s v="autopargi hooldus"/>
    <n v="100"/>
    <m/>
    <n v="5513"/>
    <s v="Sõidukite ülalpidamise kulud"/>
    <n v="55"/>
    <s v="55"/>
    <s v="Muud tegevuskulud"/>
    <x v="0"/>
    <s v="Põhitegevuse kulu"/>
  </r>
  <r>
    <x v="8"/>
    <x v="69"/>
    <x v="68"/>
    <s v="Põhihariduse otsekulud"/>
    <s v="Haridus"/>
    <s v="Põlula kool"/>
    <s v="muud ettenägematud kulud 200 eurot"/>
    <n v="200"/>
    <m/>
    <n v="5515"/>
    <s v="Inventari kulud, v.a infotehnoloogia ja kaitseotstarbelised kulud"/>
    <n v="55"/>
    <s v="55"/>
    <s v="Muud tegevuskulud"/>
    <x v="0"/>
    <s v="Põhitegevuse kulu"/>
  </r>
  <r>
    <x v="8"/>
    <x v="69"/>
    <x v="68"/>
    <s v="Põhihariduse otsekulud"/>
    <s v="Haridus"/>
    <s v="Põlula kool"/>
    <s v="nõudepesumasina hooldus 200 eurot"/>
    <n v="200"/>
    <m/>
    <n v="5515"/>
    <s v="Inventari kulud, v.a infotehnoloogia ja kaitseotstarbelised kulud"/>
    <n v="55"/>
    <s v="55"/>
    <s v="Muud tegevuskulud"/>
    <x v="0"/>
    <s v="Põhitegevuse kulu"/>
  </r>
  <r>
    <x v="8"/>
    <x v="69"/>
    <x v="68"/>
    <s v="Põhihariduse otsekulud"/>
    <s v="Haridus"/>
    <s v="Põlula kool"/>
    <s v="aiakäru soetus tk.1 100 eurot"/>
    <n v="100"/>
    <m/>
    <n v="5515"/>
    <s v="Inventari kulud, v.a infotehnoloogia ja kaitseotstarbelised kulud"/>
    <n v="55"/>
    <s v="55"/>
    <s v="Muud tegevuskulud"/>
    <x v="0"/>
    <s v="Põhitegevuse kulu"/>
  </r>
  <r>
    <x v="8"/>
    <x v="69"/>
    <x v="68"/>
    <s v="Põhihariduse otsekulud"/>
    <s v="Haridus"/>
    <s v="Põlula kool"/>
    <s v="murutrimmeri remont 100 eurot"/>
    <n v="100"/>
    <m/>
    <n v="5515"/>
    <s v="Inventari kulud, v.a infotehnoloogia ja kaitseotstarbelised kulud"/>
    <n v="55"/>
    <s v="55"/>
    <s v="Muud tegevuskulud"/>
    <x v="0"/>
    <s v="Põhitegevuse kulu"/>
  </r>
  <r>
    <x v="8"/>
    <x v="69"/>
    <x v="68"/>
    <s v="Põhihariduse otsekulud"/>
    <s v="Haridus"/>
    <s v="Põlula kool"/>
    <s v="Toiduained"/>
    <n v="3075"/>
    <m/>
    <n v="5521"/>
    <s v="Toiduained ja toitlustusteenused"/>
    <n v="55"/>
    <s v="55"/>
    <s v="Muud tegevuskulud"/>
    <x v="0"/>
    <s v="Põhitegevuse kulu"/>
  </r>
  <r>
    <x v="8"/>
    <x v="69"/>
    <x v="68"/>
    <s v="Põhihariduse otsekulud"/>
    <s v="Haridus"/>
    <s v="Põlula kool"/>
    <s v="Toiduained"/>
    <n v="1925"/>
    <s v="Ped."/>
    <n v="5521"/>
    <s v="Toiduained ja toitlustusteenused"/>
    <n v="55"/>
    <s v="55"/>
    <s v="Muud tegevuskulud"/>
    <x v="0"/>
    <s v="Põhitegevuse kulu"/>
  </r>
  <r>
    <x v="8"/>
    <x v="69"/>
    <x v="68"/>
    <s v="Põhihariduse otsekulud"/>
    <s v="Haridus"/>
    <s v="Põlula kool"/>
    <s v="esmaabivahendid 100 eurot"/>
    <n v="100"/>
    <m/>
    <n v="5522"/>
    <s v="Meditsiinikulud ja hügieenitarbed"/>
    <n v="55"/>
    <s v="55"/>
    <s v="Muud tegevuskulud"/>
    <x v="0"/>
    <s v="Põhitegevuse kulu"/>
  </r>
  <r>
    <x v="8"/>
    <x v="69"/>
    <x v="68"/>
    <s v="Põhihariduse otsekulud"/>
    <s v="Haridus"/>
    <s v="Põlula kool"/>
    <s v="muud õppevahendid 300 eurot"/>
    <n v="300"/>
    <m/>
    <n v="5524"/>
    <s v="Õppevahendid"/>
    <n v="55"/>
    <s v="55"/>
    <s v="Muud tegevuskulud"/>
    <x v="0"/>
    <s v="Põhitegevuse kulu"/>
  </r>
  <r>
    <x v="8"/>
    <x v="69"/>
    <x v="68"/>
    <s v="Põhihariduse otsekulud"/>
    <s v="Haridus"/>
    <s v="Põlula kool"/>
    <s v="värvitoonerid tk.3 300 eurot"/>
    <n v="300"/>
    <m/>
    <n v="5500"/>
    <s v="Administreerimiskulud"/>
    <n v="55"/>
    <s v="55"/>
    <s v="Muud tegevuskulud"/>
    <x v="0"/>
    <s v="Põhitegevuse kulu"/>
  </r>
  <r>
    <x v="8"/>
    <x v="69"/>
    <x v="68"/>
    <s v="Põhihariduse otsekulud"/>
    <s v="Haridus"/>
    <s v="Põlula kool"/>
    <s v="tavatoonerid tk. 5  400 eurot"/>
    <n v="400"/>
    <m/>
    <n v="5500"/>
    <s v="Administreerimiskulud"/>
    <n v="55"/>
    <s v="55"/>
    <s v="Muud tegevuskulud"/>
    <x v="0"/>
    <s v="Põhitegevuse kulu"/>
  </r>
  <r>
    <x v="8"/>
    <x v="69"/>
    <x v="68"/>
    <s v="Põhihariduse otsekulud"/>
    <s v="Haridus"/>
    <s v="Põlula kool"/>
    <s v="tööõpetuse abivahendid- 500 eurot"/>
    <n v="500"/>
    <m/>
    <n v="5524"/>
    <s v="Õppevahendid"/>
    <n v="55"/>
    <s v="55"/>
    <s v="Muud tegevuskulud"/>
    <x v="0"/>
    <s v="Põhitegevuse kulu"/>
  </r>
  <r>
    <x v="8"/>
    <x v="69"/>
    <x v="68"/>
    <s v="Põhihariduse otsekulud"/>
    <s v="Haridus"/>
    <s v="Põlula kool"/>
    <s v="õpikud, töövihikud  300 eurot"/>
    <n v="300"/>
    <m/>
    <n v="5524"/>
    <s v="Õppevahendid"/>
    <n v="55"/>
    <s v="55"/>
    <s v="Muud tegevuskulud"/>
    <x v="0"/>
    <s v="Põhitegevuse kulu"/>
  </r>
  <r>
    <x v="8"/>
    <x v="69"/>
    <x v="68"/>
    <s v="Põhihariduse otsekulud"/>
    <s v="Haridus"/>
    <s v="Põlula kool"/>
    <s v="koopiapaber 100 eurot, värviline paber 100 eurot, kunstitarbed 600 eurot"/>
    <n v="800"/>
    <m/>
    <n v="5524"/>
    <s v="Õppevahendid"/>
    <n v="55"/>
    <s v="55"/>
    <s v="Muud tegevuskulud"/>
    <x v="0"/>
    <s v="Põhitegevuse kulu"/>
  </r>
  <r>
    <x v="8"/>
    <x v="69"/>
    <x v="68"/>
    <s v="Põhihariduse otsekulud"/>
    <s v="Haridus"/>
    <s v="Põlula kool"/>
    <s v="Ürituste transport"/>
    <n v="1000"/>
    <m/>
    <n v="5525"/>
    <s v="Kommunikatsiooni-, kultuuri- ja vaba aja sisustamise kulud"/>
    <n v="55"/>
    <s v="55"/>
    <s v="Muud tegevuskulud"/>
    <x v="0"/>
    <s v="Põhitegevuse kulu"/>
  </r>
  <r>
    <x v="8"/>
    <x v="69"/>
    <x v="68"/>
    <s v="Põhihariduse otsekulud"/>
    <s v="Haridus"/>
    <s v="Põlula kool"/>
    <s v="hoonete kindlustus"/>
    <n v="600"/>
    <m/>
    <n v="5511"/>
    <s v="Kinnistute, hoonete ja ruumide majandamiskulud"/>
    <n v="55"/>
    <s v="55"/>
    <s v="Muud tegevuskulud"/>
    <x v="0"/>
    <s v="Põhitegevuse kulu"/>
  </r>
  <r>
    <x v="8"/>
    <x v="69"/>
    <x v="68"/>
    <s v="Põhihariduse otsekulud"/>
    <s v="Haridus"/>
    <s v="Põlula kool"/>
    <s v="majanduskaup kooli ja sööklasse"/>
    <n v="3000"/>
    <m/>
    <n v="5511"/>
    <s v="Kinnistute, hoonete ja ruumide majandamiskulud"/>
    <n v="55"/>
    <s v="55"/>
    <s v="Muud tegevuskulud"/>
    <x v="0"/>
    <s v="Põhitegevuse kulu"/>
  </r>
  <r>
    <x v="8"/>
    <x v="69"/>
    <x v="68"/>
    <s v="Põhihariduse otsekulud"/>
    <s v="Haridus"/>
    <s v="Põlula kool"/>
    <s v="elekter"/>
    <n v="17000"/>
    <m/>
    <n v="5511"/>
    <s v="Kinnistute, hoonete ja ruumide majandamiskulud"/>
    <n v="55"/>
    <s v="55"/>
    <s v="Muud tegevuskulud"/>
    <x v="0"/>
    <s v="Põhitegevuse kulu"/>
  </r>
  <r>
    <x v="8"/>
    <x v="69"/>
    <x v="68"/>
    <s v="Põhihariduse otsekulud"/>
    <s v="Haridus"/>
    <s v="Põlula kool"/>
    <s v="valvesignalisatsioon"/>
    <n v="1500"/>
    <m/>
    <n v="5511"/>
    <s v="Kinnistute, hoonete ja ruumide majandamiskulud"/>
    <n v="55"/>
    <s v="55"/>
    <s v="Muud tegevuskulud"/>
    <x v="0"/>
    <s v="Põhitegevuse kulu"/>
  </r>
  <r>
    <x v="8"/>
    <x v="69"/>
    <x v="68"/>
    <s v="Põhihariduse otsekulud"/>
    <s v="Haridus"/>
    <s v="Põlula kool"/>
    <s v="prügi vedu"/>
    <n v="600"/>
    <m/>
    <n v="5511"/>
    <s v="Kinnistute, hoonete ja ruumide majandamiskulud"/>
    <n v="55"/>
    <s v="55"/>
    <s v="Muud tegevuskulud"/>
    <x v="0"/>
    <s v="Põhitegevuse kulu"/>
  </r>
  <r>
    <x v="8"/>
    <x v="69"/>
    <x v="68"/>
    <s v="Põhihariduse otsekulud"/>
    <s v="Haridus"/>
    <s v="Põlula kool"/>
    <s v="laboratoorsed analüüsid"/>
    <n v="500"/>
    <m/>
    <n v="5511"/>
    <s v="Kinnistute, hoonete ja ruumide majandamiskulud"/>
    <n v="55"/>
    <s v="55"/>
    <s v="Muud tegevuskulud"/>
    <x v="0"/>
    <s v="Põhitegevuse kulu"/>
  </r>
  <r>
    <x v="8"/>
    <x v="69"/>
    <x v="68"/>
    <s v="Põhihariduse otsekulud"/>
    <s v="Haridus"/>
    <s v="Põlula kool"/>
    <s v="käiduteenus"/>
    <n v="500"/>
    <m/>
    <n v="5511"/>
    <s v="Kinnistute, hoonete ja ruumide majandamiskulud"/>
    <n v="55"/>
    <s v="55"/>
    <s v="Muud tegevuskulud"/>
    <x v="0"/>
    <s v="Põhitegevuse kulu"/>
  </r>
  <r>
    <x v="8"/>
    <x v="69"/>
    <x v="68"/>
    <s v="Põhihariduse otsekulud"/>
    <s v="Haridus"/>
    <s v="Põlula kool"/>
    <s v="IT alased hooldustööd"/>
    <n v="2500"/>
    <m/>
    <n v="5514"/>
    <s v="Info- ja kommunikatsioonitehnoliigised kulud"/>
    <n v="55"/>
    <s v="55"/>
    <s v="Muud tegevuskulud"/>
    <x v="0"/>
    <s v="Põhitegevuse kulu"/>
  </r>
  <r>
    <x v="8"/>
    <x v="69"/>
    <x v="68"/>
    <s v="Põhihariduse otsekulud"/>
    <s v="Haridus"/>
    <s v="Põlula kool"/>
    <s v="Pedagoogilised õppevahendid"/>
    <n v="627"/>
    <s v="Ped."/>
    <n v="5524"/>
    <s v="Õppevahendid"/>
    <n v="55"/>
    <s v="55"/>
    <s v="Muud tegevuskulud"/>
    <x v="0"/>
    <s v="Põhitegevuse kulu"/>
  </r>
  <r>
    <x v="8"/>
    <x v="70"/>
    <x v="62"/>
    <s v="Üldkeskhariduse otsekulud"/>
    <s v="Haridus"/>
    <s v="Haridusnõunik"/>
    <s v="Kohatasud "/>
    <n v="64104.399999999994"/>
    <s v="gümnaasium"/>
    <n v="5524"/>
    <s v="Õppevahendid"/>
    <n v="55"/>
    <s v="55"/>
    <s v="Muud tegevuskulud"/>
    <x v="0"/>
    <s v="Põhitegevuse kulu"/>
  </r>
  <r>
    <x v="8"/>
    <x v="71"/>
    <x v="69"/>
    <s v="Noorte huviharidus ja huvitegevus"/>
    <s v="Haridus"/>
    <s v="Haridusnõunik"/>
    <s v="huvitegevuse kompensatsioon lastevanematele"/>
    <n v="0"/>
    <m/>
    <n v="5524"/>
    <s v="Õppevahendid"/>
    <n v="55"/>
    <s v="55"/>
    <s v="Muud tegevuskulud"/>
    <x v="0"/>
    <s v="Põhitegevuse kulu"/>
  </r>
  <r>
    <x v="8"/>
    <x v="71"/>
    <x v="69"/>
    <s v="Noorte huviharidus ja huvitegevus"/>
    <s v="Haridus"/>
    <s v="Haridusnõunik"/>
    <s v="arvlemine muusikakoolidega"/>
    <n v="35000"/>
    <m/>
    <n v="5524"/>
    <s v="Õppevahendid"/>
    <n v="55"/>
    <s v="55"/>
    <s v="Muud tegevuskulud"/>
    <x v="0"/>
    <s v="Põhitegevuse kulu"/>
  </r>
  <r>
    <x v="8"/>
    <x v="71"/>
    <x v="69"/>
    <s v="Noorte huviharidus ja huvitegevus"/>
    <s v="Haridus"/>
    <s v="Haridusnõunik"/>
    <s v="huvitegevusinventari soetus, arenguprojektid jms"/>
    <n v="20000"/>
    <m/>
    <n v="5540"/>
    <s v="Mitmesugused majanduskulud"/>
    <n v="55"/>
    <s v="55"/>
    <s v="Muud tegevuskulud"/>
    <x v="0"/>
    <s v="Põhitegevuse kulu"/>
  </r>
  <r>
    <x v="8"/>
    <x v="71"/>
    <x v="69"/>
    <s v="Noorte huviharidus ja huvitegevus"/>
    <s v="Haridus"/>
    <s v="Noorsoo- ja spordinõunik"/>
    <s v="Transport(buss)"/>
    <n v="4020"/>
    <s v="huviharidus-ujumistreeningud Vinni Spordikompleksis 2020. - Tudu, Roela, V-Jaagupi, Pajusti, Vinni lapsed 7-26 a."/>
    <n v="5540"/>
    <s v="Mitmesugused majanduskulud"/>
    <n v="55"/>
    <s v="55"/>
    <s v="Muud tegevuskulud"/>
    <x v="0"/>
    <s v="Põhitegevuse kulu"/>
  </r>
  <r>
    <x v="8"/>
    <x v="71"/>
    <x v="69"/>
    <s v="Noorte huviharidus ja huvitegevus"/>
    <s v="Haridus"/>
    <s v="Noorsoo- ja spordinõunik"/>
    <s v="Ujula kasutus"/>
    <n v="4540"/>
    <s v="huviharidus-ujumistreeningud Vinni Spordikompleksis 2020. - Tudu, Roela, V-Jaagupi, Pajusti, Vinni lapsed 7-26 a."/>
    <n v="5540"/>
    <s v="Mitmesugused majanduskulud"/>
    <n v="55"/>
    <s v="55"/>
    <s v="Muud tegevuskulud"/>
    <x v="0"/>
    <s v="Põhitegevuse kulu"/>
  </r>
  <r>
    <x v="8"/>
    <x v="71"/>
    <x v="69"/>
    <s v="Noorte huviharidus ja huvitegevus"/>
    <s v="Haridus"/>
    <s v="Noorsoo- ja spordinõunik"/>
    <s v="Transport(buss)"/>
    <n v="2450"/>
    <s v="huviharidus-ujumistreeningud Vinni Spordikompleksis 2020. - Laekvere, Muuga lapsed 7-26a."/>
    <n v="5540"/>
    <s v="Mitmesugused majanduskulud"/>
    <n v="55"/>
    <s v="55"/>
    <s v="Muud tegevuskulud"/>
    <x v="0"/>
    <s v="Põhitegevuse kulu"/>
  </r>
  <r>
    <x v="8"/>
    <x v="71"/>
    <x v="69"/>
    <s v="Noorte huviharidus ja huvitegevus"/>
    <s v="Haridus"/>
    <s v="Noorsoo- ja spordinõunik"/>
    <s v="Ujula kasutus"/>
    <n v="2110"/>
    <s v="huviharidus-ujumistreeningud Vinni Spordikompleksis 2020. - Laekvere, Muuga lapsed 7-26a."/>
    <n v="5540"/>
    <s v="Mitmesugused majanduskulud"/>
    <n v="55"/>
    <s v="55"/>
    <s v="Muud tegevuskulud"/>
    <x v="0"/>
    <s v="Põhitegevuse kulu"/>
  </r>
  <r>
    <x v="8"/>
    <x v="72"/>
    <x v="70"/>
    <s v="Koolitransport"/>
    <s v="Haridus"/>
    <s v="Teede- ja ühistranspordinõunik"/>
    <s v="Liising "/>
    <n v="37152"/>
    <s v="12x3096"/>
    <n v="5513"/>
    <s v="Sõidukite ülalpidamise kulud"/>
    <n v="55"/>
    <s v="55"/>
    <s v="Muud tegevuskulud"/>
    <x v="0"/>
    <s v="Põhitegevuse kulu"/>
  </r>
  <r>
    <x v="8"/>
    <x v="72"/>
    <x v="70"/>
    <s v="Koolitransport"/>
    <s v="Haridus"/>
    <s v="Teede- ja ühistranspordinõunik"/>
    <s v="Kasko ja liikluskindlustus"/>
    <n v="3100"/>
    <s v="2600+450 käesoleval aastal"/>
    <n v="5513"/>
    <s v="Sõidukite ülalpidamise kulud"/>
    <n v="55"/>
    <s v="55"/>
    <s v="Muud tegevuskulud"/>
    <x v="0"/>
    <s v="Põhitegevuse kulu"/>
  </r>
  <r>
    <x v="8"/>
    <x v="72"/>
    <x v="70"/>
    <s v="Koolitransport"/>
    <s v="Haridus"/>
    <s v="Teede- ja ühistranspordinõunik"/>
    <s v="Remont ja hooldus"/>
    <n v="3000"/>
    <m/>
    <n v="5513"/>
    <s v="Sõidukite ülalpidamise kulud"/>
    <n v="55"/>
    <s v="55"/>
    <s v="Muud tegevuskulud"/>
    <x v="0"/>
    <s v="Põhitegevuse kulu"/>
  </r>
  <r>
    <x v="8"/>
    <x v="72"/>
    <x v="70"/>
    <s v="Koolitransport"/>
    <s v="Haridus"/>
    <s v="Teede- ja ühistranspordinõunik"/>
    <s v="Navigaatori või tahvelarvuti soetamine"/>
    <n v="300"/>
    <s v="On olnud plaanis, aga pole sellel aastal tehtud"/>
    <n v="5515"/>
    <s v="Inventari kulud, v.a infotehnoloogia ja kaitseotstarbelised kulud"/>
    <n v="55"/>
    <s v="55"/>
    <s v="Muud tegevuskulud"/>
    <x v="0"/>
    <s v="Põhitegevuse kulu"/>
  </r>
  <r>
    <x v="8"/>
    <x v="72"/>
    <x v="70"/>
    <s v="Koolitransport"/>
    <s v="Haridus"/>
    <s v="Teede- ja ühistranspordinõunik"/>
    <s v="Tervise- ja spordiarendamise hüvitis"/>
    <n v="400"/>
    <m/>
    <n v="5540"/>
    <s v="Mitmesugused majanduskulud"/>
    <n v="55"/>
    <s v="55"/>
    <s v="Muud tegevuskulud"/>
    <x v="0"/>
    <s v="Põhitegevuse kulu"/>
  </r>
  <r>
    <x v="8"/>
    <x v="72"/>
    <x v="70"/>
    <s v="Koolitransport"/>
    <s v="Haridus"/>
    <s v="Teede- ja ühistranspordinõunik"/>
    <s v="Sideteenused"/>
    <n v="120"/>
    <s v="bussijuhi mobiil"/>
    <n v="5500"/>
    <s v="Administreerimiskulud"/>
    <n v="55"/>
    <s v="55"/>
    <s v="Muud tegevuskulud"/>
    <x v="0"/>
    <s v="Põhitegevuse kulu"/>
  </r>
  <r>
    <x v="8"/>
    <x v="72"/>
    <x v="70"/>
    <s v="Koolitransport"/>
    <s v="Haridus"/>
    <s v="Teede- ja ühistranspordinõunik"/>
    <s v="Õpilastranspot Põlula ja VPG (RTX Lines OÜ leping)"/>
    <n v="25000"/>
    <m/>
    <n v="4134"/>
    <s v="Õppetoetused"/>
    <n v="413"/>
    <s v="41"/>
    <s v="Antavad toetused tegevuskuludeks"/>
    <x v="4"/>
    <s v="Põhitegevuse kulu"/>
  </r>
  <r>
    <x v="8"/>
    <x v="72"/>
    <x v="70"/>
    <s v="Koolitransport"/>
    <s v="Haridus"/>
    <s v="Teede- ja ühistranspordinõunik"/>
    <s v="Õpilastranspot Põlula ja VPG (TA Bussid leping)"/>
    <n v="56000"/>
    <m/>
    <n v="4134"/>
    <s v="Õppetoetused"/>
    <n v="413"/>
    <s v="41"/>
    <s v="Antavad toetused tegevuskuludeks"/>
    <x v="4"/>
    <s v="Põhitegevuse kulu"/>
  </r>
  <r>
    <x v="8"/>
    <x v="72"/>
    <x v="70"/>
    <s v="Koolitransport"/>
    <s v="Haridus"/>
    <s v="Teede- ja ühistranspordinõunik"/>
    <s v="Õpilastransport Muuga ja Laekvere (MK Reis leping)"/>
    <n v="42000"/>
    <m/>
    <n v="4134"/>
    <s v="Õppetoetused"/>
    <n v="413"/>
    <s v="41"/>
    <s v="Antavad toetused tegevuskuludeks"/>
    <x v="4"/>
    <s v="Põhitegevuse kulu"/>
  </r>
  <r>
    <x v="8"/>
    <x v="72"/>
    <x v="70"/>
    <s v="Koolitransport"/>
    <s v="Haridus"/>
    <s v="Teede- ja ühistranspordinõunik"/>
    <s v="Kütus"/>
    <n v="27000"/>
    <s v="50000km*36l/100le*1,3eur/l"/>
    <n v="5513"/>
    <s v="Sõidukite ülalpidamise kulud"/>
    <n v="55"/>
    <s v="55"/>
    <s v="Muud tegevuskulud"/>
    <x v="0"/>
    <s v="Põhitegevuse kulu"/>
  </r>
  <r>
    <x v="8"/>
    <x v="73"/>
    <x v="71"/>
    <s v="Öömaja"/>
    <s v="Haridus"/>
    <s v="Roela Õpilaskodu"/>
    <s v="telefon, internet"/>
    <n v="576"/>
    <s v="internet 46 x 12 = 552"/>
    <n v="5500"/>
    <s v="Administreerimiskulud"/>
    <n v="55"/>
    <s v="55"/>
    <s v="Muud tegevuskulud"/>
    <x v="0"/>
    <s v="Põhitegevuse kulu"/>
  </r>
  <r>
    <x v="8"/>
    <x v="73"/>
    <x v="71"/>
    <s v="Öömaja"/>
    <s v="Haridus"/>
    <s v="Roela Õpilaskodu"/>
    <s v="mobiili kuulimiit 20 eurot"/>
    <n v="60"/>
    <s v="20 x 12"/>
    <n v="5500"/>
    <s v="Administreerimiskulud"/>
    <n v="55"/>
    <s v="55"/>
    <s v="Muud tegevuskulud"/>
    <x v="0"/>
    <s v="Põhitegevuse kulu"/>
  </r>
  <r>
    <x v="8"/>
    <x v="73"/>
    <x v="71"/>
    <s v="Öömaja"/>
    <s v="Haridus"/>
    <s v="Roela Õpilaskodu"/>
    <s v="printeri tahm"/>
    <n v="50"/>
    <m/>
    <n v="5500"/>
    <s v="Administreerimiskulud"/>
    <n v="55"/>
    <s v="55"/>
    <s v="Muud tegevuskulud"/>
    <x v="0"/>
    <s v="Põhitegevuse kulu"/>
  </r>
  <r>
    <x v="8"/>
    <x v="73"/>
    <x v="71"/>
    <s v="Öömaja"/>
    <s v="Haridus"/>
    <s v="Roela Õpilaskodu"/>
    <s v="kalendrid, paber jne"/>
    <n v="50"/>
    <m/>
    <n v="5500"/>
    <s v="Administreerimiskulud"/>
    <n v="55"/>
    <s v="55"/>
    <s v="Muud tegevuskulud"/>
    <x v="0"/>
    <s v="Põhitegevuse kulu"/>
  </r>
  <r>
    <x v="8"/>
    <x v="73"/>
    <x v="71"/>
    <s v="Öömaja"/>
    <s v="Haridus"/>
    <s v="Roela Õpilaskodu"/>
    <s v="seadmete remont"/>
    <n v="200"/>
    <s v="pesukuivati, pesumasin"/>
    <n v="5515"/>
    <s v="Inventari kulud, v.a infotehnoloogia ja kaitseotstarbelised kulud"/>
    <n v="55"/>
    <s v="55"/>
    <s v="Muud tegevuskulud"/>
    <x v="0"/>
    <s v="Põhitegevuse kulu"/>
  </r>
  <r>
    <x v="8"/>
    <x v="73"/>
    <x v="71"/>
    <s v="Öömaja"/>
    <s v="Haridus"/>
    <s v="Roela Õpilaskodu"/>
    <s v="isikliku sõiduauto kasutus"/>
    <n v="352"/>
    <s v="32 x 11 (Tiina Alavere)"/>
    <n v="5513"/>
    <s v="Sõidukite ülalpidamise kulud"/>
    <n v="55"/>
    <s v="55"/>
    <s v="Muud tegevuskulud"/>
    <x v="0"/>
    <s v="Põhitegevuse kulu"/>
  </r>
  <r>
    <x v="8"/>
    <x v="73"/>
    <x v="71"/>
    <s v="Öömaja"/>
    <s v="Haridus"/>
    <s v="Roela Õpilaskodu"/>
    <s v="voodikast 9 tk"/>
    <n v="500"/>
    <m/>
    <n v="5515"/>
    <s v="Inventari kulud, v.a infotehnoloogia ja kaitseotstarbelised kulud"/>
    <n v="55"/>
    <s v="55"/>
    <s v="Muud tegevuskulud"/>
    <x v="0"/>
    <s v="Põhitegevuse kulu"/>
  </r>
  <r>
    <x v="8"/>
    <x v="73"/>
    <x v="71"/>
    <s v="Öömaja"/>
    <s v="Haridus"/>
    <s v="Roela Õpilaskodu"/>
    <s v="köögitaburet 12 tk"/>
    <n v="250"/>
    <m/>
    <n v="5515"/>
    <s v="Inventari kulud, v.a infotehnoloogia ja kaitseotstarbelised kulud"/>
    <n v="55"/>
    <s v="55"/>
    <s v="Muud tegevuskulud"/>
    <x v="0"/>
    <s v="Põhitegevuse kulu"/>
  </r>
  <r>
    <x v="8"/>
    <x v="73"/>
    <x v="71"/>
    <s v="Öömaja"/>
    <s v="Haridus"/>
    <s v="Roela Õpilaskodu"/>
    <s v="televiisor 1 tk"/>
    <n v="600"/>
    <m/>
    <n v="5515"/>
    <s v="Inventari kulud, v.a infotehnoloogia ja kaitseotstarbelised kulud"/>
    <n v="55"/>
    <s v="55"/>
    <s v="Muud tegevuskulud"/>
    <x v="0"/>
    <s v="Põhitegevuse kulu"/>
  </r>
  <r>
    <x v="8"/>
    <x v="73"/>
    <x v="71"/>
    <s v="Öömaja"/>
    <s v="Haridus"/>
    <s v="Roela Õpilaskodu"/>
    <s v="toiduained"/>
    <n v="3600"/>
    <m/>
    <n v="5521"/>
    <s v="Toiduained ja toitlustusteenused"/>
    <n v="55"/>
    <s v="55"/>
    <s v="Muud tegevuskulud"/>
    <x v="0"/>
    <s v="Põhitegevuse kulu"/>
  </r>
  <r>
    <x v="8"/>
    <x v="73"/>
    <x v="71"/>
    <s v="Öömaja"/>
    <s v="Haridus"/>
    <s v="Roela Õpilaskodu"/>
    <s v="ravimid"/>
    <n v="150"/>
    <m/>
    <n v="5522"/>
    <s v="Meditsiinikulud ja hügieenitarbed"/>
    <n v="55"/>
    <s v="55"/>
    <s v="Muud tegevuskulud"/>
    <x v="0"/>
    <s v="Põhitegevuse kulu"/>
  </r>
  <r>
    <x v="8"/>
    <x v="73"/>
    <x v="71"/>
    <s v="Öömaja"/>
    <s v="Haridus"/>
    <s v="Roela Õpilaskodu"/>
    <s v="vihikud, pliiatsid, värvid jne"/>
    <n v="150"/>
    <m/>
    <n v="5524"/>
    <s v="Õppevahendid"/>
    <n v="55"/>
    <s v="55"/>
    <s v="Muud tegevuskulud"/>
    <x v="0"/>
    <s v="Põhitegevuse kulu"/>
  </r>
  <r>
    <x v="8"/>
    <x v="73"/>
    <x v="71"/>
    <s v="Öömaja"/>
    <s v="Haridus"/>
    <s v="Roela Õpilaskodu"/>
    <s v="mängud"/>
    <n v="150"/>
    <m/>
    <n v="5524"/>
    <s v="Õppevahendid"/>
    <n v="55"/>
    <s v="55"/>
    <s v="Muud tegevuskulud"/>
    <x v="0"/>
    <s v="Põhitegevuse kulu"/>
  </r>
  <r>
    <x v="8"/>
    <x v="73"/>
    <x v="71"/>
    <s v="Öömaja"/>
    <s v="Haridus"/>
    <s v="Roela Õpilaskodu"/>
    <s v="väljasõidud"/>
    <n v="200"/>
    <m/>
    <n v="5525"/>
    <s v="Kommunikatsiooni-, kultuuri- ja vaba aja sisustamise kulud"/>
    <n v="55"/>
    <s v="55"/>
    <s v="Muud tegevuskulud"/>
    <x v="0"/>
    <s v="Põhitegevuse kulu"/>
  </r>
  <r>
    <x v="8"/>
    <x v="73"/>
    <x v="71"/>
    <s v="Öömaja"/>
    <s v="Haridus"/>
    <s v="Roela Õpilaskodu"/>
    <s v="üritused"/>
    <n v="200"/>
    <m/>
    <n v="5525"/>
    <s v="Kommunikatsiooni-, kultuuri- ja vaba aja sisustamise kulud"/>
    <n v="55"/>
    <s v="55"/>
    <s v="Muud tegevuskulud"/>
    <x v="0"/>
    <s v="Põhitegevuse kulu"/>
  </r>
  <r>
    <x v="8"/>
    <x v="73"/>
    <x v="71"/>
    <s v="Öömaja"/>
    <s v="Haridus"/>
    <s v="Roela Õpilaskodu"/>
    <s v="küte"/>
    <n v="2300"/>
    <m/>
    <n v="5511"/>
    <s v="Kinnistute, hoonete ja ruumide majandamiskulud"/>
    <n v="55"/>
    <s v="55"/>
    <s v="Muud tegevuskulud"/>
    <x v="0"/>
    <s v="Põhitegevuse kulu"/>
  </r>
  <r>
    <x v="8"/>
    <x v="73"/>
    <x v="71"/>
    <s v="Öömaja"/>
    <s v="Haridus"/>
    <s v="Roela Õpilaskodu"/>
    <s v="elekter"/>
    <n v="1000"/>
    <m/>
    <n v="5511"/>
    <s v="Kinnistute, hoonete ja ruumide majandamiskulud"/>
    <n v="55"/>
    <s v="55"/>
    <s v="Muud tegevuskulud"/>
    <x v="0"/>
    <s v="Põhitegevuse kulu"/>
  </r>
  <r>
    <x v="8"/>
    <x v="73"/>
    <x v="71"/>
    <s v="Öömaja"/>
    <s v="Haridus"/>
    <s v="Roela Õpilaskodu"/>
    <s v="vesi- ja kanalisatsioon"/>
    <n v="400"/>
    <m/>
    <n v="5511"/>
    <s v="Kinnistute, hoonete ja ruumide majandamiskulud"/>
    <n v="55"/>
    <s v="55"/>
    <s v="Muud tegevuskulud"/>
    <x v="0"/>
    <s v="Põhitegevuse kulu"/>
  </r>
  <r>
    <x v="8"/>
    <x v="73"/>
    <x v="71"/>
    <s v="Öömaja"/>
    <s v="Haridus"/>
    <s v="Roela Õpilaskodu"/>
    <s v="prügi"/>
    <n v="216"/>
    <m/>
    <n v="5511"/>
    <s v="Kinnistute, hoonete ja ruumide majandamiskulud"/>
    <n v="55"/>
    <s v="55"/>
    <s v="Muud tegevuskulud"/>
    <x v="0"/>
    <s v="Põhitegevuse kulu"/>
  </r>
  <r>
    <x v="8"/>
    <x v="73"/>
    <x v="71"/>
    <s v="Öömaja"/>
    <s v="Haridus"/>
    <s v="Roela Õpilaskodu"/>
    <s v="korrashoiuvahendid"/>
    <n v="400"/>
    <m/>
    <n v="5511"/>
    <s v="Kinnistute, hoonete ja ruumide majandamiskulud"/>
    <n v="55"/>
    <s v="55"/>
    <s v="Muud tegevuskulud"/>
    <x v="0"/>
    <s v="Põhitegevuse kulu"/>
  </r>
  <r>
    <x v="8"/>
    <x v="74"/>
    <x v="26"/>
    <s v="Muu haridus, sh hariduse haldus"/>
    <s v="Vabaaeg, kultuur ja religioon"/>
    <s v="Haridusnõunik"/>
    <s v="Valla hariduskapitali taastamine"/>
    <n v="1100"/>
    <s v="(1*350.- + 3*125.-- 5*75.- )"/>
    <n v="5525"/>
    <s v="Kommunikatsiooni-, kultuuri- ja vaba aja sisustamise kulud"/>
    <n v="55"/>
    <s v="55"/>
    <s v="Muud tegevuskulud"/>
    <x v="0"/>
    <s v="Põhitegevuse kulu"/>
  </r>
  <r>
    <x v="8"/>
    <x v="74"/>
    <x v="26"/>
    <s v="Muu haridus, sh hariduse haldus"/>
    <s v="Vabaaeg, kultuur ja religioon"/>
    <s v="Haridusnõunik"/>
    <s v="Õpilaste ja õpetajate vastuvõtt"/>
    <n v="5000"/>
    <s v="150 inimest: tänukirjad, meened, fotod, lilled, esinejad, suupisted"/>
    <n v="5525"/>
    <s v="Kommunikatsiooni-, kultuuri- ja vaba aja sisustamise kulud"/>
    <n v="55"/>
    <s v="55"/>
    <s v="Muud tegevuskulud"/>
    <x v="0"/>
    <s v="Põhitegevuse kulu"/>
  </r>
  <r>
    <x v="8"/>
    <x v="74"/>
    <x v="26"/>
    <s v="Muu haridus, sh hariduse haldus"/>
    <s v="Vabaaeg, kultuur ja religioon"/>
    <s v="Haridusnõunik"/>
    <s v="Õppeaasta lõpetamine"/>
    <n v="3500"/>
    <s v="Lilled , meened( 75 LA+31 PK +14 G+õpetajad)"/>
    <n v="5525"/>
    <s v="Kommunikatsiooni-, kultuuri- ja vaba aja sisustamise kulud"/>
    <n v="55"/>
    <s v="55"/>
    <s v="Muud tegevuskulud"/>
    <x v="0"/>
    <s v="Põhitegevuse kulu"/>
  </r>
  <r>
    <x v="8"/>
    <x v="74"/>
    <x v="26"/>
    <s v="Muu haridus, sh hariduse haldus"/>
    <s v="Vabaaeg, kultuur ja religioon"/>
    <s v="Haridusnõunik"/>
    <s v="Õppeaasta alustamine"/>
    <n v="1000"/>
    <s v="lilled 11 maja+ meened 1.klassile(75)"/>
    <n v="5525"/>
    <s v="Kommunikatsiooni-, kultuuri- ja vaba aja sisustamise kulud"/>
    <n v="55"/>
    <s v="55"/>
    <s v="Muud tegevuskulud"/>
    <x v="0"/>
    <s v="Põhitegevuse kulu"/>
  </r>
  <r>
    <x v="8"/>
    <x v="74"/>
    <x v="26"/>
    <s v="Muu haridus, sh hariduse haldus"/>
    <s v="Vabaaeg, kultuur ja religioon"/>
    <s v="Haridusnõunik"/>
    <s v="Õpetajatepäev"/>
    <n v="7000"/>
    <s v="üritus 175-le inimesele( kontsert, teater vms., transport, lilled, suupisted)"/>
    <n v="5525"/>
    <s v="Kommunikatsiooni-, kultuuri- ja vaba aja sisustamise kulud"/>
    <n v="55"/>
    <s v="55"/>
    <s v="Muud tegevuskulud"/>
    <x v="0"/>
    <s v="Põhitegevuse kulu"/>
  </r>
  <r>
    <x v="8"/>
    <x v="74"/>
    <x v="26"/>
    <s v="Muu haridus, sh hariduse haldus"/>
    <s v="Vabaaeg, kultuur ja religioon"/>
    <s v="Haridusnõunik"/>
    <s v="Muud haridusüritused"/>
    <n v="25000"/>
    <s v="valla laste- ja noortepäev, haridusasutuste taidluspäevad jm ülevallalised üritused vastavalt kokkulepitud kultuurikavale"/>
    <n v="5525"/>
    <s v="Kommunikatsiooni-, kultuuri- ja vaba aja sisustamise kulud"/>
    <n v="55"/>
    <s v="55"/>
    <s v="Muud tegevuskulud"/>
    <x v="0"/>
    <s v="Põhitegevuse kulu"/>
  </r>
  <r>
    <x v="8"/>
    <x v="75"/>
    <x v="72"/>
    <s v="Muu haridus, sh hariduse haldus"/>
    <s v="Haridus"/>
    <s v="Haridusnõunik"/>
    <s v="LVHJ lähetused+  3 töötaja koolitused"/>
    <n v="3000"/>
    <m/>
    <n v="5504"/>
    <s v="Koolituskulud"/>
    <n v="55"/>
    <s v="55"/>
    <s v="Muud tegevuskulud"/>
    <x v="0"/>
    <s v="Põhitegevuse kulu"/>
  </r>
  <r>
    <x v="8"/>
    <x v="75"/>
    <x v="72"/>
    <s v="Muu haridus, sh hariduse haldus"/>
    <s v="Haridus"/>
    <s v="Haridusnõunik"/>
    <s v="Isikliku sõiduauto komp."/>
    <n v="8300"/>
    <s v="(300+250+250) 2*10 kuud 1 *11 kuud"/>
    <n v="5513"/>
    <s v="Sõidukite ülalpidamise kulud"/>
    <n v="55"/>
    <s v="55"/>
    <s v="Muud tegevuskulud"/>
    <x v="0"/>
    <s v="Põhitegevuse kulu"/>
  </r>
  <r>
    <x v="8"/>
    <x v="75"/>
    <x v="72"/>
    <s v="Muu haridus, sh hariduse haldus"/>
    <s v="Haridus"/>
    <s v="Haridusnõunik"/>
    <s v="eripedagoogi töövahendid"/>
    <n v="1000"/>
    <m/>
    <n v="5524"/>
    <s v="Õppevahendid"/>
    <n v="55"/>
    <s v="55"/>
    <s v="Muud tegevuskulud"/>
    <x v="0"/>
    <s v="Põhitegevuse kulu"/>
  </r>
  <r>
    <x v="8"/>
    <x v="75"/>
    <x v="72"/>
    <s v="Muu haridus, sh hariduse haldus"/>
    <s v="Haridus"/>
    <s v="Haridusnõunik"/>
    <s v="laualambid jms alushariduse spets"/>
    <n v="300"/>
    <m/>
    <n v="5515"/>
    <s v="Inventari kulud, v.a infotehnoloogia ja kaitseotstarbelised kulud"/>
    <n v="55"/>
    <s v="55"/>
    <s v="Muud tegevuskulud"/>
    <x v="0"/>
    <s v="Põhitegevuse kulu"/>
  </r>
  <r>
    <x v="8"/>
    <x v="75"/>
    <x v="72"/>
    <s v="Muu haridus, sh hariduse haldus"/>
    <s v="Haridus"/>
    <s v="Haridusnõunik"/>
    <s v="Sideteenused"/>
    <n v="540"/>
    <m/>
    <n v="5500"/>
    <s v="Administreerimiskulud"/>
    <n v="55"/>
    <s v="55"/>
    <s v="Muud tegevuskulud"/>
    <x v="0"/>
    <s v="Põhitegevuse kulu"/>
  </r>
  <r>
    <x v="8"/>
    <x v="76"/>
    <x v="73"/>
    <s v="Muu haridus, sh hariduse haldus"/>
    <s v="Haridus"/>
    <s v="Haridusnõunik"/>
    <s v="Õpetajate ühiskoolitused"/>
    <n v="10000"/>
    <s v="koolivaheaegadel kõikidele valla õpetajatele korraldatud koolitused(4) "/>
    <n v="5504"/>
    <s v="Koolituskulud"/>
    <n v="55"/>
    <s v="55"/>
    <s v="Muud tegevuskulud"/>
    <x v="0"/>
    <s v="Põhitegevuse kulu"/>
  </r>
  <r>
    <x v="8"/>
    <x v="76"/>
    <x v="73"/>
    <s v="Muu haridus, sh hariduse haldus"/>
    <s v="Haridus"/>
    <s v="Haridusnõunik"/>
    <s v="lastevanemate koolitused"/>
    <n v="10000"/>
    <m/>
    <n v="5504"/>
    <s v="Koolituskulud"/>
    <n v="55"/>
    <s v="55"/>
    <s v="Muud tegevuskulud"/>
    <x v="0"/>
    <s v="Põhitegevuse kulu"/>
  </r>
  <r>
    <x v="9"/>
    <x v="77"/>
    <x v="74"/>
    <s v="Haigete sotsiaalne kaitse"/>
    <s v="Sotsiaalne kaitse"/>
    <s v="Sotsiaalosakond"/>
    <s v="Vähihaigete Liit"/>
    <n v="300"/>
    <m/>
    <n v="4500"/>
    <s v="Sihtotstarbelised eraldised jooksvateks kuludeks"/>
    <n v="4500"/>
    <s v="45"/>
    <s v="Antavad toetused tegevuskuludeks"/>
    <x v="3"/>
    <s v="Põhitegevuse kulu"/>
  </r>
  <r>
    <x v="9"/>
    <x v="77"/>
    <x v="74"/>
    <s v="Haigete sotsiaalne kaitse"/>
    <s v="Sotsiaalne kaitse"/>
    <s v="Sotsiaalosakond"/>
    <s v="Lääne-Virumaa Sclerosis Multipleksi Ühing"/>
    <n v="700"/>
    <m/>
    <n v="4500"/>
    <s v="Sihtotstarbelised eraldised jooksvateks kuludeks"/>
    <n v="4500"/>
    <s v="45"/>
    <s v="Antavad toetused tegevuskuludeks"/>
    <x v="3"/>
    <s v="Põhitegevuse kulu"/>
  </r>
  <r>
    <x v="9"/>
    <x v="77"/>
    <x v="74"/>
    <s v="Haigete sotsiaalne kaitse"/>
    <s v="Sotsiaalne kaitse"/>
    <s v="Sotsiaalosakond"/>
    <s v="Lääne Virumaa Kurtide Ühing"/>
    <n v="250"/>
    <m/>
    <n v="4500"/>
    <s v="Sihtotstarbelised eraldised jooksvateks kuludeks"/>
    <n v="4500"/>
    <s v="45"/>
    <s v="Antavad toetused tegevuskuludeks"/>
    <x v="3"/>
    <s v="Põhitegevuse kulu"/>
  </r>
  <r>
    <x v="9"/>
    <x v="77"/>
    <x v="74"/>
    <s v="Haigete sotsiaalne kaitse"/>
    <s v="Sotsiaalne kaitse"/>
    <s v="Sotsiaalosakond"/>
    <s v="MTÜ Õendus-hoolduskeskus Loojang"/>
    <n v="7000"/>
    <m/>
    <n v="4500"/>
    <s v="Sihtotstarbelised eraldised jooksvateks kuludeks"/>
    <n v="4500"/>
    <s v="45"/>
    <s v="Antavad toetused tegevuskuludeks"/>
    <x v="3"/>
    <s v="Põhitegevuse kulu"/>
  </r>
  <r>
    <x v="9"/>
    <x v="78"/>
    <x v="75"/>
    <s v="Puuetega inimeste sotsiaalhoolekandeasutused"/>
    <s v="Sotsiaalne kaitse"/>
    <s v="Sotsiaalosakond"/>
    <s v="Lääne-Virumaa Puuetega Inimeste Koda"/>
    <n v="1500"/>
    <m/>
    <n v="4500"/>
    <s v="Sihtotstarbelised eraldised jooksvateks kuludeks"/>
    <n v="4500"/>
    <s v="45"/>
    <s v="Antavad toetused tegevuskuludeks"/>
    <x v="3"/>
    <s v="Põhitegevuse kulu"/>
  </r>
  <r>
    <x v="9"/>
    <x v="78"/>
    <x v="75"/>
    <s v="Puuetega inimeste sotsiaalhoolekandeasutused"/>
    <s v="Sotsiaalne kaitse"/>
    <s v="Sotsiaalosakond"/>
    <s v="MTÜ Johanna projektid"/>
    <n v="1000"/>
    <m/>
    <n v="4500"/>
    <s v="Sihtotstarbelised eraldised jooksvateks kuludeks"/>
    <n v="4500"/>
    <s v="45"/>
    <s v="Antavad toetused tegevuskuludeks"/>
    <x v="3"/>
    <s v="Põhitegevuse kulu"/>
  </r>
  <r>
    <x v="9"/>
    <x v="78"/>
    <x v="75"/>
    <s v="Puuetega inimeste sotsiaalhoolekandeasutused"/>
    <s v="Sotsiaalne kaitse"/>
    <s v="Sotsiaalosakond"/>
    <s v="MTÜ Johanna tegevustoetus"/>
    <n v="3800"/>
    <m/>
    <n v="4500"/>
    <s v="Sihtotstarbelised eraldised jooksvateks kuludeks"/>
    <n v="4500"/>
    <s v="45"/>
    <s v="Antavad toetused tegevuskuludeks"/>
    <x v="3"/>
    <s v="Põhitegevuse kulu"/>
  </r>
  <r>
    <x v="9"/>
    <x v="78"/>
    <x v="75"/>
    <s v="Puuetega inimeste sotsiaalhoolekandeasutused"/>
    <s v="Sotsiaalne kaitse"/>
    <s v="Sotsiaalosakond"/>
    <s v="Maakonna projekt Erivajadustega inimeste tugiteenused osal"/>
    <n v="1632"/>
    <m/>
    <n v="5513"/>
    <s v="Sõidukite ülalpidamise kulud"/>
    <n v="55"/>
    <s v="55"/>
    <s v="Muud tegevuskulud"/>
    <x v="0"/>
    <s v="Põhitegevuse kulu"/>
  </r>
  <r>
    <x v="9"/>
    <x v="79"/>
    <x v="76"/>
    <s v="Muu puuetega inimeste sotsiaalne kaitse"/>
    <s v="Sotsiaalne kaitse"/>
    <s v="Sotsiaalosakond"/>
    <s v="Toetus ravimitele, abivah.,proteesid"/>
    <n v="11000"/>
    <m/>
    <n v="41337"/>
    <s v="Proteesid, ortopeedilised ja muud abivahendid puuetega inimestele"/>
    <n v="413"/>
    <s v="41"/>
    <s v="Antavad toetused tegevuskuludeks"/>
    <x v="4"/>
    <s v="Põhitegevuse kulu"/>
  </r>
  <r>
    <x v="9"/>
    <x v="80"/>
    <x v="77"/>
    <s v="Muu puuetega inimeste sotsiaalne kaitse"/>
    <s v="Sotsiaalne kaitse"/>
    <s v="Sotsiaalosakond"/>
    <s v="Invatranspordis osalemine/teenus"/>
    <n v="45500"/>
    <s v="sh. Laekvere eakate seltsing Meenutuse transpordi kulud"/>
    <n v="41339"/>
    <s v="Muud toetused puuetega inimestele ja nende hooldajatele"/>
    <n v="413"/>
    <s v="41"/>
    <s v="Antavad toetused tegevuskuludeks"/>
    <x v="4"/>
    <s v="Põhitegevuse kulu"/>
  </r>
  <r>
    <x v="9"/>
    <x v="81"/>
    <x v="78"/>
    <s v="Muu puuetega inimeste sotsiaalne kaitse"/>
    <s v="Sotsiaalne kaitse"/>
    <s v="Sotsiaalosakond"/>
    <s v="Puuetega täiskanvanute hooldaja toetus"/>
    <n v="110000"/>
    <m/>
    <n v="41332"/>
    <s v="Puudega inimese hooldaja toetus"/>
    <n v="413"/>
    <s v="41"/>
    <s v="Antavad toetused tegevuskuludeks"/>
    <x v="4"/>
    <s v="Põhitegevuse kulu"/>
  </r>
  <r>
    <x v="9"/>
    <x v="81"/>
    <x v="78"/>
    <s v="Muu puuetega inimeste sotsiaalne kaitse"/>
    <s v="Sotsiaalne kaitse"/>
    <s v="Sotsiaalosakond"/>
    <s v="Puuetega inimeste eest makstav sotsiaalmaks"/>
    <n v="51600"/>
    <m/>
    <n v="4137"/>
    <s v="Erijuhtudel riigi poolt makstavad maksud"/>
    <n v="413"/>
    <s v="41"/>
    <s v="Antavad toetused tegevuskuludeks"/>
    <x v="4"/>
    <s v="Põhitegevuse kulu"/>
  </r>
  <r>
    <x v="9"/>
    <x v="82"/>
    <x v="79"/>
    <s v="Muu puuetega inimeste sotsiaalne kaitse"/>
    <s v="Sotsiaalne kaitse"/>
    <s v="Sotsiaalosakond"/>
    <s v="Täiendavad toetused (ujumine, ühiselamu)"/>
    <n v="3800"/>
    <m/>
    <n v="5526"/>
    <s v="Sotsiaalteenused"/>
    <n v="55"/>
    <s v="55"/>
    <s v="Muud tegevuskulud"/>
    <x v="0"/>
    <s v="Põhitegevuse kulu"/>
  </r>
  <r>
    <x v="9"/>
    <x v="82"/>
    <x v="79"/>
    <s v="Muu puuetega inimeste sotsiaalne kaitse"/>
    <s v="Sotsiaalne kaitse"/>
    <s v="Sotsiaalosakond"/>
    <s v="Sõidukulude kompenseerimise toetus"/>
    <n v="3500"/>
    <m/>
    <n v="41339"/>
    <s v="Muud toetused puuetega inimestele ja nende hooldajatele"/>
    <n v="413"/>
    <s v="41"/>
    <s v="Antavad toetused tegevuskuludeks"/>
    <x v="4"/>
    <s v="Põhitegevuse kulu"/>
  </r>
  <r>
    <x v="9"/>
    <x v="82"/>
    <x v="79"/>
    <s v="Muu puuetega inimeste sotsiaalne kaitse"/>
    <s v="Sotsiaalne kaitse"/>
    <s v="Sotsiaalosakond"/>
    <s v="Viipekeele tõlk"/>
    <n v="800"/>
    <m/>
    <n v="41339"/>
    <s v="Muud toetused puuetega inimestele ja nende hooldajatele"/>
    <n v="413"/>
    <s v="41"/>
    <s v="Antavad toetused tegevuskuludeks"/>
    <x v="4"/>
    <s v="Põhitegevuse kulu"/>
  </r>
  <r>
    <x v="9"/>
    <x v="82"/>
    <x v="79"/>
    <s v="Muu puuetega inimeste sotsiaalne kaitse"/>
    <s v="Sotsiaalne kaitse"/>
    <s v="Sotsiaalosakond"/>
    <s v="Muud toetused (juhtkoera toit)"/>
    <n v="300"/>
    <m/>
    <n v="41339"/>
    <s v="Muud toetused puuetega inimestele ja nende hooldajatele"/>
    <n v="413"/>
    <s v="41"/>
    <s v="Antavad toetused tegevuskuludeks"/>
    <x v="4"/>
    <s v="Põhitegevuse kulu"/>
  </r>
  <r>
    <x v="9"/>
    <x v="82"/>
    <x v="79"/>
    <s v="Muu puuetega inimeste sotsiaalne kaitse"/>
    <s v="Sotsiaalne kaitse"/>
    <s v="Sotsiaalosakond"/>
    <s v="Muud toetused (ühekordsed)"/>
    <n v="7000"/>
    <m/>
    <n v="41339"/>
    <s v="Muud toetused puuetega inimestele ja nende hooldajatele"/>
    <n v="413"/>
    <s v="41"/>
    <s v="Antavad toetused tegevuskuludeks"/>
    <x v="4"/>
    <s v="Põhitegevuse kulu"/>
  </r>
  <r>
    <x v="9"/>
    <x v="82"/>
    <x v="79"/>
    <s v="Muu puuetega inimeste sotsiaalne kaitse"/>
    <s v="Sotsiaalne kaitse"/>
    <s v="Sotsiaalosakond"/>
    <s v="Tõlgiteenus"/>
    <n v="1000"/>
    <m/>
    <n v="5526"/>
    <s v="Sotsiaalteenused"/>
    <n v="55"/>
    <s v="55"/>
    <s v="Muud tegevuskulud"/>
    <x v="0"/>
    <s v="Põhitegevuse kulu"/>
  </r>
  <r>
    <x v="9"/>
    <x v="82"/>
    <x v="79"/>
    <s v="Muu puuetega inimeste sotsiaalne kaitse"/>
    <s v="Sotsiaalne kaitse"/>
    <s v="Sotsiaalosakond"/>
    <s v="Projekt &quot;Puuetega in. Kodude kohandamine&quot;"/>
    <n v="5000"/>
    <m/>
    <n v="5511"/>
    <s v="Kinnistute, hoonete ja ruumide majandamiskulud"/>
    <n v="55"/>
    <s v="55"/>
    <s v="Muud tegevuskulud"/>
    <x v="0"/>
    <s v="Põhitegevuse kulu"/>
  </r>
  <r>
    <x v="9"/>
    <x v="83"/>
    <x v="80"/>
    <s v="Muu puuetega inimeste sotsiaalne kaitse"/>
    <s v="Sotsiaalne kaitse"/>
    <s v="Sotsiaalosakond"/>
    <s v="AS Hoolekandeteenused osalemine"/>
    <n v="840"/>
    <m/>
    <n v="5526"/>
    <s v="Sotsiaalteenused"/>
    <n v="55"/>
    <s v="55"/>
    <s v="Muud tegevuskulud"/>
    <x v="0"/>
    <s v="Põhitegevuse kulu"/>
  </r>
  <r>
    <x v="9"/>
    <x v="84"/>
    <x v="81"/>
    <s v="Muu puuetega inimeste sotsiaalne kaitse"/>
    <s v="Sotsiaalne kaitse"/>
    <s v="Sotsiaalosakond"/>
    <s v="Puuetega laste hooldaja toetus"/>
    <n v="17113"/>
    <s v="Toetusfond"/>
    <n v="41332"/>
    <s v="Puudega inimese hooldaja toetus"/>
    <n v="413"/>
    <s v="41"/>
    <s v="Antavad toetused tegevuskuludeks"/>
    <x v="4"/>
    <s v="Põhitegevuse kulu"/>
  </r>
  <r>
    <x v="9"/>
    <x v="85"/>
    <x v="82"/>
    <s v="Eakate sotsiaalhoolekande asutused"/>
    <s v="Sotsiaalne kaitse"/>
    <s v="Tammiku kodu"/>
    <s v="telefonid ja internet, TV"/>
    <n v="2000"/>
    <m/>
    <n v="5500"/>
    <s v="Administreerimiskulud"/>
    <n v="55"/>
    <s v="55"/>
    <s v="Muud tegevuskulud"/>
    <x v="0"/>
    <s v="Põhitegevuse kulu"/>
  </r>
  <r>
    <x v="9"/>
    <x v="85"/>
    <x v="82"/>
    <s v="Eakate sotsiaalhoolekande asutused"/>
    <s v="Sotsiaalne kaitse"/>
    <s v="Tammiku kodu"/>
    <s v="ajaleht "/>
    <n v="150"/>
    <s v="Virumaa Teataja                                               "/>
    <n v="5500"/>
    <s v="Administreerimiskulud"/>
    <n v="55"/>
    <s v="55"/>
    <s v="Muud tegevuskulud"/>
    <x v="0"/>
    <s v="Põhitegevuse kulu"/>
  </r>
  <r>
    <x v="9"/>
    <x v="85"/>
    <x v="82"/>
    <s v="Eakate sotsiaalhoolekande asutused"/>
    <s v="Sotsiaalne kaitse"/>
    <s v="Tammiku kodu"/>
    <s v="tahm, paber, kirjatarbed"/>
    <n v="174"/>
    <s v="tint 30x4; paber, kirjatarbed                              "/>
    <n v="5500"/>
    <s v="Administreerimiskulud"/>
    <n v="55"/>
    <s v="55"/>
    <s v="Muud tegevuskulud"/>
    <x v="0"/>
    <s v="Põhitegevuse kulu"/>
  </r>
  <r>
    <x v="9"/>
    <x v="85"/>
    <x v="82"/>
    <s v="Eakate sotsiaalhoolekande asutused"/>
    <s v="Sotsiaalne kaitse"/>
    <s v="Tammiku kodu"/>
    <s v="kodulehekülg"/>
    <n v="76"/>
    <s v="Elkada Oü 19x44                                                 "/>
    <n v="5500"/>
    <s v="Administreerimiskulud"/>
    <n v="55"/>
    <s v="55"/>
    <s v="Muud tegevuskulud"/>
    <x v="0"/>
    <s v="Põhitegevuse kulu"/>
  </r>
  <r>
    <x v="9"/>
    <x v="85"/>
    <x v="82"/>
    <s v="Eakate sotsiaalhoolekande asutused"/>
    <s v="Sotsiaalne kaitse"/>
    <s v="Tammiku kodu"/>
    <s v="koolituste plaan"/>
    <n v="50"/>
    <s v="juhataja koolitus                                                "/>
    <n v="5504"/>
    <s v="Koolituskulud"/>
    <n v="55"/>
    <s v="55"/>
    <s v="Muud tegevuskulud"/>
    <x v="0"/>
    <s v="Põhitegevuse kulu"/>
  </r>
  <r>
    <x v="9"/>
    <x v="85"/>
    <x v="82"/>
    <s v="Eakate sotsiaalhoolekande asutused"/>
    <s v="Sotsiaalne kaitse"/>
    <s v="Tammiku kodu"/>
    <s v="plaanilised koolitused"/>
    <n v="150"/>
    <s v="hooldajate, kokkade koolitused                         "/>
    <n v="5504"/>
    <s v="Koolituskulud"/>
    <n v="55"/>
    <s v="55"/>
    <s v="Muud tegevuskulud"/>
    <x v="0"/>
    <s v="Põhitegevuse kulu"/>
  </r>
  <r>
    <x v="9"/>
    <x v="85"/>
    <x v="82"/>
    <s v="Eakate sotsiaalhoolekande asutused"/>
    <s v="Sotsiaalne kaitse"/>
    <s v="Tammiku kodu"/>
    <s v="el.auto tehnhool, kindlustus, remont"/>
    <n v="800"/>
    <m/>
    <n v="5513"/>
    <s v="Sõidukite ülalpidamise kulud"/>
    <n v="55"/>
    <s v="55"/>
    <s v="Muud tegevuskulud"/>
    <x v="0"/>
    <s v="Põhitegevuse kulu"/>
  </r>
  <r>
    <x v="9"/>
    <x v="85"/>
    <x v="82"/>
    <s v="Eakate sotsiaalhoolekande asutused"/>
    <s v="Sotsiaalne kaitse"/>
    <s v="Tammiku kodu"/>
    <s v="sotsiaaltranspordi teenus"/>
    <n v="432"/>
    <m/>
    <n v="5513"/>
    <s v="Sõidukite ülalpidamise kulud"/>
    <n v="55"/>
    <s v="55"/>
    <s v="Muud tegevuskulud"/>
    <x v="0"/>
    <s v="Põhitegevuse kulu"/>
  </r>
  <r>
    <x v="9"/>
    <x v="85"/>
    <x v="82"/>
    <s v="Eakate sotsiaalhoolekande asutused"/>
    <s v="Sotsiaalne kaitse"/>
    <s v="Tammiku kodu"/>
    <s v="toidukaup"/>
    <n v="19535"/>
    <s v="24 in x 365 p x 2,30                                  "/>
    <n v="5521"/>
    <s v="Toiduained ja toitlustusteenused"/>
    <n v="55"/>
    <s v="55"/>
    <s v="Muud tegevuskulud"/>
    <x v="0"/>
    <s v="Põhitegevuse kulu"/>
  </r>
  <r>
    <x v="9"/>
    <x v="85"/>
    <x v="82"/>
    <s v="Eakate sotsiaalhoolekande asutused"/>
    <s v="Sotsiaalne kaitse"/>
    <s v="Tammiku kodu"/>
    <s v="Tervisekontroll"/>
    <n v="100"/>
    <s v="Töötajad                                                     "/>
    <n v="5522"/>
    <s v="Meditsiinikulud ja hügieenitarbed"/>
    <n v="55"/>
    <s v="55"/>
    <s v="Muud tegevuskulud"/>
    <x v="0"/>
    <s v="Põhitegevuse kulu"/>
  </r>
  <r>
    <x v="9"/>
    <x v="85"/>
    <x v="82"/>
    <s v="Eakate sotsiaalhoolekande asutused"/>
    <s v="Sotsiaalne kaitse"/>
    <s v="Tammiku kodu"/>
    <s v="Pereõe külastus"/>
    <n v="1000"/>
    <s v="Riina Sinisoo 1x kuus                                  "/>
    <n v="5522"/>
    <s v="Meditsiinikulud ja hügieenitarbed"/>
    <n v="55"/>
    <s v="55"/>
    <s v="Muud tegevuskulud"/>
    <x v="0"/>
    <s v="Põhitegevuse kulu"/>
  </r>
  <r>
    <x v="9"/>
    <x v="85"/>
    <x v="82"/>
    <s v="Eakate sotsiaalhoolekande asutused"/>
    <s v="Sotsiaalne kaitse"/>
    <s v="Tammiku kodu"/>
    <s v="Ravimid"/>
    <n v="1850"/>
    <s v="Retsepti-ja vabamüügiravimid             "/>
    <n v="5522"/>
    <s v="Meditsiinikulud ja hügieenitarbed"/>
    <n v="55"/>
    <s v="55"/>
    <s v="Muud tegevuskulud"/>
    <x v="0"/>
    <s v="Põhitegevuse kulu"/>
  </r>
  <r>
    <x v="9"/>
    <x v="85"/>
    <x v="82"/>
    <s v="Eakate sotsiaalhoolekande asutused"/>
    <s v="Sotsiaalne kaitse"/>
    <s v="Tammiku kodu"/>
    <s v="Hügieenitarbed"/>
    <n v="2060"/>
    <s v="1x linad, pesemiskindad, mähkmed jm      "/>
    <n v="5522"/>
    <s v="Meditsiinikulud ja hügieenitarbed"/>
    <n v="55"/>
    <s v="55"/>
    <s v="Muud tegevuskulud"/>
    <x v="0"/>
    <s v="Põhitegevuse kulu"/>
  </r>
  <r>
    <x v="9"/>
    <x v="85"/>
    <x v="82"/>
    <s v="Eakate sotsiaalhoolekande asutused"/>
    <s v="Sotsiaalne kaitse"/>
    <s v="Tammiku kodu"/>
    <s v="Haiglatasud"/>
    <n v="300"/>
    <s v="Haigla voodi-ja visiiditasud                           "/>
    <n v="5522"/>
    <s v="Meditsiinikulud ja hügieenitarbed"/>
    <n v="55"/>
    <s v="55"/>
    <s v="Muud tegevuskulud"/>
    <x v="0"/>
    <s v="Põhitegevuse kulu"/>
  </r>
  <r>
    <x v="9"/>
    <x v="85"/>
    <x v="82"/>
    <s v="Eakate sotsiaalhoolekande asutused"/>
    <s v="Sotsiaalne kaitse"/>
    <s v="Tammiku kodu"/>
    <s v="Üritused, sünnipäevad, esinejad"/>
    <n v="1000"/>
    <m/>
    <n v="5525"/>
    <s v="Kommunikatsiooni-, kultuuri- ja vaba aja sisustamise kulud"/>
    <n v="55"/>
    <s v="55"/>
    <s v="Muud tegevuskulud"/>
    <x v="0"/>
    <s v="Põhitegevuse kulu"/>
  </r>
  <r>
    <x v="9"/>
    <x v="85"/>
    <x v="82"/>
    <s v="Eakate sotsiaalhoolekande asutused"/>
    <s v="Sotsiaalne kaitse"/>
    <s v="Tammiku kodu"/>
    <s v="Ettenägematud soetused"/>
    <n v="940"/>
    <m/>
    <n v="5540"/>
    <s v="Mitmesugused majanduskulud"/>
    <n v="55"/>
    <s v="55"/>
    <s v="Muud tegevuskulud"/>
    <x v="0"/>
    <s v="Põhitegevuse kulu"/>
  </r>
  <r>
    <x v="9"/>
    <x v="85"/>
    <x v="82"/>
    <s v="Eakate sotsiaalhoolekande asutused"/>
    <s v="Sotsiaalne kaitse"/>
    <s v="Tammiku kodu"/>
    <s v="küte"/>
    <n v="1500"/>
    <s v="35 m2 puid Tammiku Kodule                           "/>
    <n v="5511"/>
    <s v="Kinnistute, hoonete ja ruumide majandamiskulud"/>
    <n v="55"/>
    <s v="55"/>
    <s v="Muud tegevuskulud"/>
    <x v="0"/>
    <s v="Põhitegevuse kulu"/>
  </r>
  <r>
    <x v="9"/>
    <x v="85"/>
    <x v="82"/>
    <s v="Eakate sotsiaalhoolekande asutused"/>
    <s v="Sotsiaalne kaitse"/>
    <s v="Tammiku kodu"/>
    <s v="elekter"/>
    <n v="4150"/>
    <s v="Obja k peamaja ja 2 korterit Roelas             "/>
    <n v="5511"/>
    <s v="Kinnistute, hoonete ja ruumide majandamiskulud"/>
    <n v="55"/>
    <s v="55"/>
    <s v="Muud tegevuskulud"/>
    <x v="0"/>
    <s v="Põhitegevuse kulu"/>
  </r>
  <r>
    <x v="9"/>
    <x v="85"/>
    <x v="82"/>
    <s v="Eakate sotsiaalhoolekande asutused"/>
    <s v="Sotsiaalne kaitse"/>
    <s v="Tammiku kodu"/>
    <s v="vesi ja kanalisatsioon"/>
    <n v="2760"/>
    <s v="Fixum 230 eurot kuus                                                      "/>
    <n v="5511"/>
    <s v="Kinnistute, hoonete ja ruumide majandamiskulud"/>
    <n v="55"/>
    <s v="55"/>
    <s v="Muud tegevuskulud"/>
    <x v="0"/>
    <s v="Põhitegevuse kulu"/>
  </r>
  <r>
    <x v="9"/>
    <x v="85"/>
    <x v="82"/>
    <s v="Eakate sotsiaalhoolekande asutused"/>
    <s v="Sotsiaalne kaitse"/>
    <s v="Tammiku kodu"/>
    <s v="korrashoiuvahendid, voodipesud, käterätid jms"/>
    <n v="4100"/>
    <s v="pesuvahendid, puhastustarbed jm         "/>
    <n v="5511"/>
    <s v="Kinnistute, hoonete ja ruumide majandamiskulud"/>
    <n v="55"/>
    <s v="55"/>
    <s v="Muud tegevuskulud"/>
    <x v="0"/>
    <s v="Põhitegevuse kulu"/>
  </r>
  <r>
    <x v="9"/>
    <x v="85"/>
    <x v="82"/>
    <s v="Eakate sotsiaalhoolekande asutused"/>
    <s v="Sotsiaalne kaitse"/>
    <s v="Tammiku kodu"/>
    <s v="KÜ maksud"/>
    <n v="4300"/>
    <s v="Järve 2-10 ja Järve 6-21          "/>
    <n v="5511"/>
    <s v="Kinnistute, hoonete ja ruumide majandamiskulud"/>
    <n v="55"/>
    <s v="55"/>
    <s v="Muud tegevuskulud"/>
    <x v="0"/>
    <s v="Põhitegevuse kulu"/>
  </r>
  <r>
    <x v="9"/>
    <x v="85"/>
    <x v="82"/>
    <s v="Eakate sotsiaalhoolekande asutused"/>
    <s v="Sotsiaalne kaitse"/>
    <s v="Tammiku kodu"/>
    <s v="Valve ATS hooldus"/>
    <n v="288"/>
    <s v="4x72 GAS Eesti                                            "/>
    <n v="5511"/>
    <s v="Kinnistute, hoonete ja ruumide majandamiskulud"/>
    <n v="55"/>
    <s v="55"/>
    <s v="Muud tegevuskulud"/>
    <x v="0"/>
    <s v="Põhitegevuse kulu"/>
  </r>
  <r>
    <x v="9"/>
    <x v="85"/>
    <x v="82"/>
    <s v="Eakate sotsiaalhoolekande asutused"/>
    <s v="Sotsiaalne kaitse"/>
    <s v="Tammiku kodu"/>
    <s v="vee analüüsid"/>
    <n v="150"/>
    <s v="Terviseamet                                               "/>
    <n v="5511"/>
    <s v="Kinnistute, hoonete ja ruumide majandamiskulud"/>
    <n v="55"/>
    <s v="55"/>
    <s v="Muud tegevuskulud"/>
    <x v="0"/>
    <s v="Põhitegevuse kulu"/>
  </r>
  <r>
    <x v="9"/>
    <x v="85"/>
    <x v="82"/>
    <s v="Eakate sotsiaalhoolekande asutused"/>
    <s v="Sotsiaalne kaitse"/>
    <s v="Tammiku kodu"/>
    <s v="korstna-ja ventilatsiooni puhastus"/>
    <n v="654"/>
    <s v="Päästeameti nõue                                         "/>
    <n v="5511"/>
    <s v="Kinnistute, hoonete ja ruumide majandamiskulud"/>
    <n v="55"/>
    <s v="55"/>
    <s v="Muud tegevuskulud"/>
    <x v="0"/>
    <s v="Põhitegevuse kulu"/>
  </r>
  <r>
    <x v="9"/>
    <x v="85"/>
    <x v="82"/>
    <s v="Eakate sotsiaalhoolekande asutused"/>
    <s v="Sotsiaalne kaitse"/>
    <s v="Tammiku kodu"/>
    <s v="kahjuritõrje, prügi"/>
    <n v="296"/>
    <s v="Rentokil 35x4, prügi 13x12                 "/>
    <n v="5511"/>
    <s v="Kinnistute, hoonete ja ruumide majandamiskulud"/>
    <n v="55"/>
    <s v="55"/>
    <s v="Muud tegevuskulud"/>
    <x v="0"/>
    <s v="Põhitegevuse kulu"/>
  </r>
  <r>
    <x v="9"/>
    <x v="85"/>
    <x v="82"/>
    <s v="Eakate sotsiaalhoolekande asutused"/>
    <s v="Sotsiaalne kaitse"/>
    <s v="Tammiku kodu"/>
    <s v="kütus muruniidukile, niiduki õli ja remont"/>
    <n v="180"/>
    <s v="20 l kuus 240, õli, remont 150                                                                   "/>
    <n v="5511"/>
    <s v="Kinnistute, hoonete ja ruumide majandamiskulud"/>
    <n v="55"/>
    <s v="55"/>
    <s v="Muud tegevuskulud"/>
    <x v="0"/>
    <s v="Põhitegevuse kulu"/>
  </r>
  <r>
    <x v="9"/>
    <x v="85"/>
    <x v="82"/>
    <s v="Eakate sotsiaalhoolekande asutused"/>
    <s v="Sotsiaalne kaitse"/>
    <s v="Tammiku kodu"/>
    <s v="TV, arvutid"/>
    <n v="1100"/>
    <m/>
    <n v="5514"/>
    <s v="Info- ja kommunikatsioonitehnoliigised kulud"/>
    <n v="55"/>
    <s v="55"/>
    <s v="Muud tegevuskulud"/>
    <x v="0"/>
    <s v="Põhitegevuse kulu"/>
  </r>
  <r>
    <x v="9"/>
    <x v="86"/>
    <x v="83"/>
    <s v="Eakate sotsiaalhoolekande asutused"/>
    <s v="Sotsiaalne kaitse"/>
    <s v="Ulvi kodu"/>
    <s v="bürootarbed"/>
    <n v="120"/>
    <m/>
    <n v="5500"/>
    <s v="Administreerimiskulud"/>
    <n v="55"/>
    <s v="55"/>
    <s v="Muud tegevuskulud"/>
    <x v="0"/>
    <s v="Põhitegevuse kulu"/>
  </r>
  <r>
    <x v="9"/>
    <x v="86"/>
    <x v="83"/>
    <s v="Eakate sotsiaalhoolekande asutused"/>
    <s v="Sotsiaalne kaitse"/>
    <s v="Ulvi kodu"/>
    <s v="ajalehed( virumaa teataja, kodutohter "/>
    <n v="170"/>
    <m/>
    <n v="5500"/>
    <s v="Administreerimiskulud"/>
    <n v="55"/>
    <s v="55"/>
    <s v="Muud tegevuskulud"/>
    <x v="0"/>
    <s v="Põhitegevuse kulu"/>
  </r>
  <r>
    <x v="9"/>
    <x v="86"/>
    <x v="83"/>
    <s v="Eakate sotsiaalhoolekande asutused"/>
    <s v="Sotsiaalne kaitse"/>
    <s v="Ulvi kodu"/>
    <s v="esinduskulu"/>
    <n v="200"/>
    <m/>
    <n v="5500"/>
    <s v="Administreerimiskulud"/>
    <n v="55"/>
    <s v="55"/>
    <s v="Muud tegevuskulud"/>
    <x v="0"/>
    <s v="Põhitegevuse kulu"/>
  </r>
  <r>
    <x v="9"/>
    <x v="86"/>
    <x v="83"/>
    <s v="Eakate sotsiaalhoolekande asutused"/>
    <s v="Sotsiaalne kaitse"/>
    <s v="Ulvi kodu"/>
    <s v="koolitused"/>
    <n v="650"/>
    <m/>
    <n v="5504"/>
    <s v="Koolituskulud"/>
    <n v="55"/>
    <s v="55"/>
    <s v="Muud tegevuskulud"/>
    <x v="0"/>
    <s v="Põhitegevuse kulu"/>
  </r>
  <r>
    <x v="9"/>
    <x v="86"/>
    <x v="83"/>
    <s v="Eakate sotsiaalhoolekande asutused"/>
    <s v="Sotsiaalne kaitse"/>
    <s v="Ulvi kodu"/>
    <s v="isikliku sõiduauto komp."/>
    <n v="1650"/>
    <s v="sõidukite kulud 11kuud * 150"/>
    <n v="5513"/>
    <s v="Sõidukite ülalpidamise kulud"/>
    <n v="55"/>
    <s v="55"/>
    <s v="Muud tegevuskulud"/>
    <x v="0"/>
    <s v="Põhitegevuse kulu"/>
  </r>
  <r>
    <x v="9"/>
    <x v="86"/>
    <x v="83"/>
    <s v="Eakate sotsiaalhoolekande asutused"/>
    <s v="Sotsiaalne kaitse"/>
    <s v="Ulvi kodu"/>
    <s v="voodikapp lauaga 2 tk  "/>
    <n v="600"/>
    <m/>
    <n v="5515"/>
    <s v="Inventari kulud, v.a infotehnoloogia ja kaitseotstarbelised kulud"/>
    <n v="55"/>
    <s v="55"/>
    <s v="Muud tegevuskulud"/>
    <x v="0"/>
    <s v="Põhitegevuse kulu"/>
  </r>
  <r>
    <x v="9"/>
    <x v="86"/>
    <x v="83"/>
    <s v="Eakate sotsiaalhoolekande asutused"/>
    <s v="Sotsiaalne kaitse"/>
    <s v="Ulvi kodu"/>
    <s v="riidekapp 1 tk"/>
    <n v="230"/>
    <m/>
    <n v="5515"/>
    <s v="Inventari kulud, v.a infotehnoloogia ja kaitseotstarbelised kulud"/>
    <n v="55"/>
    <s v="55"/>
    <s v="Muud tegevuskulud"/>
    <x v="0"/>
    <s v="Põhitegevuse kulu"/>
  </r>
  <r>
    <x v="9"/>
    <x v="86"/>
    <x v="83"/>
    <s v="Eakate sotsiaalhoolekande asutused"/>
    <s v="Sotsiaalne kaitse"/>
    <s v="Ulvi kodu"/>
    <s v="voodipesu 30"/>
    <n v="600"/>
    <m/>
    <n v="5515"/>
    <s v="Inventari kulud, v.a infotehnoloogia ja kaitseotstarbelised kulud"/>
    <n v="55"/>
    <s v="55"/>
    <s v="Muud tegevuskulud"/>
    <x v="0"/>
    <s v="Põhitegevuse kulu"/>
  </r>
  <r>
    <x v="9"/>
    <x v="86"/>
    <x v="83"/>
    <s v="Eakate sotsiaalhoolekande asutused"/>
    <s v="Sotsiaalne kaitse"/>
    <s v="Ulvi kodu"/>
    <s v="köögitarvikud (potid, pannid) kööki, hooldus, remont"/>
    <n v="500"/>
    <m/>
    <n v="5515"/>
    <s v="Inventari kulud, v.a infotehnoloogia ja kaitseotstarbelised kulud"/>
    <n v="55"/>
    <s v="55"/>
    <s v="Muud tegevuskulud"/>
    <x v="0"/>
    <s v="Põhitegevuse kulu"/>
  </r>
  <r>
    <x v="9"/>
    <x v="86"/>
    <x v="83"/>
    <s v="Eakate sotsiaalhoolekande asutused"/>
    <s v="Sotsiaalne kaitse"/>
    <s v="Ulvi kodu"/>
    <s v="nõudepesumasin"/>
    <n v="0"/>
    <s v="Lisavajadustes"/>
    <n v="5515"/>
    <s v="Inventari kulud, v.a infotehnoloogia ja kaitseotstarbelised kulud"/>
    <n v="55"/>
    <s v="55"/>
    <s v="Muud tegevuskulud"/>
    <x v="0"/>
    <s v="Põhitegevuse kulu"/>
  </r>
  <r>
    <x v="9"/>
    <x v="86"/>
    <x v="83"/>
    <s v="Eakate sotsiaalhoolekande asutused"/>
    <s v="Sotsiaalne kaitse"/>
    <s v="Ulvi kodu"/>
    <s v="madrats 2tk"/>
    <n v="200"/>
    <m/>
    <n v="5515"/>
    <s v="Inventari kulud, v.a infotehnoloogia ja kaitseotstarbelised kulud"/>
    <n v="55"/>
    <s v="55"/>
    <s v="Muud tegevuskulud"/>
    <x v="0"/>
    <s v="Põhitegevuse kulu"/>
  </r>
  <r>
    <x v="9"/>
    <x v="86"/>
    <x v="83"/>
    <s v="Eakate sotsiaalhoolekande asutused"/>
    <s v="Sotsiaalne kaitse"/>
    <s v="Ulvi kodu"/>
    <s v="pesukuivati"/>
    <n v="0"/>
    <s v="Lisavajadustes"/>
    <n v="5515"/>
    <s v="Inventari kulud, v.a infotehnoloogia ja kaitseotstarbelised kulud"/>
    <n v="55"/>
    <s v="55"/>
    <s v="Muud tegevuskulud"/>
    <x v="0"/>
    <s v="Põhitegevuse kulu"/>
  </r>
  <r>
    <x v="9"/>
    <x v="86"/>
    <x v="83"/>
    <s v="Eakate sotsiaalhoolekande asutused"/>
    <s v="Sotsiaalne kaitse"/>
    <s v="Ulvi kodu"/>
    <s v="Toiduained"/>
    <n v="24012"/>
    <m/>
    <n v="5521"/>
    <s v="Toiduained ja toitlustusteenused"/>
    <n v="55"/>
    <s v="55"/>
    <s v="Muud tegevuskulud"/>
    <x v="0"/>
    <s v="Põhitegevuse kulu"/>
  </r>
  <r>
    <x v="9"/>
    <x v="86"/>
    <x v="83"/>
    <s v="Eakate sotsiaalhoolekande asutused"/>
    <s v="Sotsiaalne kaitse"/>
    <s v="Ulvi kodu"/>
    <s v="Personalitoit"/>
    <n v="2200"/>
    <m/>
    <n v="5521"/>
    <s v="Toiduained ja toitlustusteenused"/>
    <n v="55"/>
    <s v="55"/>
    <s v="Muud tegevuskulud"/>
    <x v="0"/>
    <s v="Põhitegevuse kulu"/>
  </r>
  <r>
    <x v="9"/>
    <x v="86"/>
    <x v="83"/>
    <s v="Eakate sotsiaalhoolekande asutused"/>
    <s v="Sotsiaalne kaitse"/>
    <s v="Ulvi kodu"/>
    <s v="Ravimid, mähkmed"/>
    <n v="200"/>
    <m/>
    <n v="5522"/>
    <s v="Meditsiinikulud ja hügieenitarbed"/>
    <n v="55"/>
    <s v="55"/>
    <s v="Muud tegevuskulud"/>
    <x v="0"/>
    <s v="Põhitegevuse kulu"/>
  </r>
  <r>
    <x v="9"/>
    <x v="86"/>
    <x v="83"/>
    <s v="Eakate sotsiaalhoolekande asutused"/>
    <s v="Sotsiaalne kaitse"/>
    <s v="Ulvi kodu"/>
    <s v="kaldtee "/>
    <n v="0"/>
    <s v="Lisavajadustes"/>
    <n v="5511"/>
    <s v="Kinnistute, hoonete ja ruumide majandamiskulud"/>
    <n v="55"/>
    <s v="55"/>
    <s v="Muud tegevuskulud"/>
    <x v="0"/>
    <s v="Põhitegevuse kulu"/>
  </r>
  <r>
    <x v="9"/>
    <x v="86"/>
    <x v="83"/>
    <s v="Eakate sotsiaalhoolekande asutused"/>
    <s v="Sotsiaalne kaitse"/>
    <s v="Ulvi kodu"/>
    <s v="üritused, huvitegevus, lilled"/>
    <n v="1600"/>
    <m/>
    <n v="5525"/>
    <s v="Kommunikatsiooni-, kultuuri- ja vaba aja sisustamise kulud"/>
    <n v="55"/>
    <s v="55"/>
    <s v="Muud tegevuskulud"/>
    <x v="0"/>
    <s v="Põhitegevuse kulu"/>
  </r>
  <r>
    <x v="9"/>
    <x v="86"/>
    <x v="83"/>
    <s v="Eakate sotsiaalhoolekande asutused"/>
    <s v="Sotsiaalne kaitse"/>
    <s v="Ulvi kodu"/>
    <s v="Tööriided  "/>
    <n v="500"/>
    <m/>
    <n v="5532"/>
    <s v="Eri- ja vormiriietus"/>
    <n v="55"/>
    <s v="55"/>
    <s v="Muud tegevuskulud"/>
    <x v="0"/>
    <s v="Põhitegevuse kulu"/>
  </r>
  <r>
    <x v="9"/>
    <x v="86"/>
    <x v="83"/>
    <s v="Eakate sotsiaalhoolekande asutused"/>
    <s v="Sotsiaalne kaitse"/>
    <s v="Ulvi kodu"/>
    <s v="sõiduabi (transport haiglast koju)"/>
    <n v="300"/>
    <m/>
    <n v="5526"/>
    <s v="Sotsiaalteenused"/>
    <n v="55"/>
    <s v="55"/>
    <s v="Muud tegevuskulud"/>
    <x v="0"/>
    <s v="Põhitegevuse kulu"/>
  </r>
  <r>
    <x v="9"/>
    <x v="86"/>
    <x v="83"/>
    <s v="Eakate sotsiaalhoolekande asutused"/>
    <s v="Sotsiaalne kaitse"/>
    <s v="Ulvi kodu"/>
    <s v="tervishoiuteenuse ostmine ( pereõde)"/>
    <n v="1000"/>
    <s v="uus teenus"/>
    <n v="5526"/>
    <s v="Sotsiaalteenused"/>
    <n v="55"/>
    <s v="55"/>
    <s v="Muud tegevuskulud"/>
    <x v="0"/>
    <s v="Põhitegevuse kulu"/>
  </r>
  <r>
    <x v="9"/>
    <x v="86"/>
    <x v="83"/>
    <s v="Eakate sotsiaalhoolekande asutused"/>
    <s v="Sotsiaalne kaitse"/>
    <s v="Ulvi kodu"/>
    <s v="soojusenergia ( küte)"/>
    <n v="9000"/>
    <m/>
    <n v="5511"/>
    <s v="Kinnistute, hoonete ja ruumide majandamiskulud"/>
    <n v="55"/>
    <s v="55"/>
    <s v="Muud tegevuskulud"/>
    <x v="0"/>
    <s v="Põhitegevuse kulu"/>
  </r>
  <r>
    <x v="9"/>
    <x v="86"/>
    <x v="83"/>
    <s v="Eakate sotsiaalhoolekande asutused"/>
    <s v="Sotsiaalne kaitse"/>
    <s v="Ulvi kodu"/>
    <s v="elekter"/>
    <n v="6000"/>
    <m/>
    <n v="5511"/>
    <s v="Kinnistute, hoonete ja ruumide majandamiskulud"/>
    <n v="55"/>
    <s v="55"/>
    <s v="Muud tegevuskulud"/>
    <x v="0"/>
    <s v="Põhitegevuse kulu"/>
  </r>
  <r>
    <x v="9"/>
    <x v="86"/>
    <x v="83"/>
    <s v="Eakate sotsiaalhoolekande asutused"/>
    <s v="Sotsiaalne kaitse"/>
    <s v="Ulvi kodu"/>
    <s v="vesi ja kanalisatsioon"/>
    <n v="2400"/>
    <m/>
    <n v="5511"/>
    <s v="Kinnistute, hoonete ja ruumide majandamiskulud"/>
    <n v="55"/>
    <s v="55"/>
    <s v="Muud tegevuskulud"/>
    <x v="0"/>
    <s v="Põhitegevuse kulu"/>
  </r>
  <r>
    <x v="9"/>
    <x v="86"/>
    <x v="83"/>
    <s v="Eakate sotsiaalhoolekande asutused"/>
    <s v="Sotsiaalne kaitse"/>
    <s v="Ulvi kodu"/>
    <s v="korrashoid ja remont tubades"/>
    <n v="1000"/>
    <m/>
    <n v="5511"/>
    <s v="Kinnistute, hoonete ja ruumide majandamiskulud"/>
    <n v="55"/>
    <s v="55"/>
    <s v="Muud tegevuskulud"/>
    <x v="0"/>
    <s v="Põhitegevuse kulu"/>
  </r>
  <r>
    <x v="9"/>
    <x v="86"/>
    <x v="83"/>
    <s v="Eakate sotsiaalhoolekande asutused"/>
    <s v="Sotsiaalne kaitse"/>
    <s v="Ulvi kodu"/>
    <s v="prügi vedu+energia kontroll)"/>
    <n v="900"/>
    <m/>
    <n v="5511"/>
    <s v="Kinnistute, hoonete ja ruumide majandamiskulud"/>
    <n v="55"/>
    <s v="55"/>
    <s v="Muud tegevuskulud"/>
    <x v="0"/>
    <s v="Põhitegevuse kulu"/>
  </r>
  <r>
    <x v="9"/>
    <x v="86"/>
    <x v="83"/>
    <s v="Eakate sotsiaalhoolekande asutused"/>
    <s v="Sotsiaalne kaitse"/>
    <s v="Ulvi kodu"/>
    <s v="ruumide korrashoid, pesu pesemine"/>
    <n v="6000"/>
    <m/>
    <n v="5511"/>
    <s v="Kinnistute, hoonete ja ruumide majandamiskulud"/>
    <n v="55"/>
    <s v="55"/>
    <s v="Muud tegevuskulud"/>
    <x v="0"/>
    <s v="Põhitegevuse kulu"/>
  </r>
  <r>
    <x v="9"/>
    <x v="86"/>
    <x v="83"/>
    <s v="Eakate sotsiaalhoolekande asutused"/>
    <s v="Sotsiaalne kaitse"/>
    <s v="Ulvi kodu"/>
    <s v="ettevõttekindlustus"/>
    <n v="180"/>
    <m/>
    <n v="5511"/>
    <s v="Kinnistute, hoonete ja ruumide majandamiskulud"/>
    <n v="55"/>
    <s v="55"/>
    <s v="Muud tegevuskulud"/>
    <x v="0"/>
    <s v="Põhitegevuse kulu"/>
  </r>
  <r>
    <x v="9"/>
    <x v="86"/>
    <x v="83"/>
    <s v="Eakate sotsiaalhoolekande asutused"/>
    <s v="Sotsiaalne kaitse"/>
    <s v="Ulvi kodu"/>
    <s v="internet ja teler, telefon"/>
    <n v="650"/>
    <m/>
    <n v="5514"/>
    <s v="Info- ja kommunikatsioonitehnoliigised kulud"/>
    <n v="55"/>
    <s v="55"/>
    <s v="Muud tegevuskulud"/>
    <x v="0"/>
    <s v="Põhitegevuse kulu"/>
  </r>
  <r>
    <x v="9"/>
    <x v="86"/>
    <x v="83"/>
    <s v="Eakate sotsiaalhoolekande asutused"/>
    <s v="Sotsiaalne kaitse"/>
    <s v="Ulvi kodu"/>
    <s v="tarkvara hooldus"/>
    <n v="100"/>
    <m/>
    <n v="5514"/>
    <s v="Info- ja kommunikatsioonitehnoliigised kulud"/>
    <n v="55"/>
    <s v="55"/>
    <s v="Muud tegevuskulud"/>
    <x v="0"/>
    <s v="Põhitegevuse kulu"/>
  </r>
  <r>
    <x v="9"/>
    <x v="86"/>
    <x v="83"/>
    <s v="Eakate sotsiaalhoolekande asutused"/>
    <s v="Sotsiaalne kaitse"/>
    <s v="Ulvi kodu"/>
    <s v="Personalitoit"/>
    <n v="-2200"/>
    <s v="Töötajad tasuvad ise tagasi"/>
    <n v="5521"/>
    <s v="Toiduained ja toitlustusteenused"/>
    <n v="55"/>
    <s v="55"/>
    <s v="Muud tegevuskulud"/>
    <x v="0"/>
    <s v="Põhitegevuse kulu"/>
  </r>
  <r>
    <x v="9"/>
    <x v="86"/>
    <x v="83"/>
    <s v="Eakate sotsiaalhoolekande asutused"/>
    <s v="Sotsiaalne kaitse"/>
    <s v="Ulvi kodu"/>
    <s v="Ravimid, mähkmed"/>
    <n v="12000"/>
    <m/>
    <n v="5522"/>
    <s v="Meditsiinikulud ja hügieenitarbed"/>
    <n v="55"/>
    <s v="55"/>
    <s v="Muud tegevuskulud"/>
    <x v="0"/>
    <s v="Põhitegevuse kulu"/>
  </r>
  <r>
    <x v="9"/>
    <x v="86"/>
    <x v="83"/>
    <s v="Eakate sotsiaalhoolekande asutused"/>
    <s v="Sotsiaalne kaitse"/>
    <s v="Ulvi kodu"/>
    <s v="Ravimid, mähkmed"/>
    <n v="-12000"/>
    <s v="Kulu kaetakse hooldajate pere poolt"/>
    <n v="5522"/>
    <s v="Meditsiinikulud ja hügieenitarbed"/>
    <n v="55"/>
    <s v="55"/>
    <s v="Muud tegevuskulud"/>
    <x v="0"/>
    <s v="Põhitegevuse kulu"/>
  </r>
  <r>
    <x v="9"/>
    <x v="87"/>
    <x v="84"/>
    <s v="Eakate sotsiaalhoolekande asutused"/>
    <s v="Sotsiaalne kaitse"/>
    <s v="Sotsiaalosakond"/>
    <s v="Üldtüüpi hooldekodusse paigut.in.ülalp.kulud"/>
    <n v="70000"/>
    <m/>
    <n v="5526"/>
    <s v="Sotsiaalteenused"/>
    <n v="55"/>
    <s v="55"/>
    <s v="Muud tegevuskulud"/>
    <x v="0"/>
    <s v="Põhitegevuse kulu"/>
  </r>
  <r>
    <x v="9"/>
    <x v="88"/>
    <x v="85"/>
    <s v="Eakate sotsiaalhoolekande asutused"/>
    <s v="Sotsiaalne kaitse"/>
    <s v="Vinni Päevakeskus"/>
    <s v="tahm, paber"/>
    <n v="40"/>
    <m/>
    <n v="5500"/>
    <s v="Administreerimiskulud"/>
    <n v="55"/>
    <s v="55"/>
    <s v="Muud tegevuskulud"/>
    <x v="0"/>
    <s v="Põhitegevuse kulu"/>
  </r>
  <r>
    <x v="9"/>
    <x v="88"/>
    <x v="85"/>
    <s v="Eakate sotsiaalhoolekande asutused"/>
    <s v="Sotsiaalne kaitse"/>
    <s v="Vinni Päevakeskus"/>
    <s v="ajakirjad (Tervendaja ja 60+)"/>
    <n v="50"/>
    <m/>
    <n v="5500"/>
    <s v="Administreerimiskulud"/>
    <n v="55"/>
    <s v="55"/>
    <s v="Muud tegevuskulud"/>
    <x v="0"/>
    <s v="Põhitegevuse kulu"/>
  </r>
  <r>
    <x v="9"/>
    <x v="88"/>
    <x v="85"/>
    <s v="Eakate sotsiaalhoolekande asutused"/>
    <s v="Sotsiaalne kaitse"/>
    <s v="Vinni Päevakeskus"/>
    <s v="lilled"/>
    <n v="200"/>
    <m/>
    <n v="5500"/>
    <s v="Administreerimiskulud"/>
    <n v="55"/>
    <s v="55"/>
    <s v="Muud tegevuskulud"/>
    <x v="0"/>
    <s v="Põhitegevuse kulu"/>
  </r>
  <r>
    <x v="9"/>
    <x v="88"/>
    <x v="85"/>
    <s v="Eakate sotsiaalhoolekande asutused"/>
    <s v="Sotsiaalne kaitse"/>
    <s v="Vinni Päevakeskus"/>
    <s v="Koolituskulud"/>
    <n v="50"/>
    <m/>
    <n v="5504"/>
    <s v="Koolituskulud"/>
    <n v="55"/>
    <s v="55"/>
    <s v="Muud tegevuskulud"/>
    <x v="0"/>
    <s v="Põhitegevuse kulu"/>
  </r>
  <r>
    <x v="9"/>
    <x v="88"/>
    <x v="85"/>
    <s v="Eakate sotsiaalhoolekande asutused"/>
    <s v="Sotsiaalne kaitse"/>
    <s v="Vinni Päevakeskus"/>
    <s v="Isikliku sõiduauto komp."/>
    <n v="760"/>
    <m/>
    <n v="5513"/>
    <s v="Sõidukite ülalpidamise kulud"/>
    <n v="55"/>
    <s v="55"/>
    <s v="Muud tegevuskulud"/>
    <x v="0"/>
    <s v="Põhitegevuse kulu"/>
  </r>
  <r>
    <x v="9"/>
    <x v="88"/>
    <x v="85"/>
    <s v="Eakate sotsiaalhoolekande asutused"/>
    <s v="Sotsiaalne kaitse"/>
    <s v="Vinni Päevakeskus"/>
    <s v="eakate päev, jõulud ja kevadpidu"/>
    <n v="200"/>
    <m/>
    <n v="5525"/>
    <s v="Kommunikatsiooni-, kultuuri- ja vaba aja sisustamise kulud"/>
    <n v="55"/>
    <s v="55"/>
    <s v="Muud tegevuskulud"/>
    <x v="0"/>
    <s v="Põhitegevuse kulu"/>
  </r>
  <r>
    <x v="9"/>
    <x v="88"/>
    <x v="85"/>
    <s v="Eakate sotsiaalhoolekande asutused"/>
    <s v="Sotsiaalne kaitse"/>
    <s v="Vinni Päevakeskus"/>
    <s v="käeline tegevus (materjalid)"/>
    <n v="100"/>
    <m/>
    <n v="5525"/>
    <s v="Kommunikatsiooni-, kultuuri- ja vaba aja sisustamise kulud"/>
    <n v="55"/>
    <s v="55"/>
    <s v="Muud tegevuskulud"/>
    <x v="0"/>
    <s v="Põhitegevuse kulu"/>
  </r>
  <r>
    <x v="9"/>
    <x v="88"/>
    <x v="85"/>
    <s v="Eakate sotsiaalhoolekande asutused"/>
    <s v="Sotsiaalne kaitse"/>
    <s v="Vinni Päevakeskus"/>
    <s v="mälutreening 2xkuus, 16x40,00"/>
    <n v="640"/>
    <m/>
    <n v="5525"/>
    <s v="Kommunikatsiooni-, kultuuri- ja vaba aja sisustamise kulud"/>
    <n v="55"/>
    <s v="55"/>
    <s v="Muud tegevuskulud"/>
    <x v="0"/>
    <s v="Põhitegevuse kulu"/>
  </r>
  <r>
    <x v="9"/>
    <x v="88"/>
    <x v="85"/>
    <s v="Eakate sotsiaalhoolekande asutused"/>
    <s v="Sotsiaalne kaitse"/>
    <s v="Vinni Päevakeskus"/>
    <s v="võimlemine 4x kuus, 30x 45,00"/>
    <n v="1350"/>
    <m/>
    <n v="5525"/>
    <s v="Kommunikatsiooni-, kultuuri- ja vaba aja sisustamise kulud"/>
    <n v="55"/>
    <s v="55"/>
    <s v="Muud tegevuskulud"/>
    <x v="0"/>
    <s v="Põhitegevuse kulu"/>
  </r>
  <r>
    <x v="9"/>
    <x v="88"/>
    <x v="85"/>
    <s v="Eakate sotsiaalhoolekande asutused"/>
    <s v="Sotsiaalne kaitse"/>
    <s v="Vinni Päevakeskus"/>
    <s v="laulmine"/>
    <n v="500"/>
    <m/>
    <n v="5525"/>
    <s v="Kommunikatsiooni-, kultuuri- ja vaba aja sisustamise kulud"/>
    <n v="55"/>
    <s v="55"/>
    <s v="Muud tegevuskulud"/>
    <x v="0"/>
    <s v="Põhitegevuse kulu"/>
  </r>
  <r>
    <x v="9"/>
    <x v="88"/>
    <x v="85"/>
    <s v="Eakate sotsiaalhoolekande asutused"/>
    <s v="Sotsiaalne kaitse"/>
    <s v="Vinni Päevakeskus"/>
    <s v="ettearvamatud"/>
    <n v="100"/>
    <m/>
    <n v="5511"/>
    <s v="Kinnistute, hoonete ja ruumide majandamiskulud"/>
    <n v="55"/>
    <s v="55"/>
    <s v="Muud tegevuskulud"/>
    <x v="0"/>
    <s v="Põhitegevuse kulu"/>
  </r>
  <r>
    <x v="9"/>
    <x v="88"/>
    <x v="85"/>
    <s v="Eakate sotsiaalhoolekande asutused"/>
    <s v="Sotsiaalne kaitse"/>
    <s v="Vinni Päevakeskus"/>
    <s v="vesi ja kanalisatsioon"/>
    <n v="50"/>
    <m/>
    <n v="5511"/>
    <s v="Kinnistute, hoonete ja ruumide majandamiskulud"/>
    <n v="55"/>
    <s v="55"/>
    <s v="Muud tegevuskulud"/>
    <x v="0"/>
    <s v="Põhitegevuse kulu"/>
  </r>
  <r>
    <x v="9"/>
    <x v="88"/>
    <x v="85"/>
    <s v="Eakate sotsiaalhoolekande asutused"/>
    <s v="Sotsiaalne kaitse"/>
    <s v="Vinni Päevakeskus"/>
    <s v="puhastus vahendid"/>
    <n v="50"/>
    <m/>
    <n v="5511"/>
    <s v="Kinnistute, hoonete ja ruumide majandamiskulud"/>
    <n v="55"/>
    <s v="55"/>
    <s v="Muud tegevuskulud"/>
    <x v="0"/>
    <s v="Põhitegevuse kulu"/>
  </r>
  <r>
    <x v="9"/>
    <x v="89"/>
    <x v="78"/>
    <s v="Muu eakate sotsiaalne kaitse"/>
    <s v="Sotsiaalne kaitse"/>
    <s v="Sotsiaalosakond"/>
    <s v="Hooldustöötaja el.auto hooldus, remont, jms"/>
    <n v="1000"/>
    <s v="sh. Kredex laadimistasud"/>
    <n v="5513"/>
    <s v="Sõidukite ülalpidamise kulud"/>
    <n v="55"/>
    <s v="55"/>
    <s v="Muud tegevuskulud"/>
    <x v="0"/>
    <s v="Põhitegevuse kulu"/>
  </r>
  <r>
    <x v="9"/>
    <x v="89"/>
    <x v="78"/>
    <s v="Muu eakate sotsiaalne kaitse"/>
    <s v="Sotsiaalne kaitse"/>
    <s v="Sotsiaalosakond"/>
    <s v="Hooldustöötajate koolitused"/>
    <n v="600"/>
    <m/>
    <n v="5504"/>
    <s v="Koolituskulud"/>
    <n v="55"/>
    <s v="55"/>
    <s v="Muud tegevuskulud"/>
    <x v="0"/>
    <s v="Põhitegevuse kulu"/>
  </r>
  <r>
    <x v="9"/>
    <x v="89"/>
    <x v="78"/>
    <s v="Muu eakate sotsiaalne kaitse"/>
    <s v="Sotsiaalne kaitse"/>
    <s v="Sotsiaalosakond"/>
    <s v="Inventar"/>
    <n v="900"/>
    <s v="el.jalgratta hooldus( akud) jms"/>
    <n v="5515"/>
    <s v="Inventari kulud, v.a infotehnoloogia ja kaitseotstarbelised kulud"/>
    <n v="55"/>
    <s v="55"/>
    <s v="Muud tegevuskulud"/>
    <x v="0"/>
    <s v="Põhitegevuse kulu"/>
  </r>
  <r>
    <x v="9"/>
    <x v="90"/>
    <x v="86"/>
    <s v="Muu eakate sotsiaalne kaitse"/>
    <s v="Sotsiaalne kaitse"/>
    <s v="Sotsiaalosakond"/>
    <s v="Ühekordsed toetused"/>
    <n v="35500"/>
    <m/>
    <n v="41380"/>
    <s v="Toetused eakatele"/>
    <n v="413"/>
    <s v="41"/>
    <s v="Antavad toetused tegevuskuludeks"/>
    <x v="4"/>
    <s v="Põhitegevuse kulu"/>
  </r>
  <r>
    <x v="9"/>
    <x v="91"/>
    <x v="87"/>
    <s v="Muu eakate sotsiaalne kaitse"/>
    <s v="Sotsiaalne kaitse"/>
    <s v="Sotsiaalosakond"/>
    <s v="Juubelitoetused (+ lilled)"/>
    <n v="9500"/>
    <m/>
    <n v="41380"/>
    <s v="Toetused eakatele"/>
    <n v="413"/>
    <s v="41"/>
    <s v="Antavad toetused tegevuskuludeks"/>
    <x v="4"/>
    <s v="Põhitegevuse kulu"/>
  </r>
  <r>
    <x v="9"/>
    <x v="92"/>
    <x v="88"/>
    <s v="Muu eakate sotsiaalne kaitse"/>
    <s v="Sotsiaalne kaitse"/>
    <s v="Sotsiaalosakond"/>
    <s v="Täiendav ravimite toetus"/>
    <n v="3000"/>
    <m/>
    <n v="41380"/>
    <s v="Toetused eakatele"/>
    <n v="413"/>
    <s v="41"/>
    <s v="Antavad toetused tegevuskuludeks"/>
    <x v="4"/>
    <s v="Põhitegevuse kulu"/>
  </r>
  <r>
    <x v="9"/>
    <x v="93"/>
    <x v="89"/>
    <s v="Laste ja noorte sotsiaalhoolekande asutused"/>
    <s v="Sotsiaalne kaitse"/>
    <s v="Vinni Perekodu"/>
    <s v="telefon, internet, TV "/>
    <n v="4000"/>
    <m/>
    <n v="5500"/>
    <s v="Administreerimiskulud"/>
    <n v="55"/>
    <s v="55"/>
    <s v="Muud tegevuskulud"/>
    <x v="0"/>
    <s v="Põhitegevuse kulu"/>
  </r>
  <r>
    <x v="9"/>
    <x v="93"/>
    <x v="89"/>
    <s v="Laste ja noorte sotsiaalhoolekande asutused"/>
    <s v="Sotsiaalne kaitse"/>
    <s v="Vinni Perekodu"/>
    <s v="postikulu"/>
    <n v="80"/>
    <m/>
    <n v="5500"/>
    <s v="Administreerimiskulud"/>
    <n v="55"/>
    <s v="55"/>
    <s v="Muud tegevuskulud"/>
    <x v="0"/>
    <s v="Põhitegevuse kulu"/>
  </r>
  <r>
    <x v="9"/>
    <x v="93"/>
    <x v="89"/>
    <s v="Laste ja noorte sotsiaalhoolekande asutused"/>
    <s v="Sotsiaalne kaitse"/>
    <s v="Vinni Perekodu"/>
    <s v="kantseleikulu"/>
    <n v="1300"/>
    <m/>
    <n v="5500"/>
    <s v="Administreerimiskulud"/>
    <n v="55"/>
    <s v="55"/>
    <s v="Muud tegevuskulud"/>
    <x v="0"/>
    <s v="Põhitegevuse kulu"/>
  </r>
  <r>
    <x v="9"/>
    <x v="93"/>
    <x v="89"/>
    <s v="Laste ja noorte sotsiaalhoolekande asutused"/>
    <s v="Sotsiaalne kaitse"/>
    <s v="Vinni Perekodu"/>
    <s v="mobiilkõned"/>
    <n v="420"/>
    <m/>
    <n v="5500"/>
    <s v="Administreerimiskulud"/>
    <n v="55"/>
    <s v="55"/>
    <s v="Muud tegevuskulud"/>
    <x v="0"/>
    <s v="Põhitegevuse kulu"/>
  </r>
  <r>
    <x v="9"/>
    <x v="93"/>
    <x v="89"/>
    <s v="Laste ja noorte sotsiaalhoolekande asutused"/>
    <s v="Sotsiaalne kaitse"/>
    <s v="Vinni Perekodu"/>
    <s v="koolituste plaan"/>
    <n v="2500"/>
    <m/>
    <n v="5504"/>
    <s v="Koolituskulud"/>
    <n v="55"/>
    <s v="55"/>
    <s v="Muud tegevuskulud"/>
    <x v="0"/>
    <s v="Põhitegevuse kulu"/>
  </r>
  <r>
    <x v="9"/>
    <x v="93"/>
    <x v="89"/>
    <s v="Laste ja noorte sotsiaalhoolekande asutused"/>
    <s v="Sotsiaalne kaitse"/>
    <s v="Vinni Perekodu"/>
    <s v="liising, kasko"/>
    <n v="11200"/>
    <m/>
    <n v="5513"/>
    <s v="Sõidukite ülalpidamise kulud"/>
    <n v="55"/>
    <s v="55"/>
    <s v="Muud tegevuskulud"/>
    <x v="0"/>
    <s v="Põhitegevuse kulu"/>
  </r>
  <r>
    <x v="9"/>
    <x v="93"/>
    <x v="89"/>
    <s v="Laste ja noorte sotsiaalhoolekande asutused"/>
    <s v="Sotsiaalne kaitse"/>
    <s v="Vinni Perekodu"/>
    <s v="kütus"/>
    <n v="2800"/>
    <m/>
    <n v="5513"/>
    <s v="Sõidukite ülalpidamise kulud"/>
    <n v="55"/>
    <s v="55"/>
    <s v="Muud tegevuskulud"/>
    <x v="0"/>
    <s v="Põhitegevuse kulu"/>
  </r>
  <r>
    <x v="9"/>
    <x v="93"/>
    <x v="89"/>
    <s v="Laste ja noorte sotsiaalhoolekande asutused"/>
    <s v="Sotsiaalne kaitse"/>
    <s v="Vinni Perekodu"/>
    <s v="Inventar "/>
    <n v="3000"/>
    <m/>
    <n v="5515"/>
    <s v="Inventari kulud, v.a infotehnoloogia ja kaitseotstarbelised kulud"/>
    <n v="55"/>
    <s v="55"/>
    <s v="Muud tegevuskulud"/>
    <x v="0"/>
    <s v="Põhitegevuse kulu"/>
  </r>
  <r>
    <x v="9"/>
    <x v="93"/>
    <x v="89"/>
    <s v="Laste ja noorte sotsiaalhoolekande asutused"/>
    <s v="Sotsiaalne kaitse"/>
    <s v="Vinni Perekodu"/>
    <s v="riided , jalanõud"/>
    <n v="13920"/>
    <s v="29 last x 40€kuusx 12 kuud"/>
    <n v="5515"/>
    <s v="Inventari kulud, v.a infotehnoloogia ja kaitseotstarbelised kulud"/>
    <n v="55"/>
    <s v="55"/>
    <s v="Muud tegevuskulud"/>
    <x v="0"/>
    <s v="Põhitegevuse kulu"/>
  </r>
  <r>
    <x v="9"/>
    <x v="93"/>
    <x v="89"/>
    <s v="Laste ja noorte sotsiaalhoolekande asutused"/>
    <s v="Sotsiaalne kaitse"/>
    <s v="Vinni Perekodu"/>
    <s v="toitlustamine kodus"/>
    <n v="42340"/>
    <s v="29 last x 4 € päev x 365 päeva"/>
    <n v="5521"/>
    <s v="Toiduained ja toitlustusteenused"/>
    <n v="55"/>
    <s v="55"/>
    <s v="Muud tegevuskulud"/>
    <x v="0"/>
    <s v="Põhitegevuse kulu"/>
  </r>
  <r>
    <x v="9"/>
    <x v="93"/>
    <x v="89"/>
    <s v="Laste ja noorte sotsiaalhoolekande asutused"/>
    <s v="Sotsiaalne kaitse"/>
    <s v="Vinni Perekodu"/>
    <s v="lasteaed, kaugel õppijad, väljas"/>
    <n v="1500"/>
    <m/>
    <n v="5521"/>
    <s v="Toiduained ja toitlustusteenused"/>
    <n v="55"/>
    <s v="55"/>
    <s v="Muud tegevuskulud"/>
    <x v="0"/>
    <s v="Põhitegevuse kulu"/>
  </r>
  <r>
    <x v="9"/>
    <x v="93"/>
    <x v="89"/>
    <s v="Laste ja noorte sotsiaalhoolekande asutused"/>
    <s v="Sotsiaalne kaitse"/>
    <s v="Vinni Perekodu"/>
    <s v="ravimid, hügieen"/>
    <n v="6200"/>
    <m/>
    <n v="5522"/>
    <s v="Meditsiinikulud ja hügieenitarbed"/>
    <n v="55"/>
    <s v="55"/>
    <s v="Muud tegevuskulud"/>
    <x v="0"/>
    <s v="Põhitegevuse kulu"/>
  </r>
  <r>
    <x v="9"/>
    <x v="93"/>
    <x v="89"/>
    <s v="Laste ja noorte sotsiaalhoolekande asutused"/>
    <s v="Sotsiaalne kaitse"/>
    <s v="Vinni Perekodu"/>
    <s v="eriarstide vastuvõtt"/>
    <n v="1040"/>
    <m/>
    <n v="5522"/>
    <s v="Meditsiinikulud ja hügieenitarbed"/>
    <n v="55"/>
    <s v="55"/>
    <s v="Muud tegevuskulud"/>
    <x v="0"/>
    <s v="Põhitegevuse kulu"/>
  </r>
  <r>
    <x v="9"/>
    <x v="93"/>
    <x v="89"/>
    <s v="Laste ja noorte sotsiaalhoolekande asutused"/>
    <s v="Sotsiaalne kaitse"/>
    <s v="Vinni Perekodu"/>
    <s v="kohatasu lasteaed "/>
    <n v="960"/>
    <m/>
    <n v="5524"/>
    <s v="Õppevahendid"/>
    <n v="55"/>
    <s v="55"/>
    <s v="Muud tegevuskulud"/>
    <x v="0"/>
    <s v="Põhitegevuse kulu"/>
  </r>
  <r>
    <x v="9"/>
    <x v="93"/>
    <x v="89"/>
    <s v="Laste ja noorte sotsiaalhoolekande asutused"/>
    <s v="Sotsiaalne kaitse"/>
    <s v="Vinni Perekodu"/>
    <s v="sünnipäev, jõulukink"/>
    <n v="200"/>
    <m/>
    <n v="5525"/>
    <s v="Kommunikatsiooni-, kultuuri- ja vaba aja sisustamise kulud"/>
    <n v="55"/>
    <s v="55"/>
    <s v="Muud tegevuskulud"/>
    <x v="0"/>
    <s v="Põhitegevuse kulu"/>
  </r>
  <r>
    <x v="9"/>
    <x v="93"/>
    <x v="89"/>
    <s v="Laste ja noorte sotsiaalhoolekande asutused"/>
    <s v="Sotsiaalne kaitse"/>
    <s v="Vinni Perekodu"/>
    <s v="koolide väljasõidud"/>
    <n v="1500"/>
    <m/>
    <n v="5525"/>
    <s v="Kommunikatsiooni-, kultuuri- ja vaba aja sisustamise kulud"/>
    <n v="55"/>
    <s v="55"/>
    <s v="Muud tegevuskulud"/>
    <x v="0"/>
    <s v="Põhitegevuse kulu"/>
  </r>
  <r>
    <x v="9"/>
    <x v="93"/>
    <x v="89"/>
    <s v="Laste ja noorte sotsiaalhoolekande asutused"/>
    <s v="Sotsiaalne kaitse"/>
    <s v="Vinni Perekodu"/>
    <s v="trenn/hobi"/>
    <n v="1540"/>
    <m/>
    <n v="5525"/>
    <s v="Kommunikatsiooni-, kultuuri- ja vaba aja sisustamise kulud"/>
    <n v="55"/>
    <s v="55"/>
    <s v="Muud tegevuskulud"/>
    <x v="0"/>
    <s v="Põhitegevuse kulu"/>
  </r>
  <r>
    <x v="9"/>
    <x v="93"/>
    <x v="89"/>
    <s v="Laste ja noorte sotsiaalhoolekande asutused"/>
    <s v="Sotsiaalne kaitse"/>
    <s v="Vinni Perekodu"/>
    <s v="koolitarbed (sh eririietus, ...."/>
    <n v="5220"/>
    <s v="29 last  x 15 € x 12 kuud"/>
    <n v="5523"/>
    <s v="Teavikud ja kunstiesemed"/>
    <n v="55"/>
    <s v="55"/>
    <s v="Muud tegevuskulud"/>
    <x v="0"/>
    <s v="Põhitegevuse kulu"/>
  </r>
  <r>
    <x v="9"/>
    <x v="93"/>
    <x v="89"/>
    <s v="Laste ja noorte sotsiaalhoolekande asutused"/>
    <s v="Sotsiaalne kaitse"/>
    <s v="Vinni Perekodu"/>
    <s v="2019. aasta eelarve prognoositav jääk"/>
    <n v="-21410.4399999999"/>
    <m/>
    <n v="5521"/>
    <s v="Toiduained ja toitlustusteenused"/>
    <n v="55"/>
    <s v="55"/>
    <s v="Muud tegevuskulud"/>
    <x v="0"/>
    <s v="Põhitegevuse kulu"/>
  </r>
  <r>
    <x v="9"/>
    <x v="93"/>
    <x v="89"/>
    <s v="Laste ja noorte sotsiaalhoolekande asutused"/>
    <s v="Sotsiaalne kaitse"/>
    <s v="Vinni Perekodu"/>
    <s v="Taskurahad"/>
    <n v="480"/>
    <s v="Eelkooliealised"/>
    <n v="413899"/>
    <s v="Muud sotsiaalabitoetused ja hüvitised"/>
    <n v="413"/>
    <s v="41"/>
    <s v="Antavad toetused tegevuskuludeks"/>
    <x v="4"/>
    <s v="Põhitegevuse kulu"/>
  </r>
  <r>
    <x v="9"/>
    <x v="93"/>
    <x v="89"/>
    <s v="Laste ja noorte sotsiaalhoolekande asutused"/>
    <s v="Sotsiaalne kaitse"/>
    <s v="Vinni Perekodu"/>
    <s v="Taskurahad"/>
    <n v="1980"/>
    <s v="1-4 klassi lapsed"/>
    <n v="413899"/>
    <s v="Muud sotsiaalabitoetused ja hüvitised"/>
    <n v="413"/>
    <s v="41"/>
    <s v="Antavad toetused tegevuskuludeks"/>
    <x v="4"/>
    <s v="Põhitegevuse kulu"/>
  </r>
  <r>
    <x v="9"/>
    <x v="93"/>
    <x v="89"/>
    <s v="Laste ja noorte sotsiaalhoolekande asutused"/>
    <s v="Sotsiaalne kaitse"/>
    <s v="Vinni Perekodu"/>
    <s v="Taskurahad"/>
    <n v="3840"/>
    <s v="5-.. Lapsed"/>
    <n v="413899"/>
    <s v="Muud sotsiaalabitoetused ja hüvitised"/>
    <n v="413"/>
    <s v="41"/>
    <s v="Antavad toetused tegevuskuludeks"/>
    <x v="4"/>
    <s v="Põhitegevuse kulu"/>
  </r>
  <r>
    <x v="9"/>
    <x v="93"/>
    <x v="89"/>
    <s v="Laste ja noorte sotsiaalhoolekande asutused"/>
    <s v="Sotsiaalne kaitse"/>
    <s v="Vinni Perekodu"/>
    <s v="elekter"/>
    <n v="19000"/>
    <m/>
    <n v="5511"/>
    <s v="Kinnistute, hoonete ja ruumide majandamiskulud"/>
    <n v="55"/>
    <s v="55"/>
    <s v="Muud tegevuskulud"/>
    <x v="0"/>
    <s v="Põhitegevuse kulu"/>
  </r>
  <r>
    <x v="9"/>
    <x v="93"/>
    <x v="89"/>
    <s v="Laste ja noorte sotsiaalhoolekande asutused"/>
    <s v="Sotsiaalne kaitse"/>
    <s v="Vinni Perekodu"/>
    <s v="vesi-kanalisatsioon"/>
    <n v="7000"/>
    <m/>
    <n v="5511"/>
    <s v="Kinnistute, hoonete ja ruumide majandamiskulud"/>
    <n v="55"/>
    <s v="55"/>
    <s v="Muud tegevuskulud"/>
    <x v="0"/>
    <s v="Põhitegevuse kulu"/>
  </r>
  <r>
    <x v="9"/>
    <x v="93"/>
    <x v="89"/>
    <s v="Laste ja noorte sotsiaalhoolekande asutused"/>
    <s v="Sotsiaalne kaitse"/>
    <s v="Vinni Perekodu"/>
    <s v="korrashoiuvah."/>
    <n v="4500"/>
    <m/>
    <n v="5511"/>
    <s v="Kinnistute, hoonete ja ruumide majandamiskulud"/>
    <n v="55"/>
    <s v="55"/>
    <s v="Muud tegevuskulud"/>
    <x v="0"/>
    <s v="Põhitegevuse kulu"/>
  </r>
  <r>
    <x v="9"/>
    <x v="93"/>
    <x v="89"/>
    <s v="Laste ja noorte sotsiaalhoolekande asutused"/>
    <s v="Sotsiaalne kaitse"/>
    <s v="Vinni Perekodu"/>
    <s v="ühiselamumaksud"/>
    <n v="900"/>
    <m/>
    <n v="5511"/>
    <s v="Kinnistute, hoonete ja ruumide majandamiskulud"/>
    <n v="55"/>
    <s v="55"/>
    <s v="Muud tegevuskulud"/>
    <x v="0"/>
    <s v="Põhitegevuse kulu"/>
  </r>
  <r>
    <x v="9"/>
    <x v="93"/>
    <x v="89"/>
    <s v="Laste ja noorte sotsiaalhoolekande asutused"/>
    <s v="Sotsiaalne kaitse"/>
    <s v="Vinni Perekodu"/>
    <s v="prügi"/>
    <n v="900"/>
    <m/>
    <n v="5511"/>
    <s v="Kinnistute, hoonete ja ruumide majandamiskulud"/>
    <n v="55"/>
    <s v="55"/>
    <s v="Muud tegevuskulud"/>
    <x v="0"/>
    <s v="Põhitegevuse kulu"/>
  </r>
  <r>
    <x v="9"/>
    <x v="93"/>
    <x v="89"/>
    <s v="Laste ja noorte sotsiaalhoolekande asutused"/>
    <s v="Sotsiaalne kaitse"/>
    <s v="Vinni Perekodu"/>
    <s v="signalisatsioon"/>
    <n v="320"/>
    <m/>
    <n v="5511"/>
    <s v="Kinnistute, hoonete ja ruumide majandamiskulud"/>
    <n v="55"/>
    <s v="55"/>
    <s v="Muud tegevuskulud"/>
    <x v="0"/>
    <s v="Põhitegevuse kulu"/>
  </r>
  <r>
    <x v="9"/>
    <x v="93"/>
    <x v="89"/>
    <s v="Laste ja noorte sotsiaalhoolekande asutused"/>
    <s v="Sotsiaalne kaitse"/>
    <s v="Vinni Perekodu"/>
    <s v="el. Käidu leping"/>
    <n v="600"/>
    <m/>
    <n v="5511"/>
    <s v="Kinnistute, hoonete ja ruumide majandamiskulud"/>
    <n v="55"/>
    <s v="55"/>
    <s v="Muud tegevuskulud"/>
    <x v="0"/>
    <s v="Põhitegevuse kulu"/>
  </r>
  <r>
    <x v="9"/>
    <x v="93"/>
    <x v="89"/>
    <s v="Laste ja noorte sotsiaalhoolekande asutused"/>
    <s v="Sotsiaalne kaitse"/>
    <s v="Vinni Perekodu"/>
    <s v="tehnoseadmed"/>
    <n v="2955"/>
    <m/>
    <n v="5511"/>
    <s v="Kinnistute, hoonete ja ruumide majandamiskulud"/>
    <n v="55"/>
    <s v="55"/>
    <s v="Muud tegevuskulud"/>
    <x v="0"/>
    <s v="Põhitegevuse kulu"/>
  </r>
  <r>
    <x v="9"/>
    <x v="94"/>
    <x v="84"/>
    <s v="Laste ja noorte sotsiaalhoolekande asutused"/>
    <s v="Sotsiaalne kaitse"/>
    <s v="Sotsiaalosakond"/>
    <s v="Keila SOS lastekodu täiendav toetus"/>
    <n v="800"/>
    <m/>
    <n v="45008"/>
    <s v="Sihtotstarbelised eraldised muudele residentidele"/>
    <n v="4500"/>
    <s v="45"/>
    <s v="Antavad toetused tegevuskuludeks"/>
    <x v="3"/>
    <s v="Põhitegevuse kulu"/>
  </r>
  <r>
    <x v="9"/>
    <x v="94"/>
    <x v="84"/>
    <s v="Laste ja noorte sotsiaalhoolekande asutused"/>
    <s v="Sotsiaalne kaitse"/>
    <s v="Sotsiaalosakond"/>
    <s v="Sõidukompensatsioon + Porkuni leping"/>
    <n v="2820"/>
    <m/>
    <n v="5526"/>
    <s v="Sotsiaalteenused"/>
    <n v="55"/>
    <s v="55"/>
    <s v="Muud tegevuskulud"/>
    <x v="0"/>
    <s v="Põhitegevuse kulu"/>
  </r>
  <r>
    <x v="9"/>
    <x v="94"/>
    <x v="84"/>
    <s v="Laste ja noorte sotsiaalhoolekande asutused"/>
    <s v="Sotsiaalne kaitse"/>
    <s v="Sotsiaalosakond"/>
    <s v="L-Viru Suurte perede Ühendus"/>
    <n v="3000"/>
    <m/>
    <n v="4500"/>
    <s v="Sihtotstarbelised eraldised jooksvateks kuludeks"/>
    <n v="4500"/>
    <s v="45"/>
    <s v="Antavad toetused tegevuskuludeks"/>
    <x v="3"/>
    <s v="Põhitegevuse kulu"/>
  </r>
  <r>
    <x v="9"/>
    <x v="94"/>
    <x v="84"/>
    <s v="Laste ja noorte sotsiaalhoolekande asutused"/>
    <s v="Sotsiaalne kaitse"/>
    <s v="Sotsiaalosakond"/>
    <s v="Vinni Perekodu "/>
    <n v="4000"/>
    <m/>
    <n v="5526"/>
    <s v="Sotsiaalteenused"/>
    <n v="55"/>
    <s v="55"/>
    <s v="Muud tegevuskulud"/>
    <x v="0"/>
    <s v="Põhitegevuse kulu"/>
  </r>
  <r>
    <x v="9"/>
    <x v="94"/>
    <x v="84"/>
    <s v="Laste ja noorte sotsiaalhoolekande asutused"/>
    <s v="Sotsiaalne kaitse"/>
    <s v="Sotsiaalosakond"/>
    <s v="Tõlgiteenus"/>
    <n v="1000"/>
    <m/>
    <n v="5526"/>
    <s v="Sotsiaalteenused"/>
    <n v="55"/>
    <s v="55"/>
    <s v="Muud tegevuskulud"/>
    <x v="0"/>
    <s v="Põhitegevuse kulu"/>
  </r>
  <r>
    <x v="9"/>
    <x v="94"/>
    <x v="84"/>
    <s v="Laste ja noorte sotsiaalhoolekande asutused"/>
    <s v="Sotsiaalne kaitse"/>
    <s v="Sotsiaalosakond"/>
    <s v="Asenduskodu+turvakoduteenus"/>
    <n v="1000"/>
    <m/>
    <n v="413899"/>
    <s v="Muud sotsiaalabitoetused ja hüvitised"/>
    <n v="413"/>
    <s v="41"/>
    <s v="Antavad toetused tegevuskuludeks"/>
    <x v="4"/>
    <s v="Põhitegevuse kulu"/>
  </r>
  <r>
    <x v="9"/>
    <x v="94"/>
    <x v="84"/>
    <s v="Laste ja noorte sotsiaalhoolekande asutused"/>
    <s v="Sotsiaalne kaitse"/>
    <s v="Sotsiaalosakond"/>
    <s v="Asendus- ja järelhooldus-teenuse toetus"/>
    <n v="147600"/>
    <s v="Toetusfond"/>
    <n v="5526"/>
    <s v="Sotsiaalteenused"/>
    <n v="55"/>
    <s v="55"/>
    <s v="Muud tegevuskulud"/>
    <x v="0"/>
    <s v="Põhitegevuse kulu"/>
  </r>
  <r>
    <x v="9"/>
    <x v="95"/>
    <x v="90"/>
    <s v="Muu perekondade ja laste sotsiaalne kaitse"/>
    <s v="Sotsiaalne kaitse"/>
    <s v="Sotsiaalosakond"/>
    <s v="Matusetoetus"/>
    <n v="26000"/>
    <s v="valla poolne finantseering"/>
    <n v="41389"/>
    <s v="Matusetoetus"/>
    <n v="413"/>
    <s v="41"/>
    <s v="Antavad toetused tegevuskuludeks"/>
    <x v="4"/>
    <s v="Põhitegevuse kulu"/>
  </r>
  <r>
    <x v="9"/>
    <x v="95"/>
    <x v="90"/>
    <s v="Muu perekondade ja laste sotsiaalne kaitse"/>
    <s v="Sotsiaalne kaitse"/>
    <s v="Sotsiaalosakond"/>
    <s v="Matusetoetus"/>
    <n v="22524"/>
    <s v="Toetusfond"/>
    <n v="41389"/>
    <s v="Matusetoetus"/>
    <n v="413"/>
    <s v="41"/>
    <s v="Antavad toetused tegevuskuludeks"/>
    <x v="4"/>
    <s v="Põhitegevuse kulu"/>
  </r>
  <r>
    <x v="9"/>
    <x v="96"/>
    <x v="91"/>
    <s v="Muu perekondade ja laste sotsiaalne kaitse"/>
    <s v="Sotsiaalne kaitse"/>
    <s v="Sotsiaalosakond"/>
    <s v="Ranitsatoetus"/>
    <n v="9100"/>
    <m/>
    <n v="41309"/>
    <s v="Muud peretoetused"/>
    <n v="413"/>
    <s v="41"/>
    <s v="Antavad toetused tegevuskuludeks"/>
    <x v="4"/>
    <s v="Põhitegevuse kulu"/>
  </r>
  <r>
    <x v="9"/>
    <x v="96"/>
    <x v="91"/>
    <s v="Muu perekondade ja laste sotsiaalne kaitse"/>
    <s v="Sotsiaalne kaitse"/>
    <s v="Sotsiaalosakond"/>
    <s v="Ühekorded toetused + perede koolituse toetus"/>
    <n v="21000"/>
    <m/>
    <n v="41309"/>
    <s v="Muud peretoetused"/>
    <n v="413"/>
    <s v="41"/>
    <s v="Antavad toetused tegevuskuludeks"/>
    <x v="4"/>
    <s v="Põhitegevuse kulu"/>
  </r>
  <r>
    <x v="9"/>
    <x v="96"/>
    <x v="91"/>
    <s v="Muu perekondade ja laste sotsiaalne kaitse"/>
    <s v="Sotsiaalne kaitse"/>
    <s v="Sotsiaalosakond"/>
    <s v="Prillid"/>
    <n v="3000"/>
    <m/>
    <n v="41309"/>
    <s v="Muud peretoetused"/>
    <n v="413"/>
    <s v="41"/>
    <s v="Antavad toetused tegevuskuludeks"/>
    <x v="4"/>
    <s v="Põhitegevuse kulu"/>
  </r>
  <r>
    <x v="9"/>
    <x v="96"/>
    <x v="91"/>
    <s v="Muu perekondade ja laste sotsiaalne kaitse"/>
    <s v="Sotsiaalne kaitse"/>
    <s v="Sotsiaalosakond"/>
    <s v="Täiendav perede toetus 3 ja enama lapse puhul"/>
    <n v="15000"/>
    <m/>
    <n v="41309"/>
    <s v="Muud peretoetused"/>
    <n v="413"/>
    <s v="41"/>
    <s v="Antavad toetused tegevuskuludeks"/>
    <x v="4"/>
    <s v="Põhitegevuse kulu"/>
  </r>
  <r>
    <x v="9"/>
    <x v="97"/>
    <x v="92"/>
    <s v="Muu perekondade ja laste sotsiaalne kaitse"/>
    <s v="Sotsiaalne kaitse"/>
    <s v="Sotsiaalosakond"/>
    <s v="tervisega seotud kulutused"/>
    <n v="2500"/>
    <m/>
    <n v="41309"/>
    <s v="Muud peretoetused"/>
    <n v="413"/>
    <s v="41"/>
    <s v="Antavad toetused tegevuskuludeks"/>
    <x v="4"/>
    <s v="Põhitegevuse kulu"/>
  </r>
  <r>
    <x v="9"/>
    <x v="98"/>
    <x v="93"/>
    <s v="Muu perekondade ja laste sotsiaalne kaitse"/>
    <s v="Sotsiaalne kaitse"/>
    <s v="Sotsiaalosakond"/>
    <s v="Sünnitoetus  "/>
    <n v="40000"/>
    <m/>
    <n v="41300"/>
    <s v="Sünnitoetus"/>
    <n v="413"/>
    <s v="41"/>
    <s v="Antavad toetused tegevuskuludeks"/>
    <x v="4"/>
    <s v="Põhitegevuse kulu"/>
  </r>
  <r>
    <x v="9"/>
    <x v="98"/>
    <x v="93"/>
    <s v="Muu perekondade ja laste sotsiaalne kaitse"/>
    <s v="Sotsiaalne kaitse"/>
    <s v="Sotsiaalosakond"/>
    <s v="Lusikapidu ja karud"/>
    <n v="5600"/>
    <m/>
    <n v="41309"/>
    <s v="Muud peretoetused"/>
    <n v="413"/>
    <s v="41"/>
    <s v="Antavad toetused tegevuskuludeks"/>
    <x v="4"/>
    <s v="Põhitegevuse kulu"/>
  </r>
  <r>
    <x v="9"/>
    <x v="99"/>
    <x v="94"/>
    <s v="Muu perekondade ja laste sotsiaalne kaitse"/>
    <s v="Sotsiaalne kaitse"/>
    <s v="Sotsiaalosakond"/>
    <s v="Hoolduspere toetus (tugiisik)"/>
    <n v="11200"/>
    <m/>
    <n v="41309"/>
    <s v="Muud peretoetused"/>
    <n v="413"/>
    <s v="41"/>
    <s v="Antavad toetused tegevuskuludeks"/>
    <x v="4"/>
    <s v="Põhitegevuse kulu"/>
  </r>
  <r>
    <x v="9"/>
    <x v="99"/>
    <x v="94"/>
    <s v="Muu perekondade ja laste sotsiaalne kaitse"/>
    <s v="Sotsiaalne kaitse"/>
    <s v="Sotsiaalosakond"/>
    <s v="Tugiisiku teenus"/>
    <n v="2400"/>
    <s v="200x12 Mari-Liisa"/>
    <n v="41309"/>
    <s v="Muud peretoetused"/>
    <n v="413"/>
    <s v="41"/>
    <s v="Antavad toetused tegevuskuludeks"/>
    <x v="4"/>
    <s v="Põhitegevuse kulu"/>
  </r>
  <r>
    <x v="9"/>
    <x v="100"/>
    <x v="95"/>
    <s v="Muu perekondade ja laste sotsiaalne kaitse"/>
    <s v="Sotsiaalne kaitse"/>
    <s v="Sotsiaalosakond"/>
    <s v="Laagritoetus"/>
    <n v="1760"/>
    <s v="16 x 110 madala sissetulekuga pere last"/>
    <n v="41309"/>
    <s v="Muud peretoetused"/>
    <n v="413"/>
    <s v="41"/>
    <s v="Antavad toetused tegevuskuludeks"/>
    <x v="4"/>
    <s v="Põhitegevuse kulu"/>
  </r>
  <r>
    <x v="9"/>
    <x v="100"/>
    <x v="95"/>
    <s v="Muu perekondade ja laste sotsiaalne kaitse"/>
    <s v="Sotsiaalne kaitse"/>
    <s v="Sotsiaalosakond"/>
    <s v="Toetus toidule (koolid, lasteaiad), ühiselamu üür"/>
    <n v="400"/>
    <m/>
    <n v="41309"/>
    <s v="Muud peretoetused"/>
    <n v="413"/>
    <s v="41"/>
    <s v="Antavad toetused tegevuskuludeks"/>
    <x v="4"/>
    <s v="Põhitegevuse kulu"/>
  </r>
  <r>
    <x v="9"/>
    <x v="100"/>
    <x v="95"/>
    <s v="Muu perekondade ja laste sotsiaalne kaitse"/>
    <s v="Sotsiaalne kaitse"/>
    <s v="Sotsiaalosakond"/>
    <s v="Muud toetused (kriisit.teenuse ost)"/>
    <n v="2400"/>
    <s v="3 last"/>
    <n v="41309"/>
    <s v="Muud peretoetused"/>
    <n v="413"/>
    <s v="41"/>
    <s v="Antavad toetused tegevuskuludeks"/>
    <x v="4"/>
    <s v="Põhitegevuse kulu"/>
  </r>
  <r>
    <x v="9"/>
    <x v="100"/>
    <x v="95"/>
    <s v="Muu perekondade ja laste sotsiaalne kaitse"/>
    <s v="Sotsiaalne kaitse"/>
    <s v="Sotsiaalosakond"/>
    <s v="Projektis osalemine a la &quot;Imelised aastad.....&quot;"/>
    <n v="2800"/>
    <m/>
    <n v="41309"/>
    <s v="Muud peretoetused"/>
    <n v="413"/>
    <s v="41"/>
    <s v="Antavad toetused tegevuskuludeks"/>
    <x v="4"/>
    <s v="Põhitegevuse kulu"/>
  </r>
  <r>
    <x v="9"/>
    <x v="100"/>
    <x v="95"/>
    <s v="Muu perekondade ja laste sotsiaalne kaitse"/>
    <s v="Sotsiaalne kaitse"/>
    <s v="Sotsiaalosakond"/>
    <s v="Projektis osalemine &quot;Kunstilaager...&quot;"/>
    <n v="800"/>
    <m/>
    <n v="41309"/>
    <s v="Muud peretoetused"/>
    <n v="413"/>
    <s v="41"/>
    <s v="Antavad toetused tegevuskuludeks"/>
    <x v="4"/>
    <s v="Põhitegevuse kulu"/>
  </r>
  <r>
    <x v="9"/>
    <x v="100"/>
    <x v="95"/>
    <s v="Muu perekondade ja laste sotsiaalne kaitse"/>
    <s v="Sotsiaalne kaitse"/>
    <s v="Sotsiaalosakond"/>
    <s v="Noortemajadele, õpilaskodule"/>
    <n v="600"/>
    <m/>
    <n v="5526"/>
    <s v="Sotsiaalteenused"/>
    <n v="55"/>
    <s v="55"/>
    <s v="Muud tegevuskulud"/>
    <x v="0"/>
    <s v="Põhitegevuse kulu"/>
  </r>
  <r>
    <x v="9"/>
    <x v="100"/>
    <x v="95"/>
    <s v="Muu perekondade ja laste sotsiaalne kaitse"/>
    <s v="Sotsiaalne kaitse"/>
    <s v="Sotsiaalosakond"/>
    <s v="laste kommipakid"/>
    <n v="8000"/>
    <m/>
    <n v="5525"/>
    <s v="Kommunikatsiooni-, kultuuri- ja vaba aja sisustamise kulud"/>
    <n v="55"/>
    <s v="55"/>
    <s v="Muud tegevuskulud"/>
    <x v="0"/>
    <s v="Põhitegevuse kulu"/>
  </r>
  <r>
    <x v="9"/>
    <x v="100"/>
    <x v="95"/>
    <s v="Muu perekondade ja laste sotsiaalne kaitse"/>
    <s v="Sotsiaalne kaitse"/>
    <s v="Sotsiaalosakond"/>
    <s v="Lääne-Virumaa Suurte Perede ühenduse toetamine"/>
    <n v="600"/>
    <m/>
    <n v="4500"/>
    <s v="Sihtotstarbelised eraldised jooksvateks kuludeks"/>
    <n v="4500"/>
    <s v="45"/>
    <s v="Antavad toetused tegevuskuludeks"/>
    <x v="3"/>
    <s v="Põhitegevuse kulu"/>
  </r>
  <r>
    <x v="9"/>
    <x v="100"/>
    <x v="95"/>
    <s v="Muu perekondade ja laste sotsiaalne kaitse"/>
    <s v="Sotsiaalne kaitse"/>
    <s v="Sotsiaalosakond"/>
    <s v="Porkuni kool"/>
    <n v="3000"/>
    <m/>
    <n v="41309"/>
    <s v="Muud peretoetused"/>
    <n v="413"/>
    <s v="41"/>
    <s v="Antavad toetused tegevuskuludeks"/>
    <x v="4"/>
    <s v="Põhitegevuse kulu"/>
  </r>
  <r>
    <x v="9"/>
    <x v="101"/>
    <x v="96"/>
    <s v="Töötute sotsiaalne kaitse"/>
    <s v="Sotsiaalne kaitse"/>
    <s v="Sotsiaalosakond"/>
    <s v="Muud toetused töötutele (ühekordsed toetused)"/>
    <n v="3000"/>
    <m/>
    <n v="41329"/>
    <s v="Muud toetused töötutele"/>
    <n v="413"/>
    <s v="41"/>
    <s v="Antavad toetused tegevuskuludeks"/>
    <x v="4"/>
    <s v="Põhitegevuse kulu"/>
  </r>
  <r>
    <x v="9"/>
    <x v="101"/>
    <x v="96"/>
    <s v="Töötute sotsiaalne kaitse"/>
    <s v="Sotsiaalne kaitse"/>
    <s v="Sotsiaalosakond"/>
    <s v="Töötute sotsiaalne kaitse (töötamine)"/>
    <n v="1200"/>
    <m/>
    <n v="41329"/>
    <s v="Muud toetused töötutele"/>
    <n v="413"/>
    <s v="41"/>
    <s v="Antavad toetused tegevuskuludeks"/>
    <x v="4"/>
    <s v="Põhitegevuse kulu"/>
  </r>
  <r>
    <x v="9"/>
    <x v="101"/>
    <x v="96"/>
    <s v="Töötute sotsiaalne kaitse"/>
    <s v="Sotsiaalne kaitse"/>
    <s v="Sotsiaalosakond"/>
    <s v="Ravikindlustuseta kindlustamata isikud"/>
    <n v="1200"/>
    <m/>
    <n v="41329"/>
    <s v="Muud toetused töötutele"/>
    <n v="413"/>
    <s v="41"/>
    <s v="Antavad toetused tegevuskuludeks"/>
    <x v="4"/>
    <s v="Põhitegevuse kulu"/>
  </r>
  <r>
    <x v="9"/>
    <x v="102"/>
    <x v="97"/>
    <s v="Eluasemeteenused sotsiaalsetele riskirühmadele"/>
    <s v="Sotsiaalne kaitse"/>
    <s v="Sotsiaalosakond"/>
    <s v="Küttetoetus"/>
    <n v="16000"/>
    <m/>
    <n v="413899"/>
    <s v="Muud sotsiaalabitoetused ja hüvitised"/>
    <n v="413"/>
    <s v="41"/>
    <s v="Antavad toetused tegevuskuludeks"/>
    <x v="4"/>
    <s v="Põhitegevuse kulu"/>
  </r>
  <r>
    <x v="9"/>
    <x v="102"/>
    <x v="97"/>
    <s v="Eluasemeteenused sotsiaalsetele riskirühmadele"/>
    <s v="Sotsiaalne kaitse"/>
    <s v="Sotsiaalosakond"/>
    <s v="Sotsiaalkorterite remont"/>
    <n v="30000"/>
    <m/>
    <n v="5511"/>
    <s v="Kinnistute, hoonete ja ruumide majandamiskulud"/>
    <n v="55"/>
    <s v="55"/>
    <s v="Muud tegevuskulud"/>
    <x v="0"/>
    <s v="Põhitegevuse kulu"/>
  </r>
  <r>
    <x v="9"/>
    <x v="103"/>
    <x v="98"/>
    <s v="Riiklik toimetulekutoetus"/>
    <s v="Sotsiaalne kaitse"/>
    <s v="Sotsiaalosakond"/>
    <s v="Toimetulekutoetus"/>
    <n v="67609"/>
    <s v="Toetusfond"/>
    <n v="4131"/>
    <s v="Toimetulekutoetus ja täiendavad sotsiaaltoetused"/>
    <n v="413"/>
    <s v="41"/>
    <s v="Antavad toetused tegevuskuludeks"/>
    <x v="4"/>
    <s v="Põhitegevuse kulu"/>
  </r>
  <r>
    <x v="9"/>
    <x v="104"/>
    <x v="99"/>
    <s v="Muu sotsiaalsete riskirühmade kaitse"/>
    <s v="Sotsiaalne kaitse"/>
    <s v="Sotsiaalosakond"/>
    <s v="Vältimatu sotsiaalabi"/>
    <n v="2000"/>
    <m/>
    <n v="413899"/>
    <s v="Muud sotsiaalabitoetused ja hüvitised"/>
    <n v="413"/>
    <s v="41"/>
    <s v="Antavad toetused tegevuskuludeks"/>
    <x v="4"/>
    <s v="Põhitegevuse kulu"/>
  </r>
  <r>
    <x v="9"/>
    <x v="104"/>
    <x v="99"/>
    <s v="Muu sotsiaalsete riskirühmade kaitse"/>
    <s v="Sotsiaalne kaitse"/>
    <s v="Sotsiaalosakond"/>
    <s v="Erakorraline toetus"/>
    <n v="20000"/>
    <m/>
    <n v="413899"/>
    <s v="Muud sotsiaalabitoetused ja hüvitised"/>
    <n v="413"/>
    <s v="41"/>
    <s v="Antavad toetused tegevuskuludeks"/>
    <x v="4"/>
    <s v="Põhitegevuse kulu"/>
  </r>
  <r>
    <x v="9"/>
    <x v="104"/>
    <x v="99"/>
    <s v="Muu sotsiaalsete riskirühmade kaitse"/>
    <s v="Sotsiaalne kaitse"/>
    <s v="Sotsiaalosakond"/>
    <s v="Rakvere Kodutute Varjupaik - teenuse ost"/>
    <n v="800"/>
    <m/>
    <n v="413899"/>
    <s v="Muud sotsiaalabitoetused ja hüvitised"/>
    <n v="413"/>
    <s v="41"/>
    <s v="Antavad toetused tegevuskuludeks"/>
    <x v="4"/>
    <s v="Põhitegevuse kulu"/>
  </r>
  <r>
    <x v="9"/>
    <x v="104"/>
    <x v="99"/>
    <s v="Muu sotsiaalsete riskirühmade kaitse"/>
    <s v="Sotsiaalne kaitse"/>
    <s v="Sotsiaalosakond"/>
    <s v="Varjupaik + Naiste Varjupaik"/>
    <n v="3000"/>
    <m/>
    <n v="413899"/>
    <s v="Muud sotsiaalabitoetused ja hüvitised"/>
    <n v="413"/>
    <s v="41"/>
    <s v="Antavad toetused tegevuskuludeks"/>
    <x v="4"/>
    <s v="Põhitegevuse kulu"/>
  </r>
  <r>
    <x v="9"/>
    <x v="104"/>
    <x v="99"/>
    <s v="Muu sotsiaalsete riskirühmade kaitse"/>
    <s v="Sotsiaalne kaitse"/>
    <s v="Sotsiaalosakond"/>
    <s v="Kauplusauto"/>
    <n v="7440"/>
    <s v="VKK Kaubandus; "/>
    <n v="413899"/>
    <s v="Muud sotsiaalabitoetused ja hüvitised"/>
    <n v="413"/>
    <s v="41"/>
    <s v="Antavad toetused tegevuskuludeks"/>
    <x v="4"/>
    <s v="Põhitegevuse kulu"/>
  </r>
  <r>
    <x v="9"/>
    <x v="105"/>
    <x v="100"/>
    <s v="Muu sotsiaalne kaitse, sh sotsiaalse kaitse haldus"/>
    <s v="Sotsiaalne kaitse"/>
    <s v="Sotsiaalosakond"/>
    <s v="Sotsiaali autode kulud+kompensatsioon"/>
    <n v="18500"/>
    <s v="kütus, liising, hooldused, kindlustus"/>
    <n v="5513"/>
    <s v="Sõidukite ülalpidamise kulud"/>
    <n v="55"/>
    <s v="55"/>
    <s v="Muud tegevuskulud"/>
    <x v="0"/>
    <s v="Põhitegevuse kulu"/>
  </r>
  <r>
    <x v="9"/>
    <x v="105"/>
    <x v="100"/>
    <s v="Muu sotsiaalne kaitse, sh sotsiaalse kaitse haldus"/>
    <s v="Sotsiaalne kaitse"/>
    <s v="Sotsiaalosakond"/>
    <s v="Mobiiltelefoni kulu "/>
    <n v="816"/>
    <m/>
    <n v="5500"/>
    <s v="Administreerimiskulud"/>
    <n v="55"/>
    <s v="55"/>
    <s v="Muud tegevuskulud"/>
    <x v="0"/>
    <s v="Põhitegevuse kulu"/>
  </r>
  <r>
    <x v="9"/>
    <x v="105"/>
    <x v="100"/>
    <s v="Muu sotsiaalne kaitse, sh sotsiaalse kaitse haldus"/>
    <s v="Sotsiaalne kaitse"/>
    <s v="Sotsiaalosakond"/>
    <s v="Koolituskulud"/>
    <n v="1500"/>
    <m/>
    <n v="5504"/>
    <s v="Koolituskulud"/>
    <n v="55"/>
    <s v="55"/>
    <s v="Muud tegevuskulud"/>
    <x v="0"/>
    <s v="Põhitegevuse kulu"/>
  </r>
  <r>
    <x v="9"/>
    <x v="105"/>
    <x v="100"/>
    <s v="Muu sotsiaalne kaitse, sh sotsiaalse kaitse haldus"/>
    <s v="Sotsiaalne kaitse"/>
    <s v="Sotsiaalosakond"/>
    <s v="Inventar"/>
    <n v="300"/>
    <m/>
    <n v="5515"/>
    <s v="Inventari kulud, v.a infotehnoloogia ja kaitseotstarbelised kulud"/>
    <n v="55"/>
    <s v="55"/>
    <s v="Muud tegevuskulud"/>
    <x v="0"/>
    <s v="Põhitegevuse kulu"/>
  </r>
  <r>
    <x v="9"/>
    <x v="105"/>
    <x v="100"/>
    <s v="Muu sotsiaalne kaitse, sh sotsiaalse kaitse haldus"/>
    <s v="Sotsiaalne kaitse"/>
    <s v="Sotsiaalosakond"/>
    <s v="Riigilõiv (20 in eestkoste vormistamiseks)"/>
    <n v="1000"/>
    <s v="+ lisatud MTÜ Eestkoste teenused riigilõiv 50€/kuu"/>
    <n v="601"/>
    <s v="Maksu-, riigilõivu- ja trahvikulud"/>
    <n v="60"/>
    <s v="60"/>
    <s v="Muud tegevuskulud"/>
    <x v="2"/>
    <s v="Põhitegevuse kulu"/>
  </r>
  <r>
    <x v="9"/>
    <x v="105"/>
    <x v="100"/>
    <s v="Muu sotsiaalne kaitse, sh sotsiaalse kaitse haldus"/>
    <s v="Sotsiaalne kaitse"/>
    <s v="Sotsiaalosakond"/>
    <s v="Projektides osalemised"/>
    <n v="2000"/>
    <m/>
    <n v="4500"/>
    <s v="Sihtotstarbelised eraldised jooksvateks kuludeks"/>
    <n v="4500"/>
    <s v="45"/>
    <s v="Antavad toetused tegevuskuludeks"/>
    <x v="3"/>
    <s v="Põhitegevuse kulu"/>
  </r>
  <r>
    <x v="9"/>
    <x v="105"/>
    <x v="100"/>
    <s v="Muu sotsiaalne kaitse, sh sotsiaalse kaitse haldus"/>
    <s v="Sotsiaalne kaitse"/>
    <s v="Sotsiaalosakond"/>
    <s v="Spordikulude hüvitamine"/>
    <n v="1600"/>
    <m/>
    <n v="5540"/>
    <s v="Mitmesugused majanduskulud"/>
    <n v="55"/>
    <s v="55"/>
    <s v="Muud tegevuskulud"/>
    <x v="0"/>
    <s v="Põhitegevuse kulu"/>
  </r>
  <r>
    <x v="9"/>
    <x v="105"/>
    <x v="100"/>
    <s v="Muu sotsiaalne kaitse, sh sotsiaalse kaitse haldus"/>
    <s v="Sotsiaalne kaitse"/>
    <s v="Sotsiaalosakond"/>
    <s v="IT vahendid"/>
    <n v="300"/>
    <m/>
    <n v="5514"/>
    <s v="Info- ja kommunikatsioonitehnoliigised kulud"/>
    <n v="55"/>
    <s v="55"/>
    <s v="Muud tegevuskulud"/>
    <x v="0"/>
    <s v="Põhitegevuse kulu"/>
  </r>
  <r>
    <x v="9"/>
    <x v="105"/>
    <x v="100"/>
    <s v="Muu sotsiaalne kaitse, sh sotsiaalse kaitse haldus"/>
    <s v="Sotsiaalne kaitse"/>
    <s v="Sotsiaalosakond"/>
    <s v="Kingitused valdkonna asutustele"/>
    <n v="1000"/>
    <m/>
    <n v="5500"/>
    <s v="Administreerimiskulud"/>
    <n v="55"/>
    <s v="55"/>
    <s v="Muud tegevuskulud"/>
    <x v="0"/>
    <s v="Põhitegevuse kulu"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count="410">
  <r>
    <x v="0"/>
    <x v="0"/>
    <x v="0"/>
    <x v="0"/>
    <s v="Vabaaeg, kultuur ja religioon"/>
    <s v="Roela Raamatukogu"/>
    <s v="juhataja"/>
    <n v="1"/>
    <s v="in"/>
    <n v="762"/>
    <n v="762"/>
    <n v="12"/>
    <m/>
    <n v="9144"/>
    <n v="3090.672"/>
    <m/>
  </r>
  <r>
    <x v="1"/>
    <x v="1"/>
    <x v="1"/>
    <x v="1"/>
    <s v="Haridus"/>
    <s v=" Roela kool"/>
    <s v="psüholoog"/>
    <n v="0.5"/>
    <m/>
    <n v="1250"/>
    <n v="625"/>
    <n v="5"/>
    <m/>
    <n v="3125"/>
    <n v="1056.25"/>
    <m/>
  </r>
  <r>
    <x v="1"/>
    <x v="1"/>
    <x v="1"/>
    <x v="1"/>
    <s v="Haridus"/>
    <s v=" Roela kool"/>
    <s v="eripedagoog/logopeed"/>
    <n v="0.32"/>
    <m/>
    <n v="1250"/>
    <n v="400"/>
    <n v="12"/>
    <m/>
    <n v="4800"/>
    <n v="1622.4"/>
    <m/>
  </r>
  <r>
    <x v="1"/>
    <x v="1"/>
    <x v="1"/>
    <x v="1"/>
    <s v="Haridus"/>
    <s v=" Roela kool"/>
    <s v="huvijuht"/>
    <n v="0.5"/>
    <m/>
    <n v="998"/>
    <n v="499"/>
    <n v="12"/>
    <m/>
    <n v="5988"/>
    <n v="2023.9440000000002"/>
    <m/>
  </r>
  <r>
    <x v="1"/>
    <x v="1"/>
    <x v="1"/>
    <x v="1"/>
    <s v="Haridus"/>
    <s v=" Roela kool"/>
    <s v="juhiabi/majandusjuht"/>
    <n v="1"/>
    <m/>
    <n v="951"/>
    <n v="951"/>
    <n v="12"/>
    <m/>
    <n v="11412"/>
    <n v="3857.2560000000003"/>
    <m/>
  </r>
  <r>
    <x v="1"/>
    <x v="1"/>
    <x v="1"/>
    <x v="1"/>
    <s v="Haridus"/>
    <s v=" Roela kool"/>
    <s v="ringijuhid "/>
    <n v="1.2"/>
    <m/>
    <n v="704"/>
    <n v="844.8"/>
    <n v="10"/>
    <m/>
    <n v="8448"/>
    <n v="2855.424"/>
    <m/>
  </r>
  <r>
    <x v="1"/>
    <x v="1"/>
    <x v="1"/>
    <x v="1"/>
    <s v="Haridus"/>
    <s v=" Roela kool"/>
    <s v="pikapäevarühma kasvatajad "/>
    <n v="0.45"/>
    <m/>
    <n v="704"/>
    <n v="316.8"/>
    <n v="10"/>
    <m/>
    <n v="3168"/>
    <n v="1070.7840000000001"/>
    <m/>
  </r>
  <r>
    <x v="1"/>
    <x v="2"/>
    <x v="2"/>
    <x v="2"/>
    <s v="Haridus"/>
    <s v=" Roela kool"/>
    <s v="lasteaia abiõpetajad"/>
    <n v="1"/>
    <m/>
    <n v="660"/>
    <n v="660"/>
    <n v="12"/>
    <m/>
    <n v="7920"/>
    <n v="2676.96"/>
    <m/>
  </r>
  <r>
    <x v="1"/>
    <x v="2"/>
    <x v="2"/>
    <x v="2"/>
    <s v="Haridus"/>
    <s v=" Roela kool"/>
    <s v="lasteaia abiõpetajad"/>
    <n v="1"/>
    <m/>
    <n v="758"/>
    <n v="758"/>
    <n v="12"/>
    <m/>
    <n v="9096"/>
    <n v="3074.4480000000003"/>
    <m/>
  </r>
  <r>
    <x v="1"/>
    <x v="2"/>
    <x v="2"/>
    <x v="2"/>
    <s v="Haridus"/>
    <s v=" Roela kool"/>
    <s v="lasteaia õpetajad"/>
    <n v="3.39"/>
    <m/>
    <n v="1315"/>
    <n v="4457.8500000000004"/>
    <n v="12"/>
    <m/>
    <n v="53494.200000000004"/>
    <n v="18081.039600000004"/>
    <m/>
  </r>
  <r>
    <x v="1"/>
    <x v="2"/>
    <x v="2"/>
    <x v="2"/>
    <s v="Haridus"/>
    <s v=" Roela kool"/>
    <s v="LA logopeed"/>
    <n v="0.15"/>
    <m/>
    <n v="1315"/>
    <n v="197.25"/>
    <n v="12"/>
    <m/>
    <n v="2367"/>
    <n v="800.04600000000005"/>
    <m/>
  </r>
  <r>
    <x v="1"/>
    <x v="2"/>
    <x v="2"/>
    <x v="2"/>
    <s v="Haridus"/>
    <s v=" Roela kool"/>
    <s v="LA muusikaõpetaja"/>
    <n v="0.25"/>
    <m/>
    <n v="1315"/>
    <n v="328.75"/>
    <n v="12"/>
    <m/>
    <n v="3945"/>
    <n v="1333.41"/>
    <m/>
  </r>
  <r>
    <x v="1"/>
    <x v="2"/>
    <x v="2"/>
    <x v="2"/>
    <s v="Haridus"/>
    <s v=" Roela kool"/>
    <s v="LA liikumisõpetaja"/>
    <n v="0.15"/>
    <m/>
    <n v="1315"/>
    <n v="197.25"/>
    <n v="12"/>
    <m/>
    <n v="2367"/>
    <n v="800.04600000000005"/>
    <m/>
  </r>
  <r>
    <x v="1"/>
    <x v="2"/>
    <x v="2"/>
    <x v="2"/>
    <s v="Haridus"/>
    <s v=" Roela kool"/>
    <s v="lasteaia abitööline"/>
    <n v="0.5"/>
    <m/>
    <n v="584"/>
    <n v="292"/>
    <n v="12"/>
    <m/>
    <n v="3504"/>
    <n v="1184.3520000000001"/>
    <m/>
  </r>
  <r>
    <x v="1"/>
    <x v="1"/>
    <x v="1"/>
    <x v="1"/>
    <s v="Haridus"/>
    <s v=" Roela kool"/>
    <s v="majahoidja"/>
    <n v="0.6"/>
    <m/>
    <n v="584"/>
    <n v="350.4"/>
    <n v="12"/>
    <m/>
    <n v="4204.7999999999993"/>
    <n v="1421.2223999999999"/>
    <m/>
  </r>
  <r>
    <x v="1"/>
    <x v="1"/>
    <x v="1"/>
    <x v="1"/>
    <s v="Haridus"/>
    <s v=" Roela kool"/>
    <s v="abitööline"/>
    <n v="0.5"/>
    <m/>
    <n v="584"/>
    <n v="292"/>
    <n v="12"/>
    <m/>
    <n v="3504"/>
    <n v="1184.3520000000001"/>
    <m/>
  </r>
  <r>
    <x v="1"/>
    <x v="1"/>
    <x v="1"/>
    <x v="1"/>
    <s v="Haridus"/>
    <s v=" Roela kool"/>
    <s v="remonditööline"/>
    <n v="1"/>
    <m/>
    <n v="584"/>
    <n v="584"/>
    <n v="12"/>
    <m/>
    <n v="7008"/>
    <n v="2368.7040000000002"/>
    <m/>
  </r>
  <r>
    <x v="1"/>
    <x v="1"/>
    <x v="1"/>
    <x v="1"/>
    <s v="Haridus"/>
    <s v=" Roela kool"/>
    <s v="koristajad"/>
    <n v="4.4000000000000004"/>
    <m/>
    <n v="584"/>
    <n v="2569.6000000000004"/>
    <n v="12"/>
    <m/>
    <n v="30835.200000000004"/>
    <n v="10422.297600000002"/>
    <m/>
  </r>
  <r>
    <x v="1"/>
    <x v="1"/>
    <x v="1"/>
    <x v="1"/>
    <s v="Haridus"/>
    <s v=" Roela kool"/>
    <s v="bussijuht"/>
    <n v="0.5"/>
    <m/>
    <n v="735"/>
    <n v="367.5"/>
    <n v="12"/>
    <n v="1800"/>
    <n v="6210"/>
    <n v="2098.98"/>
    <m/>
  </r>
  <r>
    <x v="1"/>
    <x v="1"/>
    <x v="1"/>
    <x v="1"/>
    <s v="Haridus"/>
    <s v=" Roela kool"/>
    <s v="kokk"/>
    <n v="1"/>
    <m/>
    <n v="760"/>
    <n v="760"/>
    <n v="12"/>
    <m/>
    <n v="9120"/>
    <n v="3082.5600000000004"/>
    <m/>
  </r>
  <r>
    <x v="1"/>
    <x v="1"/>
    <x v="1"/>
    <x v="1"/>
    <s v="Haridus"/>
    <s v=" Roela kool"/>
    <s v="ÕK toitlustamine (9 kuud)"/>
    <m/>
    <m/>
    <m/>
    <n v="0"/>
    <n v="12"/>
    <n v="576"/>
    <n v="576"/>
    <n v="194.68800000000002"/>
    <m/>
  </r>
  <r>
    <x v="1"/>
    <x v="1"/>
    <x v="1"/>
    <x v="1"/>
    <s v="Haridus"/>
    <s v=" Roela kool"/>
    <s v="köögi abitööline"/>
    <n v="1"/>
    <m/>
    <n v="584"/>
    <n v="584"/>
    <n v="12"/>
    <m/>
    <n v="7008"/>
    <n v="2368.7040000000002"/>
    <m/>
  </r>
  <r>
    <x v="1"/>
    <x v="1"/>
    <x v="1"/>
    <x v="1"/>
    <s v="Haridus"/>
    <s v=" Roela kool"/>
    <s v="ÕK toitlustamine (9 kuud)"/>
    <m/>
    <m/>
    <m/>
    <n v="0"/>
    <n v="12"/>
    <n v="117"/>
    <n v="117"/>
    <n v="39.545999999999999"/>
    <m/>
  </r>
  <r>
    <x v="2"/>
    <x v="3"/>
    <x v="3"/>
    <x v="3"/>
    <s v="Sotsiaalne kaitse"/>
    <s v="Vinni Päevakeskus"/>
    <s v="perenaine"/>
    <n v="1"/>
    <m/>
    <n v="584"/>
    <n v="584"/>
    <n v="12"/>
    <m/>
    <n v="7008"/>
    <n v="2368.7040000000002"/>
    <m/>
  </r>
  <r>
    <x v="3"/>
    <x v="4"/>
    <x v="4"/>
    <x v="4"/>
    <s v="Üldised valitsussektori teenused"/>
    <s v="Finantsosakond"/>
    <s v="finantsjuht"/>
    <n v="1"/>
    <m/>
    <n v="2000"/>
    <n v="2000"/>
    <n v="12"/>
    <m/>
    <n v="24000"/>
    <n v="8112.0000000000009"/>
    <m/>
  </r>
  <r>
    <x v="3"/>
    <x v="4"/>
    <x v="4"/>
    <x v="4"/>
    <s v="Üldised valitsussektori teenused"/>
    <s v="Finantsosakond"/>
    <s v="pearaamatupidaja"/>
    <n v="1"/>
    <m/>
    <n v="1750"/>
    <n v="1750"/>
    <n v="12"/>
    <m/>
    <n v="21000"/>
    <n v="7098.0000000000009"/>
    <m/>
  </r>
  <r>
    <x v="3"/>
    <x v="4"/>
    <x v="4"/>
    <x v="4"/>
    <s v="Üldised valitsussektori teenused"/>
    <s v="Finantsosakond"/>
    <s v="raamatupidaja"/>
    <n v="2"/>
    <m/>
    <n v="1250"/>
    <n v="2500"/>
    <n v="12"/>
    <m/>
    <n v="30000"/>
    <n v="10140"/>
    <m/>
  </r>
  <r>
    <x v="0"/>
    <x v="5"/>
    <x v="5"/>
    <x v="5"/>
    <s v="Vabaaeg, kultuur ja religioon"/>
    <s v="Muuga Spordihoone"/>
    <s v="juhataja"/>
    <n v="1"/>
    <m/>
    <n v="700"/>
    <n v="700"/>
    <n v="12"/>
    <m/>
    <n v="8400"/>
    <n v="2839.2000000000003"/>
    <m/>
  </r>
  <r>
    <x v="0"/>
    <x v="5"/>
    <x v="5"/>
    <x v="5"/>
    <s v="Vabaaeg, kultuur ja religioon"/>
    <s v="Muuga Spordihoone"/>
    <s v="majahoidja"/>
    <n v="1"/>
    <m/>
    <n v="584"/>
    <n v="584"/>
    <n v="12"/>
    <m/>
    <n v="7008"/>
    <n v="2368.7040000000002"/>
    <m/>
  </r>
  <r>
    <x v="0"/>
    <x v="5"/>
    <x v="5"/>
    <x v="5"/>
    <s v="Vabaaeg, kultuur ja religioon"/>
    <s v="Muuga Spordihoone"/>
    <s v="Puhkuse asendamine juhatajal"/>
    <m/>
    <m/>
    <m/>
    <n v="0"/>
    <n v="1"/>
    <n v="360"/>
    <n v="360"/>
    <n v="121.68"/>
    <m/>
  </r>
  <r>
    <x v="0"/>
    <x v="5"/>
    <x v="5"/>
    <x v="5"/>
    <s v="Vabaaeg, kultuur ja religioon"/>
    <s v="Muuga Spordihoone"/>
    <s v="Puhkuse asendamine majahoidjal"/>
    <m/>
    <m/>
    <m/>
    <n v="0"/>
    <n v="1"/>
    <n v="215"/>
    <n v="215"/>
    <n v="72.67"/>
    <m/>
  </r>
  <r>
    <x v="0"/>
    <x v="6"/>
    <x v="6"/>
    <x v="0"/>
    <s v="Vabaaeg, kultuur ja religioon"/>
    <s v="Laekvere raamatukogu"/>
    <s v="direktor"/>
    <n v="1"/>
    <m/>
    <n v="966"/>
    <n v="966"/>
    <n v="12"/>
    <m/>
    <n v="11592"/>
    <n v="3918.0960000000005"/>
    <m/>
  </r>
  <r>
    <x v="0"/>
    <x v="6"/>
    <x v="6"/>
    <x v="0"/>
    <s v="Vabaaeg, kultuur ja religioon"/>
    <s v="Laekvere raamatukogu"/>
    <s v="raamatukoguhoidja"/>
    <n v="1"/>
    <m/>
    <n v="736"/>
    <n v="736"/>
    <n v="12"/>
    <m/>
    <n v="8832"/>
    <n v="2985.2160000000003"/>
    <m/>
  </r>
  <r>
    <x v="0"/>
    <x v="7"/>
    <x v="7"/>
    <x v="5"/>
    <s v="Vabaaeg, kultuur ja religioon"/>
    <s v="Arendusnõunik"/>
    <s v="Vinni staadioni hooldus 5 kuud a`6 €/h x 168 tundi"/>
    <n v="1"/>
    <m/>
    <n v="1008"/>
    <n v="1008"/>
    <n v="5"/>
    <m/>
    <n v="5040"/>
    <n v="1703.5200000000002"/>
    <m/>
  </r>
  <r>
    <x v="2"/>
    <x v="8"/>
    <x v="8"/>
    <x v="6"/>
    <s v="Sotsiaalne kaitse"/>
    <s v="Sotsiaalosakond"/>
    <s v="Hooldustöötaja (Maalman) eakad"/>
    <n v="1"/>
    <m/>
    <n v="584"/>
    <n v="584"/>
    <n v="12"/>
    <m/>
    <n v="7008"/>
    <n v="2368.7040000000002"/>
    <m/>
  </r>
  <r>
    <x v="2"/>
    <x v="8"/>
    <x v="8"/>
    <x v="6"/>
    <s v="Sotsiaalne kaitse"/>
    <s v="Sotsiaalosakond"/>
    <s v="Hooldustöötaja (asendus)"/>
    <n v="1"/>
    <m/>
    <n v="723"/>
    <n v="723"/>
    <n v="1"/>
    <m/>
    <n v="723"/>
    <n v="244.37400000000002"/>
    <m/>
  </r>
  <r>
    <x v="2"/>
    <x v="8"/>
    <x v="8"/>
    <x v="6"/>
    <s v="Sotsiaalne kaitse"/>
    <s v="Sotsiaalosakond"/>
    <s v="Hooldustöötaja (Muldma)"/>
    <n v="1"/>
    <m/>
    <n v="600"/>
    <n v="600"/>
    <n v="12"/>
    <m/>
    <n v="7200"/>
    <n v="2433.6000000000004"/>
    <m/>
  </r>
  <r>
    <x v="2"/>
    <x v="8"/>
    <x v="8"/>
    <x v="6"/>
    <s v="Sotsiaalne kaitse"/>
    <s v="Sotsiaalosakond"/>
    <s v="Hooldustöötaja (asendus)"/>
    <n v="1"/>
    <m/>
    <n v="803"/>
    <n v="803"/>
    <n v="1"/>
    <m/>
    <n v="803"/>
    <n v="271.41400000000004"/>
    <m/>
  </r>
  <r>
    <x v="2"/>
    <x v="8"/>
    <x v="8"/>
    <x v="6"/>
    <s v="Sotsiaalne kaitse"/>
    <s v="Sotsiaalosakond"/>
    <s v="Hooldustöötaja (Anier)"/>
    <n v="1"/>
    <m/>
    <n v="630"/>
    <n v="630"/>
    <n v="12"/>
    <m/>
    <n v="7560"/>
    <n v="2555.2800000000002"/>
    <m/>
  </r>
  <r>
    <x v="2"/>
    <x v="8"/>
    <x v="8"/>
    <x v="6"/>
    <s v="Sotsiaalne kaitse"/>
    <s v="Sotsiaalosakond"/>
    <s v="Hooldustöötaja (asendus)"/>
    <n v="1"/>
    <m/>
    <n v="977"/>
    <n v="977"/>
    <n v="1"/>
    <m/>
    <n v="977"/>
    <n v="330.226"/>
    <m/>
  </r>
  <r>
    <x v="2"/>
    <x v="9"/>
    <x v="9"/>
    <x v="7"/>
    <s v="Sotsiaalne kaitse"/>
    <s v="Sotsiaalosakond"/>
    <s v="Sotsiaalteenistuse juhataja (palk)"/>
    <n v="1"/>
    <m/>
    <n v="2000"/>
    <n v="2000"/>
    <n v="12"/>
    <m/>
    <n v="24000"/>
    <n v="8112.0000000000009"/>
    <m/>
  </r>
  <r>
    <x v="2"/>
    <x v="9"/>
    <x v="9"/>
    <x v="7"/>
    <s v="Sotsiaalne kaitse"/>
    <s v="Sotsiaalosakond"/>
    <s v="Sotsiaaltööspetsialist"/>
    <n v="2"/>
    <m/>
    <n v="1200"/>
    <n v="2400"/>
    <n v="12"/>
    <m/>
    <n v="28800"/>
    <n v="9734.4000000000015"/>
    <m/>
  </r>
  <r>
    <x v="2"/>
    <x v="9"/>
    <x v="9"/>
    <x v="7"/>
    <s v="Sotsiaalne kaitse"/>
    <s v="Sotsiaalosakond"/>
    <s v="Sotsiaaltööspetsialist"/>
    <n v="1"/>
    <m/>
    <n v="1560"/>
    <n v="1560"/>
    <n v="12"/>
    <m/>
    <n v="18720"/>
    <n v="6327.3600000000006"/>
    <m/>
  </r>
  <r>
    <x v="2"/>
    <x v="9"/>
    <x v="9"/>
    <x v="7"/>
    <s v="Sotsiaalne kaitse"/>
    <s v="Sotsiaalosakond"/>
    <s v="Lasteheaoluspetsialist "/>
    <n v="1"/>
    <m/>
    <n v="1560"/>
    <n v="1560"/>
    <n v="12"/>
    <m/>
    <n v="18720"/>
    <n v="6327.3600000000006"/>
    <m/>
  </r>
  <r>
    <x v="0"/>
    <x v="10"/>
    <x v="10"/>
    <x v="8"/>
    <s v="Vabaaeg, kultuur ja religioon"/>
    <s v="Noorsoo- ja spordinõunik"/>
    <s v="Laste töö- ja puhkelaagri töötasud"/>
    <n v="1"/>
    <m/>
    <n v="10687.59"/>
    <n v="10687.59"/>
    <n v="1"/>
    <m/>
    <n v="10687.59"/>
    <n v="3612.4054200000005"/>
    <m/>
  </r>
  <r>
    <x v="0"/>
    <x v="11"/>
    <x v="11"/>
    <x v="8"/>
    <s v="Vabaaeg, kultuur ja religioon"/>
    <s v="Noorsoo- ja spordinõunik"/>
    <s v="Noorsoo- ja spordinõunik"/>
    <n v="1"/>
    <m/>
    <n v="1560"/>
    <n v="1560"/>
    <n v="12"/>
    <m/>
    <n v="18720"/>
    <n v="6327.3600000000006"/>
    <m/>
  </r>
  <r>
    <x v="3"/>
    <x v="12"/>
    <x v="12"/>
    <x v="9"/>
    <s v="Üldised valitsussektori teenused"/>
    <s v="Vinni valla valimiskomisjon"/>
    <s v="komisjon 5-liikmeline, 30 h "/>
    <n v="1"/>
    <s v="in"/>
    <n v="255"/>
    <n v="255"/>
    <n v="1"/>
    <m/>
    <n v="255"/>
    <n v="86.190000000000012"/>
    <m/>
  </r>
  <r>
    <x v="1"/>
    <x v="13"/>
    <x v="13"/>
    <x v="10"/>
    <s v="Haridus"/>
    <s v="Teede- ja ühistranspordinõunik"/>
    <s v="Bussijuht"/>
    <n v="1"/>
    <m/>
    <n v="1000"/>
    <n v="1000"/>
    <n v="12"/>
    <m/>
    <n v="12000"/>
    <n v="4056.0000000000005"/>
    <m/>
  </r>
  <r>
    <x v="3"/>
    <x v="4"/>
    <x v="4"/>
    <x v="4"/>
    <s v="Üldised valitsussektori teenused"/>
    <s v="Vallavanem"/>
    <s v="Vallavanem"/>
    <n v="1"/>
    <m/>
    <n v="2800"/>
    <n v="2800"/>
    <n v="12"/>
    <m/>
    <n v="33600"/>
    <n v="11356.800000000001"/>
    <m/>
  </r>
  <r>
    <x v="3"/>
    <x v="4"/>
    <x v="4"/>
    <x v="4"/>
    <s v="Üldised valitsussektori teenused"/>
    <s v="Vallavanem"/>
    <s v="Abivallavanem"/>
    <n v="1"/>
    <m/>
    <n v="2200"/>
    <n v="2200"/>
    <n v="12"/>
    <m/>
    <n v="26400"/>
    <n v="8923.2000000000007"/>
    <m/>
  </r>
  <r>
    <x v="3"/>
    <x v="4"/>
    <x v="4"/>
    <x v="4"/>
    <s v="Üldised valitsussektori teenused"/>
    <s v="Vallavanem"/>
    <s v="Vallasekretär"/>
    <n v="1"/>
    <m/>
    <n v="2000"/>
    <n v="2000"/>
    <n v="12"/>
    <m/>
    <n v="24000"/>
    <n v="8112.0000000000009"/>
    <m/>
  </r>
  <r>
    <x v="3"/>
    <x v="4"/>
    <x v="4"/>
    <x v="4"/>
    <s v="Üldised valitsussektori teenused"/>
    <s v="Vallavanem"/>
    <s v="Juhiabi"/>
    <n v="1"/>
    <m/>
    <n v="1250"/>
    <n v="1250"/>
    <n v="12"/>
    <m/>
    <n v="15000"/>
    <n v="5070"/>
    <m/>
  </r>
  <r>
    <x v="3"/>
    <x v="4"/>
    <x v="4"/>
    <x v="4"/>
    <s v="Üldised valitsussektori teenused"/>
    <s v="Vallavanem"/>
    <s v="Jurist"/>
    <n v="1"/>
    <m/>
    <n v="1750"/>
    <n v="1750"/>
    <n v="12"/>
    <m/>
    <n v="21000"/>
    <n v="7098.0000000000009"/>
    <m/>
  </r>
  <r>
    <x v="3"/>
    <x v="4"/>
    <x v="4"/>
    <x v="4"/>
    <s v="Üldised valitsussektori teenused"/>
    <s v="Vallavanem"/>
    <s v="Kantseleispetsialist"/>
    <n v="2"/>
    <m/>
    <n v="1250"/>
    <n v="2500"/>
    <n v="12"/>
    <m/>
    <n v="30000"/>
    <n v="10140"/>
    <m/>
  </r>
  <r>
    <x v="3"/>
    <x v="14"/>
    <x v="14"/>
    <x v="11"/>
    <s v="Üldised valitsussektori teenused"/>
    <s v="Volikogu esimees"/>
    <s v="Volikogu esimees"/>
    <n v="1"/>
    <m/>
    <n v="1000"/>
    <n v="1000"/>
    <n v="12"/>
    <m/>
    <n v="12000"/>
    <n v="4056.0000000000005"/>
    <m/>
  </r>
  <r>
    <x v="3"/>
    <x v="14"/>
    <x v="14"/>
    <x v="11"/>
    <s v="Üldised valitsussektori teenused"/>
    <s v="Volikogu esimees"/>
    <s v="Komisjonide esimehed"/>
    <n v="4"/>
    <s v="in"/>
    <n v="90"/>
    <n v="360"/>
    <n v="11"/>
    <m/>
    <n v="3960"/>
    <n v="1338.48"/>
    <m/>
  </r>
  <r>
    <x v="3"/>
    <x v="14"/>
    <x v="14"/>
    <x v="11"/>
    <s v="Üldised valitsussektori teenused"/>
    <s v="Volikogu esimees"/>
    <s v="Volikogu liikmed"/>
    <n v="16"/>
    <s v="in"/>
    <n v="40"/>
    <n v="640"/>
    <n v="5"/>
    <m/>
    <n v="3200"/>
    <n v="1081.6000000000001"/>
    <m/>
  </r>
  <r>
    <x v="3"/>
    <x v="14"/>
    <x v="14"/>
    <x v="11"/>
    <s v="Üldised valitsussektori teenused"/>
    <s v="Volikogu esimees"/>
    <s v="Komisjonide liikmed"/>
    <n v="39"/>
    <s v="in"/>
    <n v="40"/>
    <n v="1560"/>
    <n v="4.5"/>
    <m/>
    <n v="7020"/>
    <n v="2372.7600000000002"/>
    <m/>
  </r>
  <r>
    <x v="3"/>
    <x v="14"/>
    <x v="14"/>
    <x v="11"/>
    <s v="Üldised valitsussektori teenused"/>
    <s v="Volikogu esimees"/>
    <s v="Protokollija"/>
    <n v="1"/>
    <m/>
    <m/>
    <n v="0"/>
    <m/>
    <n v="900"/>
    <n v="900"/>
    <n v="304.20000000000005"/>
    <m/>
  </r>
  <r>
    <x v="4"/>
    <x v="15"/>
    <x v="15"/>
    <x v="12"/>
    <s v="Majandus"/>
    <s v="Vallavanem"/>
    <s v="Ehitusnõunik"/>
    <n v="1"/>
    <m/>
    <n v="1750"/>
    <n v="1750"/>
    <n v="12"/>
    <m/>
    <n v="21000"/>
    <n v="7098.0000000000009"/>
    <m/>
  </r>
  <r>
    <x v="4"/>
    <x v="15"/>
    <x v="15"/>
    <x v="12"/>
    <s v="Majandus"/>
    <s v="Vallavanem"/>
    <s v="Maanõunik"/>
    <n v="1"/>
    <m/>
    <n v="1560"/>
    <n v="1560"/>
    <n v="12"/>
    <m/>
    <n v="18720"/>
    <n v="6327.3600000000006"/>
    <m/>
  </r>
  <r>
    <x v="4"/>
    <x v="15"/>
    <x v="15"/>
    <x v="12"/>
    <s v="Majandus"/>
    <s v="Vallavanem"/>
    <s v="Arendusnõunik"/>
    <n v="1"/>
    <m/>
    <n v="1560"/>
    <n v="1560"/>
    <n v="12"/>
    <m/>
    <n v="18720"/>
    <n v="6327.3600000000006"/>
    <m/>
  </r>
  <r>
    <x v="4"/>
    <x v="15"/>
    <x v="15"/>
    <x v="12"/>
    <s v="Majandus"/>
    <s v="Vallavanem"/>
    <s v="Keskkonna- ja kommunaalnõunik"/>
    <n v="0.75"/>
    <m/>
    <n v="1650"/>
    <n v="1237.5"/>
    <n v="12"/>
    <m/>
    <n v="14850"/>
    <n v="5019.3"/>
    <m/>
  </r>
  <r>
    <x v="5"/>
    <x v="16"/>
    <x v="16"/>
    <x v="13"/>
    <s v="Elamu- ja kommunaalmajandus"/>
    <s v="Laekvere piirkond"/>
    <s v="Haldusjuht"/>
    <n v="1"/>
    <m/>
    <n v="1560"/>
    <n v="1560"/>
    <n v="12"/>
    <m/>
    <n v="18720"/>
    <n v="6327.3600000000006"/>
    <m/>
  </r>
  <r>
    <x v="5"/>
    <x v="16"/>
    <x v="16"/>
    <x v="13"/>
    <s v="Elamu- ja kommunaalmajandus"/>
    <s v="Laekvere piirkond"/>
    <s v="Traktorist-majandustööline "/>
    <n v="1"/>
    <m/>
    <n v="900"/>
    <n v="900"/>
    <n v="12"/>
    <m/>
    <n v="10800"/>
    <n v="3650.4"/>
    <m/>
  </r>
  <r>
    <x v="5"/>
    <x v="16"/>
    <x v="16"/>
    <x v="13"/>
    <s v="Elamu- ja kommunaalmajandus"/>
    <s v="Laekvere piirkond"/>
    <s v="Heakorra-ja remonditööline"/>
    <n v="1"/>
    <m/>
    <n v="900"/>
    <n v="900"/>
    <n v="12"/>
    <m/>
    <n v="10800"/>
    <n v="3650.4"/>
    <m/>
  </r>
  <r>
    <x v="5"/>
    <x v="16"/>
    <x v="16"/>
    <x v="13"/>
    <s v="Elamu- ja kommunaalmajandus"/>
    <s v="Laekvere piirkond"/>
    <s v="Majahoidja"/>
    <n v="1"/>
    <m/>
    <n v="584"/>
    <n v="584"/>
    <n v="12"/>
    <m/>
    <n v="7008"/>
    <n v="2368.7040000000002"/>
    <m/>
  </r>
  <r>
    <x v="5"/>
    <x v="16"/>
    <x v="16"/>
    <x v="13"/>
    <s v="Elamu- ja kommunaalmajandus"/>
    <s v="Laekvere piirkond"/>
    <s v="Koristaja -majahoidja"/>
    <n v="1"/>
    <m/>
    <n v="584"/>
    <n v="584"/>
    <n v="12"/>
    <m/>
    <n v="7008"/>
    <n v="2368.7040000000002"/>
    <m/>
  </r>
  <r>
    <x v="5"/>
    <x v="16"/>
    <x v="16"/>
    <x v="13"/>
    <s v="Elamu- ja kommunaalmajandus"/>
    <s v="Laekvere piirkond"/>
    <s v="Trimmerdaja (suvel)"/>
    <n v="1"/>
    <m/>
    <m/>
    <n v="0"/>
    <m/>
    <n v="2100"/>
    <n v="2100"/>
    <n v="709.80000000000007"/>
    <m/>
  </r>
  <r>
    <x v="5"/>
    <x v="17"/>
    <x v="17"/>
    <x v="13"/>
    <s v="Elamu- ja kommunaalmajandus"/>
    <s v="Rägavere piirkond"/>
    <s v="Haldusjuht"/>
    <n v="1"/>
    <m/>
    <n v="1560"/>
    <n v="1560"/>
    <n v="12"/>
    <m/>
    <n v="18720"/>
    <n v="6327.3600000000006"/>
    <m/>
  </r>
  <r>
    <x v="5"/>
    <x v="17"/>
    <x v="17"/>
    <x v="13"/>
    <s v="Elamu- ja kommunaalmajandus"/>
    <s v="Rägavere piirkond"/>
    <s v="Majahoidja"/>
    <n v="0.5"/>
    <m/>
    <n v="584"/>
    <n v="292"/>
    <n v="12"/>
    <m/>
    <n v="3504"/>
    <n v="1184.3520000000001"/>
    <m/>
  </r>
  <r>
    <x v="5"/>
    <x v="17"/>
    <x v="17"/>
    <x v="13"/>
    <s v="Elamu- ja kommunaalmajandus"/>
    <s v="Rägavere piirkond"/>
    <s v="Lepinguliste töötajate töötasu"/>
    <n v="90"/>
    <s v="tundi"/>
    <n v="5"/>
    <n v="450"/>
    <n v="10"/>
    <m/>
    <n v="4500"/>
    <n v="1521"/>
    <m/>
  </r>
  <r>
    <x v="5"/>
    <x v="18"/>
    <x v="18"/>
    <x v="13"/>
    <s v="Elamu- ja kommunaalmajandus"/>
    <s v="Roela piirkond"/>
    <s v="heakorratööline"/>
    <n v="15"/>
    <s v="tundi"/>
    <n v="6"/>
    <n v="90"/>
    <n v="12"/>
    <m/>
    <n v="1080"/>
    <n v="365.04"/>
    <m/>
  </r>
  <r>
    <x v="5"/>
    <x v="18"/>
    <x v="18"/>
    <x v="13"/>
    <s v="Elamu- ja kommunaalmajandus"/>
    <s v="Roela piirkond"/>
    <s v="heakorratööline"/>
    <n v="80"/>
    <s v="tundi"/>
    <n v="3.21"/>
    <n v="256.8"/>
    <n v="12"/>
    <m/>
    <n v="3081.6000000000004"/>
    <n v="1041.5808000000002"/>
    <m/>
  </r>
  <r>
    <x v="5"/>
    <x v="18"/>
    <x v="18"/>
    <x v="13"/>
    <s v="Elamu- ja kommunaalmajandus"/>
    <s v="Roela piirkond"/>
    <s v="trimmerdaja"/>
    <n v="120"/>
    <s v="tundi"/>
    <n v="5"/>
    <n v="600"/>
    <n v="3"/>
    <m/>
    <n v="1800"/>
    <n v="608.40000000000009"/>
    <m/>
  </r>
  <r>
    <x v="5"/>
    <x v="19"/>
    <x v="19"/>
    <x v="13"/>
    <s v="Elamu- ja kommunaalmajandus"/>
    <s v="Tudu piirkond"/>
    <s v="kütja"/>
    <n v="2"/>
    <s v="in"/>
    <n v="270"/>
    <n v="540"/>
    <n v="12"/>
    <m/>
    <n v="6480"/>
    <n v="2190.2400000000002"/>
    <m/>
  </r>
  <r>
    <x v="5"/>
    <x v="20"/>
    <x v="20"/>
    <x v="13"/>
    <s v="Elamu- ja kommunaalmajandus"/>
    <s v="Viru-Jaagupi piirkond"/>
    <s v="Haldusjuht"/>
    <n v="1"/>
    <m/>
    <n v="1560"/>
    <n v="1560"/>
    <n v="12"/>
    <m/>
    <n v="18720"/>
    <n v="6327.3600000000006"/>
    <m/>
  </r>
  <r>
    <x v="5"/>
    <x v="20"/>
    <x v="20"/>
    <x v="13"/>
    <s v="Elamu- ja kommunaalmajandus"/>
    <s v="Viru-Jaagupi piirkond"/>
    <s v="koolimaja koristaja/saunakütja"/>
    <n v="1"/>
    <m/>
    <n v="584"/>
    <n v="584"/>
    <n v="12"/>
    <m/>
    <n v="7008"/>
    <n v="2368.7040000000002"/>
    <m/>
  </r>
  <r>
    <x v="5"/>
    <x v="20"/>
    <x v="20"/>
    <x v="13"/>
    <s v="Elamu- ja kommunaalmajandus"/>
    <s v="Viru-Jaagupi piirkond"/>
    <s v="heakorratööline"/>
    <n v="160"/>
    <s v="tundi"/>
    <n v="3.21"/>
    <n v="513.6"/>
    <n v="12"/>
    <m/>
    <n v="6163.2000000000007"/>
    <n v="2083.1616000000004"/>
    <m/>
  </r>
  <r>
    <x v="5"/>
    <x v="20"/>
    <x v="20"/>
    <x v="13"/>
    <s v="Elamu- ja kommunaalmajandus"/>
    <s v="Viru-Jaagupi piirkond"/>
    <s v="trimmerdaja"/>
    <n v="120"/>
    <s v="tundi"/>
    <n v="5"/>
    <n v="600"/>
    <n v="3"/>
    <m/>
    <n v="1800"/>
    <n v="608.40000000000009"/>
    <m/>
  </r>
  <r>
    <x v="5"/>
    <x v="20"/>
    <x v="20"/>
    <x v="13"/>
    <s v="Elamu- ja kommunaalmajandus"/>
    <s v="Viru-Jaagupi piirkond"/>
    <s v="koolimaja kütja"/>
    <n v="990"/>
    <s v="tundi"/>
    <n v="3.5"/>
    <n v="3465"/>
    <n v="1"/>
    <m/>
    <n v="3465"/>
    <n v="1171.17"/>
    <s v="aasta tundide maht"/>
  </r>
  <r>
    <x v="5"/>
    <x v="21"/>
    <x v="21"/>
    <x v="13"/>
    <s v="Elamu- ja kommunaalmajandus"/>
    <s v="Viru-Jaagupi piirkonna juht"/>
    <s v="Tudu saun koristaja"/>
    <n v="0.5"/>
    <m/>
    <n v="584"/>
    <n v="292"/>
    <n v="12"/>
    <m/>
    <n v="3504"/>
    <n v="1184.3520000000001"/>
    <m/>
  </r>
  <r>
    <x v="5"/>
    <x v="21"/>
    <x v="21"/>
    <x v="13"/>
    <s v="Elamu- ja kommunaalmajandus"/>
    <s v="Viru-Jaagupi piirkonna juht"/>
    <s v="Tudu sauna kütja"/>
    <n v="1"/>
    <m/>
    <n v="584"/>
    <n v="584"/>
    <n v="12"/>
    <m/>
    <n v="7008"/>
    <n v="2368.7040000000002"/>
    <m/>
  </r>
  <r>
    <x v="5"/>
    <x v="21"/>
    <x v="21"/>
    <x v="13"/>
    <s v="Elamu- ja kommunaalmajandus"/>
    <s v="Viru-Jaagupi piirkonna juht"/>
    <s v="Küti saun"/>
    <n v="0.25"/>
    <m/>
    <n v="584"/>
    <n v="146"/>
    <n v="12"/>
    <m/>
    <n v="1752"/>
    <n v="592.17600000000004"/>
    <m/>
  </r>
  <r>
    <x v="5"/>
    <x v="22"/>
    <x v="22"/>
    <x v="13"/>
    <s v="Elamu- ja kommunaalmajandus"/>
    <s v="Viru-Jaagupi piirkonna juht"/>
    <s v="Tudu kalmistuvaht"/>
    <n v="2"/>
    <m/>
    <n v="292"/>
    <n v="584"/>
    <n v="12"/>
    <m/>
    <n v="7008"/>
    <n v="2368.7040000000002"/>
    <m/>
  </r>
  <r>
    <x v="5"/>
    <x v="22"/>
    <x v="22"/>
    <x v="13"/>
    <s v="Elamu- ja kommunaalmajandus"/>
    <s v="Viru-Jaagupi piirkonna juht"/>
    <s v="Viru-Jaagupi kalmistuvaht"/>
    <n v="0.25"/>
    <m/>
    <n v="584"/>
    <n v="146"/>
    <n v="12"/>
    <m/>
    <n v="1752"/>
    <n v="592.17600000000004"/>
    <m/>
  </r>
  <r>
    <x v="0"/>
    <x v="23"/>
    <x v="23"/>
    <x v="0"/>
    <s v="Vabaaeg, kultuur ja religioon"/>
    <s v="Vinni-Pajusti raamatukogu"/>
    <s v="Juhataja"/>
    <n v="1"/>
    <m/>
    <n v="1128"/>
    <n v="1128"/>
    <n v="12"/>
    <m/>
    <n v="13536"/>
    <n v="4575.1680000000006"/>
    <m/>
  </r>
  <r>
    <x v="0"/>
    <x v="23"/>
    <x v="23"/>
    <x v="0"/>
    <s v="Vabaaeg, kultuur ja religioon"/>
    <s v="Vinni-Pajusti raamatukogu"/>
    <s v="Raamatukoguhoidja"/>
    <n v="1"/>
    <m/>
    <n v="790"/>
    <n v="790"/>
    <n v="12"/>
    <m/>
    <n v="9480"/>
    <n v="3204.2400000000002"/>
    <m/>
  </r>
  <r>
    <x v="0"/>
    <x v="23"/>
    <x v="23"/>
    <x v="0"/>
    <s v="Vabaaeg, kultuur ja religioon"/>
    <s v="Vinni-Pajusti raamatukogu"/>
    <s v="Koristaja"/>
    <n v="0.75"/>
    <m/>
    <n v="584"/>
    <n v="438"/>
    <n v="12"/>
    <m/>
    <n v="5256"/>
    <n v="1776.528"/>
    <m/>
  </r>
  <r>
    <x v="0"/>
    <x v="24"/>
    <x v="24"/>
    <x v="0"/>
    <s v="Vabaaeg, kultuur ja religioon"/>
    <s v="Viru-Jaagupi raamatukogu"/>
    <s v="Viru-Jaagupi raamatukogu juhataja"/>
    <n v="1"/>
    <m/>
    <n v="762"/>
    <n v="762"/>
    <n v="12"/>
    <n v="2220"/>
    <n v="11364"/>
    <n v="3841.0320000000002"/>
    <s v="Lisatasu kuus 185€; lisatasu töölepingu järgi muuseumi hooldamine"/>
  </r>
  <r>
    <x v="0"/>
    <x v="25"/>
    <x v="25"/>
    <x v="0"/>
    <s v="Vabaaeg, kultuur ja religioon"/>
    <s v="Tudu raamatukogu"/>
    <s v="raamatukogu juhataja"/>
    <n v="1"/>
    <m/>
    <n v="845"/>
    <n v="845"/>
    <n v="12"/>
    <n v="1524"/>
    <n v="11664"/>
    <n v="3942.4320000000002"/>
    <s v="Planeeringus 168€ lisatasu märgitud"/>
  </r>
  <r>
    <x v="0"/>
    <x v="26"/>
    <x v="26"/>
    <x v="14"/>
    <s v="Vabaaeg, kultuur ja religioon"/>
    <s v="Laekvere Rahva Maja"/>
    <s v="Juhataja"/>
    <n v="1"/>
    <m/>
    <n v="1100"/>
    <n v="1100"/>
    <n v="12"/>
    <m/>
    <n v="13200"/>
    <n v="4461.6000000000004"/>
    <m/>
  </r>
  <r>
    <x v="0"/>
    <x v="26"/>
    <x v="26"/>
    <x v="14"/>
    <s v="Vabaaeg, kultuur ja religioon"/>
    <s v="Laekvere Rahva Maja"/>
    <s v="Koristaja"/>
    <n v="1"/>
    <m/>
    <n v="584"/>
    <n v="584"/>
    <n v="12"/>
    <m/>
    <n v="7008"/>
    <n v="2368.7040000000002"/>
    <m/>
  </r>
  <r>
    <x v="0"/>
    <x v="26"/>
    <x v="26"/>
    <x v="14"/>
    <s v="Vabaaeg, kultuur ja religioon"/>
    <s v="Laekvere Rahva Maja"/>
    <s v="Tehnik"/>
    <n v="1"/>
    <m/>
    <n v="584"/>
    <n v="584"/>
    <n v="12"/>
    <m/>
    <n v="7008"/>
    <n v="2368.7040000000002"/>
    <m/>
  </r>
  <r>
    <x v="0"/>
    <x v="27"/>
    <x v="27"/>
    <x v="14"/>
    <s v="Vabaaeg, kultuur ja religioon"/>
    <s v="Ulvi klubi"/>
    <s v="Juhataja "/>
    <n v="1"/>
    <m/>
    <n v="920"/>
    <n v="920"/>
    <n v="12"/>
    <n v="3600"/>
    <n v="14640"/>
    <n v="4948.3200000000006"/>
    <s v="Lisatasu kuu 300€"/>
  </r>
  <r>
    <x v="0"/>
    <x v="27"/>
    <x v="27"/>
    <x v="14"/>
    <s v="Vabaaeg, kultuur ja religioon"/>
    <s v="Ulvi klubi"/>
    <s v="Ringijuht"/>
    <n v="1"/>
    <s v="in"/>
    <n v="150"/>
    <n v="150"/>
    <n v="9"/>
    <m/>
    <n v="1350"/>
    <n v="456.3"/>
    <m/>
  </r>
  <r>
    <x v="0"/>
    <x v="27"/>
    <x v="27"/>
    <x v="14"/>
    <s v="Vabaaeg, kultuur ja religioon"/>
    <s v="Ulvi klubi"/>
    <s v="Ringijuht"/>
    <n v="1"/>
    <s v="in"/>
    <n v="60"/>
    <n v="60"/>
    <n v="9"/>
    <m/>
    <n v="540"/>
    <n v="182.52"/>
    <m/>
  </r>
  <r>
    <x v="0"/>
    <x v="27"/>
    <x v="27"/>
    <x v="14"/>
    <s v="Vabaaeg, kultuur ja religioon"/>
    <s v="Ulvi klubi"/>
    <s v="Ringijuht"/>
    <n v="1"/>
    <s v="in"/>
    <n v="40"/>
    <n v="40"/>
    <n v="9"/>
    <m/>
    <n v="360"/>
    <n v="121.68"/>
    <m/>
  </r>
  <r>
    <x v="0"/>
    <x v="27"/>
    <x v="27"/>
    <x v="14"/>
    <s v="Vabaaeg, kultuur ja religioon"/>
    <s v="Ulvi klubi"/>
    <s v="Ringijuht"/>
    <n v="1"/>
    <s v="in"/>
    <n v="60"/>
    <n v="60"/>
    <n v="9"/>
    <m/>
    <n v="540"/>
    <n v="182.52"/>
    <m/>
  </r>
  <r>
    <x v="0"/>
    <x v="27"/>
    <x v="27"/>
    <x v="14"/>
    <s v="Vabaaeg, kultuur ja religioon"/>
    <s v="Ulvi klubi"/>
    <s v="Lepinguliste töötajate töötasu"/>
    <n v="2"/>
    <s v="in"/>
    <n v="60"/>
    <n v="120"/>
    <n v="9"/>
    <m/>
    <n v="1080"/>
    <n v="365.04"/>
    <m/>
  </r>
  <r>
    <x v="0"/>
    <x v="27"/>
    <x v="27"/>
    <x v="14"/>
    <s v="Vabaaeg, kultuur ja religioon"/>
    <s v="Ulvi klubi"/>
    <s v="Lepinguliste töötajate töötasu"/>
    <n v="1"/>
    <s v="in"/>
    <n v="40"/>
    <n v="40"/>
    <n v="9"/>
    <m/>
    <n v="360"/>
    <n v="121.68"/>
    <m/>
  </r>
  <r>
    <x v="1"/>
    <x v="28"/>
    <x v="28"/>
    <x v="2"/>
    <s v="Haridus"/>
    <s v="Vinni lasteaed"/>
    <s v="Direktor"/>
    <n v="1"/>
    <m/>
    <n v="1700"/>
    <n v="1700"/>
    <n v="12"/>
    <m/>
    <n v="20400"/>
    <n v="6895.2000000000007"/>
    <m/>
  </r>
  <r>
    <x v="1"/>
    <x v="28"/>
    <x v="28"/>
    <x v="2"/>
    <s v="Haridus"/>
    <s v="Vinni lasteaed"/>
    <s v="Lasteaiaõpetaja-kõrgem"/>
    <n v="7"/>
    <m/>
    <n v="1315"/>
    <n v="9205"/>
    <n v="12"/>
    <m/>
    <n v="110460"/>
    <n v="37335.480000000003"/>
    <m/>
  </r>
  <r>
    <x v="1"/>
    <x v="28"/>
    <x v="28"/>
    <x v="2"/>
    <s v="Haridus"/>
    <s v="Vinni lasteaed"/>
    <s v="Lasteaiaõpetaja"/>
    <n v="5"/>
    <m/>
    <n v="1183.5"/>
    <n v="5917.5"/>
    <n v="12"/>
    <m/>
    <n v="71010"/>
    <n v="24001.38"/>
    <m/>
  </r>
  <r>
    <x v="1"/>
    <x v="28"/>
    <x v="28"/>
    <x v="2"/>
    <s v="Haridus"/>
    <s v="Vinni lasteaed"/>
    <s v="Liikumisõpetaja"/>
    <n v="0.75"/>
    <m/>
    <n v="1183.5"/>
    <n v="887.625"/>
    <n v="12"/>
    <m/>
    <n v="10651.5"/>
    <n v="3600.2070000000003"/>
    <m/>
  </r>
  <r>
    <x v="1"/>
    <x v="28"/>
    <x v="28"/>
    <x v="2"/>
    <s v="Haridus"/>
    <s v="Vinni lasteaed"/>
    <s v="Muusikaõpetaja"/>
    <n v="0.75"/>
    <m/>
    <n v="1183.5"/>
    <n v="887.625"/>
    <n v="12"/>
    <m/>
    <n v="10651.5"/>
    <n v="3600.2070000000003"/>
    <m/>
  </r>
  <r>
    <x v="1"/>
    <x v="28"/>
    <x v="28"/>
    <x v="2"/>
    <s v="Haridus"/>
    <s v="Vinni lasteaed"/>
    <s v="Logopeed"/>
    <n v="1"/>
    <m/>
    <n v="1315"/>
    <n v="1315"/>
    <n v="12"/>
    <m/>
    <n v="15780"/>
    <n v="5333.64"/>
    <m/>
  </r>
  <r>
    <x v="1"/>
    <x v="28"/>
    <x v="28"/>
    <x v="2"/>
    <s v="Haridus"/>
    <s v="Vinni lasteaed"/>
    <s v="Õpetajaabi"/>
    <n v="6"/>
    <m/>
    <n v="702"/>
    <n v="4212"/>
    <n v="12"/>
    <m/>
    <n v="50544"/>
    <n v="17083.871999999999"/>
    <m/>
  </r>
  <r>
    <x v="1"/>
    <x v="28"/>
    <x v="28"/>
    <x v="2"/>
    <s v="Haridus"/>
    <s v="Vinni lasteaed"/>
    <s v="Majandusjuhataja-laohoidja"/>
    <n v="1"/>
    <m/>
    <n v="702"/>
    <n v="702"/>
    <n v="12"/>
    <m/>
    <n v="8424"/>
    <n v="2847.3120000000004"/>
    <m/>
  </r>
  <r>
    <x v="1"/>
    <x v="28"/>
    <x v="28"/>
    <x v="2"/>
    <s v="Haridus"/>
    <s v="Vinni lasteaed"/>
    <s v="Kokk"/>
    <n v="1"/>
    <m/>
    <n v="600"/>
    <n v="600"/>
    <n v="12"/>
    <m/>
    <n v="7200"/>
    <n v="2433.6000000000004"/>
    <m/>
  </r>
  <r>
    <x v="1"/>
    <x v="28"/>
    <x v="28"/>
    <x v="2"/>
    <s v="Haridus"/>
    <s v="Vinni lasteaed"/>
    <s v="Kokk"/>
    <n v="1"/>
    <m/>
    <n v="664"/>
    <n v="664"/>
    <n v="12"/>
    <m/>
    <n v="7968"/>
    <n v="2693.1840000000002"/>
    <m/>
  </r>
  <r>
    <x v="1"/>
    <x v="28"/>
    <x v="28"/>
    <x v="2"/>
    <s v="Haridus"/>
    <s v="Vinni lasteaed"/>
    <s v="Koristaja"/>
    <n v="0.75"/>
    <m/>
    <n v="584"/>
    <n v="438"/>
    <n v="12"/>
    <m/>
    <n v="5256"/>
    <n v="1776.528"/>
    <m/>
  </r>
  <r>
    <x v="1"/>
    <x v="28"/>
    <x v="28"/>
    <x v="2"/>
    <s v="Haridus"/>
    <s v="Vinni lasteaed"/>
    <s v="Majahoidja"/>
    <n v="1"/>
    <m/>
    <n v="584"/>
    <n v="584"/>
    <n v="12"/>
    <m/>
    <n v="7008"/>
    <n v="2368.7040000000002"/>
    <m/>
  </r>
  <r>
    <x v="1"/>
    <x v="28"/>
    <x v="28"/>
    <x v="2"/>
    <s v="Haridus"/>
    <s v="Vinni lasteaed"/>
    <s v="Valvur"/>
    <n v="2.21"/>
    <m/>
    <n v="584"/>
    <n v="1290.6399999999999"/>
    <n v="12"/>
    <m/>
    <n v="15487.679999999998"/>
    <n v="5234.8358399999997"/>
    <m/>
  </r>
  <r>
    <x v="1"/>
    <x v="29"/>
    <x v="29"/>
    <x v="2"/>
    <s v="Haridus"/>
    <s v="Pajusti lasteaed"/>
    <s v="õpetaja (magister)"/>
    <n v="2"/>
    <m/>
    <n v="1250"/>
    <n v="2500"/>
    <n v="12"/>
    <m/>
    <n v="30000"/>
    <n v="10140"/>
    <m/>
  </r>
  <r>
    <x v="1"/>
    <x v="29"/>
    <x v="29"/>
    <x v="2"/>
    <s v="Haridus"/>
    <s v="Pajusti lasteaed"/>
    <s v="õpetaja (bakalaureus)"/>
    <n v="4"/>
    <m/>
    <n v="1183.5"/>
    <n v="4734"/>
    <n v="12"/>
    <m/>
    <n v="56808"/>
    <n v="19201.104000000003"/>
    <m/>
  </r>
  <r>
    <x v="1"/>
    <x v="29"/>
    <x v="29"/>
    <x v="2"/>
    <s v="Haridus"/>
    <s v="Pajusti lasteaed"/>
    <s v="muusikaõpetaja"/>
    <n v="0.38"/>
    <m/>
    <n v="1315"/>
    <n v="499.7"/>
    <n v="12"/>
    <m/>
    <n v="5996.4"/>
    <n v="2026.7832000000001"/>
    <m/>
  </r>
  <r>
    <x v="1"/>
    <x v="29"/>
    <x v="29"/>
    <x v="2"/>
    <s v="Haridus"/>
    <s v="Pajusti lasteaed"/>
    <s v="liikumisõpetaja"/>
    <n v="0.25"/>
    <m/>
    <n v="1252"/>
    <n v="313"/>
    <n v="12"/>
    <m/>
    <n v="3756"/>
    <n v="1269.528"/>
    <m/>
  </r>
  <r>
    <x v="1"/>
    <x v="29"/>
    <x v="29"/>
    <x v="2"/>
    <s v="Haridus"/>
    <s v="Pajusti lasteaed"/>
    <s v="liikumisõpetaja 7 kuud"/>
    <n v="0.13"/>
    <m/>
    <n v="1183.5"/>
    <n v="153.85500000000002"/>
    <n v="7"/>
    <m/>
    <n v="1076.9850000000001"/>
    <n v="364.02093000000008"/>
    <m/>
  </r>
  <r>
    <x v="1"/>
    <x v="29"/>
    <x v="29"/>
    <x v="2"/>
    <s v="Haridus"/>
    <s v="Pajusti lasteaed"/>
    <s v="õpetaja abi"/>
    <n v="3"/>
    <m/>
    <n v="702"/>
    <n v="2106"/>
    <n v="12"/>
    <m/>
    <n v="25272"/>
    <n v="8541.9359999999997"/>
    <m/>
  </r>
  <r>
    <x v="1"/>
    <x v="29"/>
    <x v="29"/>
    <x v="2"/>
    <s v="Haridus"/>
    <s v="Pajusti lasteaed"/>
    <s v="kokk"/>
    <n v="1"/>
    <m/>
    <n v="696"/>
    <n v="696"/>
    <n v="12"/>
    <m/>
    <n v="8352"/>
    <n v="2822.9760000000001"/>
    <m/>
  </r>
  <r>
    <x v="1"/>
    <x v="29"/>
    <x v="29"/>
    <x v="2"/>
    <s v="Haridus"/>
    <s v="Pajusti lasteaed"/>
    <s v="logopeed 8 kuud"/>
    <n v="0.3"/>
    <m/>
    <n v="1315"/>
    <n v="394.5"/>
    <n v="8"/>
    <m/>
    <n v="3156"/>
    <n v="1066.7280000000001"/>
    <m/>
  </r>
  <r>
    <x v="1"/>
    <x v="29"/>
    <x v="29"/>
    <x v="2"/>
    <s v="Haridus"/>
    <s v="Pajusti lasteaed"/>
    <s v="perenaine"/>
    <n v="0.5"/>
    <m/>
    <n v="584"/>
    <n v="292"/>
    <n v="12"/>
    <m/>
    <n v="3504"/>
    <n v="1184.3520000000001"/>
    <m/>
  </r>
  <r>
    <x v="1"/>
    <x v="29"/>
    <x v="29"/>
    <x v="2"/>
    <s v="Haridus"/>
    <s v="Pajusti lasteaed"/>
    <s v="majahoidja"/>
    <n v="1"/>
    <m/>
    <n v="584"/>
    <n v="584"/>
    <n v="12"/>
    <m/>
    <n v="7008"/>
    <n v="2368.7040000000002"/>
    <m/>
  </r>
  <r>
    <x v="1"/>
    <x v="29"/>
    <x v="29"/>
    <x v="2"/>
    <s v="Haridus"/>
    <s v="Pajusti lasteaed"/>
    <s v="direktor"/>
    <n v="1"/>
    <m/>
    <n v="1383"/>
    <n v="1383"/>
    <n v="12"/>
    <m/>
    <n v="16596"/>
    <n v="5609.4480000000003"/>
    <m/>
  </r>
  <r>
    <x v="1"/>
    <x v="29"/>
    <x v="29"/>
    <x v="2"/>
    <s v="Haridus"/>
    <s v="Pajusti lasteaed"/>
    <s v="Preemiad"/>
    <n v="1"/>
    <m/>
    <m/>
    <n v="0"/>
    <m/>
    <n v="1700"/>
    <n v="1700"/>
    <n v="574.6"/>
    <m/>
  </r>
  <r>
    <x v="1"/>
    <x v="30"/>
    <x v="30"/>
    <x v="2"/>
    <s v="Haridus"/>
    <s v="Kulina lasteaed"/>
    <s v="direktor"/>
    <n v="1"/>
    <m/>
    <n v="1315"/>
    <n v="1315"/>
    <n v="12"/>
    <n v="3120"/>
    <n v="18900"/>
    <n v="6388.2000000000007"/>
    <s v="Lisatasu kuus 260"/>
  </r>
  <r>
    <x v="1"/>
    <x v="30"/>
    <x v="30"/>
    <x v="2"/>
    <s v="Haridus"/>
    <s v="Kulina lasteaed"/>
    <s v="õpetaja"/>
    <n v="1"/>
    <m/>
    <n v="1183.5"/>
    <n v="1183.5"/>
    <n v="12"/>
    <m/>
    <n v="14202"/>
    <n v="4800.2760000000007"/>
    <m/>
  </r>
  <r>
    <x v="1"/>
    <x v="30"/>
    <x v="30"/>
    <x v="2"/>
    <s v="Haridus"/>
    <s v="Kulina lasteaed"/>
    <s v="õpetaja"/>
    <n v="1"/>
    <m/>
    <n v="1183.5"/>
    <n v="1183.5"/>
    <n v="12"/>
    <m/>
    <n v="14202"/>
    <n v="4800.2760000000007"/>
    <m/>
  </r>
  <r>
    <x v="1"/>
    <x v="30"/>
    <x v="30"/>
    <x v="2"/>
    <s v="Haridus"/>
    <s v="Kulina lasteaed"/>
    <s v="õpetaja"/>
    <n v="0.75"/>
    <m/>
    <n v="1183.5"/>
    <n v="887.625"/>
    <n v="12"/>
    <m/>
    <n v="10651.5"/>
    <n v="3600.2070000000003"/>
    <m/>
  </r>
  <r>
    <x v="1"/>
    <x v="30"/>
    <x v="30"/>
    <x v="2"/>
    <s v="Haridus"/>
    <s v="Kulina lasteaed"/>
    <s v="õpetaja"/>
    <n v="0.75"/>
    <m/>
    <n v="1183.5"/>
    <n v="887.625"/>
    <n v="12"/>
    <m/>
    <n v="10651.5"/>
    <n v="3600.2070000000003"/>
    <m/>
  </r>
  <r>
    <x v="1"/>
    <x v="30"/>
    <x v="30"/>
    <x v="2"/>
    <s v="Haridus"/>
    <s v="Kulina lasteaed"/>
    <s v="liikumisõpetaja"/>
    <n v="0.25"/>
    <m/>
    <n v="1183.5"/>
    <n v="295.875"/>
    <n v="12"/>
    <m/>
    <n v="3550.5"/>
    <n v="1200.0690000000002"/>
    <m/>
  </r>
  <r>
    <x v="1"/>
    <x v="30"/>
    <x v="30"/>
    <x v="2"/>
    <s v="Haridus"/>
    <s v="Kulina lasteaed"/>
    <s v="muusikaõpetaja"/>
    <n v="0.25"/>
    <m/>
    <n v="1183.5"/>
    <n v="295.875"/>
    <n v="12"/>
    <m/>
    <n v="3550.5"/>
    <n v="1200.0690000000002"/>
    <m/>
  </r>
  <r>
    <x v="1"/>
    <x v="30"/>
    <x v="30"/>
    <x v="2"/>
    <s v="Haridus"/>
    <s v="Kulina lasteaed"/>
    <s v="õpetaja abi"/>
    <n v="1"/>
    <m/>
    <n v="652"/>
    <n v="652"/>
    <n v="12"/>
    <m/>
    <n v="7824"/>
    <n v="2644.5120000000002"/>
    <m/>
  </r>
  <r>
    <x v="1"/>
    <x v="30"/>
    <x v="30"/>
    <x v="2"/>
    <s v="Haridus"/>
    <s v="Kulina lasteaed"/>
    <s v="õpetaja abi"/>
    <n v="0.8"/>
    <m/>
    <n v="652.5"/>
    <n v="522"/>
    <n v="12"/>
    <m/>
    <n v="6264"/>
    <n v="2117.232"/>
    <m/>
  </r>
  <r>
    <x v="1"/>
    <x v="30"/>
    <x v="30"/>
    <x v="2"/>
    <s v="Haridus"/>
    <s v="Kulina lasteaed"/>
    <s v="õpetaja abi"/>
    <n v="0.2"/>
    <m/>
    <n v="650"/>
    <n v="130"/>
    <n v="12"/>
    <m/>
    <n v="1560"/>
    <n v="527.28000000000009"/>
    <m/>
  </r>
  <r>
    <x v="1"/>
    <x v="30"/>
    <x v="30"/>
    <x v="2"/>
    <s v="Haridus"/>
    <s v="Kulina lasteaed"/>
    <s v="pesumasinist"/>
    <n v="0.5"/>
    <m/>
    <n v="584"/>
    <n v="292"/>
    <n v="12"/>
    <m/>
    <n v="3504"/>
    <n v="1184.3520000000001"/>
    <m/>
  </r>
  <r>
    <x v="1"/>
    <x v="30"/>
    <x v="30"/>
    <x v="2"/>
    <s v="Haridus"/>
    <s v="Kulina lasteaed"/>
    <s v="kokk"/>
    <n v="1"/>
    <m/>
    <n v="652"/>
    <n v="652"/>
    <n v="12"/>
    <m/>
    <n v="7824"/>
    <n v="2644.5120000000002"/>
    <m/>
  </r>
  <r>
    <x v="1"/>
    <x v="30"/>
    <x v="30"/>
    <x v="2"/>
    <s v="Haridus"/>
    <s v="Kulina lasteaed"/>
    <s v="aednik"/>
    <n v="1"/>
    <m/>
    <n v="584"/>
    <n v="584"/>
    <n v="12"/>
    <m/>
    <n v="7008"/>
    <n v="2368.7040000000002"/>
    <m/>
  </r>
  <r>
    <x v="1"/>
    <x v="30"/>
    <x v="30"/>
    <x v="2"/>
    <s v="Haridus"/>
    <s v="Kulina lasteaed"/>
    <s v="logopeed"/>
    <n v="0.2"/>
    <m/>
    <n v="1315"/>
    <n v="263"/>
    <n v="12"/>
    <m/>
    <n v="3156"/>
    <n v="1066.7280000000001"/>
    <m/>
  </r>
  <r>
    <x v="1"/>
    <x v="30"/>
    <x v="30"/>
    <x v="2"/>
    <s v="Haridus"/>
    <s v="Kulina lasteaed"/>
    <s v="Lepinguliste töötajate töötasu"/>
    <n v="1"/>
    <s v="in"/>
    <n v="80"/>
    <n v="80"/>
    <n v="7"/>
    <m/>
    <n v="560"/>
    <n v="189.28"/>
    <m/>
  </r>
  <r>
    <x v="1"/>
    <x v="30"/>
    <x v="30"/>
    <x v="2"/>
    <s v="Haridus"/>
    <s v="Kulina lasteaed"/>
    <s v="Asendamised"/>
    <n v="1"/>
    <m/>
    <m/>
    <n v="0"/>
    <n v="1"/>
    <n v="1700"/>
    <n v="1700"/>
    <n v="574.6"/>
    <m/>
  </r>
  <r>
    <x v="1"/>
    <x v="31"/>
    <x v="31"/>
    <x v="2"/>
    <s v="Haridus"/>
    <s v="Ulvi lasteaed"/>
    <s v="lasteaia õpetaja"/>
    <n v="4"/>
    <m/>
    <n v="1183.5"/>
    <n v="4734"/>
    <n v="12"/>
    <m/>
    <n v="56808"/>
    <n v="19201.104000000003"/>
    <m/>
  </r>
  <r>
    <x v="1"/>
    <x v="31"/>
    <x v="31"/>
    <x v="2"/>
    <s v="Haridus"/>
    <s v="Ulvi lasteaed"/>
    <s v="abiõpetaja"/>
    <n v="2"/>
    <m/>
    <n v="630"/>
    <n v="1260"/>
    <n v="12"/>
    <m/>
    <n v="15120"/>
    <n v="5110.5600000000004"/>
    <m/>
  </r>
  <r>
    <x v="1"/>
    <x v="31"/>
    <x v="31"/>
    <x v="2"/>
    <s v="Haridus"/>
    <s v="Ulvi lasteaed"/>
    <s v="muusikaõpetaja"/>
    <n v="0.15"/>
    <m/>
    <n v="973.5"/>
    <n v="146.02500000000001"/>
    <n v="12"/>
    <m/>
    <n v="1752.3000000000002"/>
    <n v="592.27740000000006"/>
    <m/>
  </r>
  <r>
    <x v="1"/>
    <x v="31"/>
    <x v="31"/>
    <x v="2"/>
    <s v="Haridus"/>
    <s v="Ulvi lasteaed"/>
    <s v="kokk"/>
    <n v="1"/>
    <m/>
    <n v="648"/>
    <n v="648"/>
    <n v="12"/>
    <m/>
    <n v="7776"/>
    <n v="2628.288"/>
    <m/>
  </r>
  <r>
    <x v="1"/>
    <x v="31"/>
    <x v="31"/>
    <x v="2"/>
    <s v="Haridus"/>
    <s v="Ulvi lasteaed"/>
    <s v="majandusjuhataja"/>
    <n v="0.5"/>
    <m/>
    <n v="324"/>
    <n v="162"/>
    <n v="12"/>
    <m/>
    <n v="1944"/>
    <n v="657.072"/>
    <m/>
  </r>
  <r>
    <x v="1"/>
    <x v="31"/>
    <x v="31"/>
    <x v="2"/>
    <s v="Haridus"/>
    <s v="Ulvi lasteaed"/>
    <s v="majahoidja"/>
    <n v="0.25"/>
    <m/>
    <n v="584"/>
    <n v="146"/>
    <n v="12"/>
    <n v="1620"/>
    <n v="3372"/>
    <n v="1139.7360000000001"/>
    <s v="Lisatasu kuus 135€"/>
  </r>
  <r>
    <x v="1"/>
    <x v="32"/>
    <x v="32"/>
    <x v="1"/>
    <s v="Haridus"/>
    <s v="Vinni-Pajusti Gümnaasium"/>
    <s v="e-kool"/>
    <n v="0.25"/>
    <m/>
    <n v="584"/>
    <n v="146"/>
    <n v="12"/>
    <m/>
    <n v="1752"/>
    <n v="592.17600000000004"/>
    <m/>
  </r>
  <r>
    <x v="1"/>
    <x v="32"/>
    <x v="32"/>
    <x v="1"/>
    <s v="Haridus"/>
    <s v="Vinni-Pajusti Gümnaasium"/>
    <s v="huvijuht"/>
    <n v="1"/>
    <m/>
    <n v="1315"/>
    <n v="1315"/>
    <n v="12"/>
    <m/>
    <n v="15780"/>
    <n v="5333.64"/>
    <m/>
  </r>
  <r>
    <x v="1"/>
    <x v="32"/>
    <x v="32"/>
    <x v="1"/>
    <s v="Haridus"/>
    <s v="Vinni-Pajusti Gümnaasium"/>
    <s v="haridustehnoloog"/>
    <n v="1"/>
    <m/>
    <n v="1450"/>
    <n v="1450"/>
    <n v="12"/>
    <m/>
    <n v="17400"/>
    <n v="5881.2000000000007"/>
    <m/>
  </r>
  <r>
    <x v="1"/>
    <x v="32"/>
    <x v="32"/>
    <x v="1"/>
    <s v="Haridus"/>
    <s v="Vinni-Pajusti Gümnaasium"/>
    <s v="IT-spetsialist"/>
    <n v="1"/>
    <m/>
    <n v="1315"/>
    <n v="1315"/>
    <n v="12"/>
    <m/>
    <n v="15780"/>
    <n v="5333.64"/>
    <m/>
  </r>
  <r>
    <x v="1"/>
    <x v="32"/>
    <x v="32"/>
    <x v="1"/>
    <s v="Haridus"/>
    <s v="Vinni-Pajusti Gümnaasium"/>
    <s v="klaveriõpetus"/>
    <n v="0.5"/>
    <m/>
    <n v="700"/>
    <n v="350"/>
    <n v="4"/>
    <m/>
    <n v="1400"/>
    <n v="473.20000000000005"/>
    <s v="hetkel täitmata "/>
  </r>
  <r>
    <x v="1"/>
    <x v="32"/>
    <x v="32"/>
    <x v="1"/>
    <s v="Haridus"/>
    <s v="Vinni-Pajusti Gümnaasium"/>
    <s v="kokk"/>
    <n v="1"/>
    <m/>
    <n v="770"/>
    <n v="770"/>
    <n v="12"/>
    <m/>
    <n v="9240"/>
    <n v="3123.1200000000003"/>
    <m/>
  </r>
  <r>
    <x v="1"/>
    <x v="32"/>
    <x v="32"/>
    <x v="1"/>
    <s v="Haridus"/>
    <s v="Vinni-Pajusti Gümnaasium"/>
    <s v="kondiiter"/>
    <n v="0.5"/>
    <m/>
    <n v="650"/>
    <n v="325"/>
    <n v="12"/>
    <m/>
    <n v="3900"/>
    <n v="1318.2"/>
    <m/>
  </r>
  <r>
    <x v="1"/>
    <x v="32"/>
    <x v="32"/>
    <x v="1"/>
    <s v="Haridus"/>
    <s v="Vinni-Pajusti Gümnaasium"/>
    <s v="koristaja"/>
    <n v="6"/>
    <m/>
    <n v="584"/>
    <n v="3504"/>
    <n v="12"/>
    <m/>
    <n v="42048"/>
    <n v="14212.224"/>
    <m/>
  </r>
  <r>
    <x v="1"/>
    <x v="32"/>
    <x v="32"/>
    <x v="1"/>
    <s v="Haridus"/>
    <s v="Vinni-Pajusti Gümnaasium"/>
    <s v="köögi abitööline"/>
    <n v="2"/>
    <m/>
    <n v="590"/>
    <n v="1180"/>
    <n v="12"/>
    <m/>
    <n v="14160"/>
    <n v="4786.08"/>
    <m/>
  </r>
  <r>
    <x v="1"/>
    <x v="32"/>
    <x v="32"/>
    <x v="1"/>
    <s v="Haridus"/>
    <s v="Vinni-Pajusti Gümnaasium"/>
    <s v="laborant"/>
    <n v="0.12"/>
    <m/>
    <n v="584"/>
    <n v="70.08"/>
    <n v="12"/>
    <m/>
    <n v="840.96"/>
    <n v="284.24448000000001"/>
    <m/>
  </r>
  <r>
    <x v="1"/>
    <x v="32"/>
    <x v="32"/>
    <x v="1"/>
    <s v="Haridus"/>
    <s v="Vinni-Pajusti Gümnaasium"/>
    <s v="laborant"/>
    <n v="0.13"/>
    <m/>
    <n v="584"/>
    <n v="75.92"/>
    <n v="12"/>
    <m/>
    <n v="911.04"/>
    <n v="307.93152000000003"/>
    <m/>
  </r>
  <r>
    <x v="1"/>
    <x v="32"/>
    <x v="32"/>
    <x v="1"/>
    <s v="Haridus"/>
    <s v="Vinni-Pajusti Gümnaasium"/>
    <s v="laborant"/>
    <n v="0.25"/>
    <m/>
    <n v="584"/>
    <n v="146"/>
    <n v="12"/>
    <m/>
    <n v="1752"/>
    <n v="592.17600000000004"/>
    <m/>
  </r>
  <r>
    <x v="1"/>
    <x v="32"/>
    <x v="32"/>
    <x v="1"/>
    <s v="Haridus"/>
    <s v="Vinni-Pajusti Gümnaasium"/>
    <s v="laborant"/>
    <n v="0.25"/>
    <m/>
    <n v="584"/>
    <n v="146"/>
    <n v="12"/>
    <m/>
    <n v="1752"/>
    <n v="592.17600000000004"/>
    <m/>
  </r>
  <r>
    <x v="1"/>
    <x v="32"/>
    <x v="32"/>
    <x v="1"/>
    <s v="Haridus"/>
    <s v="Vinni-Pajusti Gümnaasium"/>
    <s v="laborant"/>
    <n v="1"/>
    <m/>
    <n v="584"/>
    <n v="584"/>
    <n v="12"/>
    <m/>
    <n v="7008"/>
    <n v="2368.7040000000002"/>
    <m/>
  </r>
  <r>
    <x v="1"/>
    <x v="32"/>
    <x v="32"/>
    <x v="1"/>
    <s v="Haridus"/>
    <s v="Vinni-Pajusti Gümnaasium"/>
    <s v="lasketiiru meister"/>
    <n v="1"/>
    <m/>
    <n v="584"/>
    <n v="584"/>
    <n v="12"/>
    <m/>
    <n v="7008"/>
    <n v="2368.7040000000002"/>
    <m/>
  </r>
  <r>
    <x v="1"/>
    <x v="32"/>
    <x v="32"/>
    <x v="1"/>
    <s v="Haridus"/>
    <s v="Vinni-Pajusti Gümnaasium"/>
    <s v="logopeed"/>
    <n v="0.3"/>
    <m/>
    <n v="1315"/>
    <n v="394.5"/>
    <n v="12"/>
    <m/>
    <n v="4734"/>
    <n v="1600.0920000000001"/>
    <m/>
  </r>
  <r>
    <x v="1"/>
    <x v="32"/>
    <x v="32"/>
    <x v="1"/>
    <s v="Haridus"/>
    <s v="Vinni-Pajusti Gümnaasium"/>
    <s v="logopeed"/>
    <n v="1"/>
    <m/>
    <n v="1450"/>
    <n v="1450"/>
    <n v="12"/>
    <m/>
    <n v="17400"/>
    <n v="5881.2000000000007"/>
    <m/>
  </r>
  <r>
    <x v="1"/>
    <x v="32"/>
    <x v="32"/>
    <x v="1"/>
    <s v="Haridus"/>
    <s v="Vinni-Pajusti Gümnaasium"/>
    <s v="majahoidja"/>
    <n v="0.5"/>
    <m/>
    <n v="584"/>
    <n v="292"/>
    <n v="12"/>
    <m/>
    <n v="3504"/>
    <n v="1184.3520000000001"/>
    <m/>
  </r>
  <r>
    <x v="1"/>
    <x v="32"/>
    <x v="32"/>
    <x v="1"/>
    <s v="Haridus"/>
    <s v="Vinni-Pajusti Gümnaasium"/>
    <s v="majahoidja"/>
    <n v="0.5"/>
    <m/>
    <n v="584"/>
    <n v="292"/>
    <n v="12"/>
    <m/>
    <n v="3504"/>
    <n v="1184.3520000000001"/>
    <m/>
  </r>
  <r>
    <x v="1"/>
    <x v="32"/>
    <x v="32"/>
    <x v="1"/>
    <s v="Haridus"/>
    <s v="Vinni-Pajusti Gümnaasium"/>
    <s v="majandusjuhataja"/>
    <n v="1"/>
    <m/>
    <n v="1100"/>
    <n v="1100"/>
    <n v="12"/>
    <m/>
    <n v="13200"/>
    <n v="4461.6000000000004"/>
    <m/>
  </r>
  <r>
    <x v="1"/>
    <x v="32"/>
    <x v="32"/>
    <x v="1"/>
    <s v="Haridus"/>
    <s v="Vinni-Pajusti Gümnaasium"/>
    <s v="med.õde"/>
    <n v="0.5"/>
    <m/>
    <n v="700"/>
    <n v="350"/>
    <n v="12"/>
    <m/>
    <n v="4200"/>
    <n v="1419.6000000000001"/>
    <m/>
  </r>
  <r>
    <x v="1"/>
    <x v="32"/>
    <x v="32"/>
    <x v="1"/>
    <s v="Haridus"/>
    <s v="Vinni-Pajusti Gümnaasium"/>
    <s v="nõustamine"/>
    <n v="0.05"/>
    <m/>
    <n v="1315"/>
    <n v="65.75"/>
    <n v="12"/>
    <m/>
    <n v="789"/>
    <n v="266.68200000000002"/>
    <m/>
  </r>
  <r>
    <x v="1"/>
    <x v="32"/>
    <x v="32"/>
    <x v="1"/>
    <s v="Haridus"/>
    <s v="Vinni-Pajusti Gümnaasium"/>
    <s v="ppr kasvataja"/>
    <n v="0.05"/>
    <m/>
    <n v="700"/>
    <n v="35"/>
    <n v="10"/>
    <m/>
    <n v="350"/>
    <n v="118.30000000000001"/>
    <m/>
  </r>
  <r>
    <x v="1"/>
    <x v="32"/>
    <x v="32"/>
    <x v="1"/>
    <s v="Haridus"/>
    <s v="Vinni-Pajusti Gümnaasium"/>
    <s v="ppr kasvataja"/>
    <n v="0.05"/>
    <m/>
    <n v="700"/>
    <n v="35"/>
    <n v="10"/>
    <m/>
    <n v="350"/>
    <n v="118.30000000000001"/>
    <m/>
  </r>
  <r>
    <x v="1"/>
    <x v="32"/>
    <x v="32"/>
    <x v="1"/>
    <s v="Haridus"/>
    <s v="Vinni-Pajusti Gümnaasium"/>
    <s v="ppr kasvataja"/>
    <n v="7.0000000000000007E-2"/>
    <m/>
    <n v="700"/>
    <n v="49.000000000000007"/>
    <n v="10"/>
    <m/>
    <n v="490.00000000000006"/>
    <n v="165.62000000000003"/>
    <m/>
  </r>
  <r>
    <x v="1"/>
    <x v="32"/>
    <x v="32"/>
    <x v="1"/>
    <s v="Haridus"/>
    <s v="Vinni-Pajusti Gümnaasium"/>
    <s v="ppr kasvataja"/>
    <n v="0.09"/>
    <m/>
    <n v="700"/>
    <n v="63"/>
    <n v="10"/>
    <m/>
    <n v="630"/>
    <n v="212.94000000000003"/>
    <m/>
  </r>
  <r>
    <x v="1"/>
    <x v="32"/>
    <x v="32"/>
    <x v="1"/>
    <s v="Haridus"/>
    <s v="Vinni-Pajusti Gümnaasium"/>
    <s v="ppr kasvataja"/>
    <n v="0.09"/>
    <m/>
    <n v="700"/>
    <n v="63"/>
    <n v="10"/>
    <m/>
    <n v="630"/>
    <n v="212.94000000000003"/>
    <m/>
  </r>
  <r>
    <x v="1"/>
    <x v="32"/>
    <x v="32"/>
    <x v="1"/>
    <s v="Haridus"/>
    <s v="Vinni-Pajusti Gümnaasium"/>
    <s v="ppr kasvataja"/>
    <n v="0.09"/>
    <m/>
    <n v="700"/>
    <n v="63"/>
    <n v="10"/>
    <m/>
    <n v="630"/>
    <n v="212.94000000000003"/>
    <m/>
  </r>
  <r>
    <x v="1"/>
    <x v="32"/>
    <x v="32"/>
    <x v="1"/>
    <s v="Haridus"/>
    <s v="Vinni-Pajusti Gümnaasium"/>
    <s v="ppr kasvataja"/>
    <n v="0.11"/>
    <m/>
    <n v="700"/>
    <n v="77"/>
    <n v="10"/>
    <m/>
    <n v="770"/>
    <n v="260.26"/>
    <m/>
  </r>
  <r>
    <x v="1"/>
    <x v="32"/>
    <x v="32"/>
    <x v="1"/>
    <s v="Haridus"/>
    <s v="Vinni-Pajusti Gümnaasium"/>
    <s v="ppr kasvataja"/>
    <n v="0.14000000000000001"/>
    <m/>
    <n v="700"/>
    <n v="98.000000000000014"/>
    <n v="10"/>
    <m/>
    <n v="980.00000000000011"/>
    <n v="331.24000000000007"/>
    <m/>
  </r>
  <r>
    <x v="1"/>
    <x v="32"/>
    <x v="32"/>
    <x v="1"/>
    <s v="Haridus"/>
    <s v="Vinni-Pajusti Gümnaasium"/>
    <s v="ppr kasvataja"/>
    <n v="0.14000000000000001"/>
    <m/>
    <n v="700"/>
    <n v="98.000000000000014"/>
    <n v="10"/>
    <m/>
    <n v="980.00000000000011"/>
    <n v="331.24000000000007"/>
    <m/>
  </r>
  <r>
    <x v="1"/>
    <x v="32"/>
    <x v="32"/>
    <x v="1"/>
    <s v="Haridus"/>
    <s v="Vinni-Pajusti Gümnaasium"/>
    <s v="ppr kasvataja"/>
    <n v="0.14000000000000001"/>
    <m/>
    <n v="700"/>
    <n v="98.000000000000014"/>
    <n v="10"/>
    <m/>
    <n v="980.00000000000011"/>
    <n v="331.24000000000007"/>
    <m/>
  </r>
  <r>
    <x v="1"/>
    <x v="32"/>
    <x v="32"/>
    <x v="1"/>
    <s v="Haridus"/>
    <s v="Vinni-Pajusti Gümnaasium"/>
    <s v="ppr kasvataja"/>
    <n v="0.14000000000000001"/>
    <m/>
    <n v="700"/>
    <n v="98.000000000000014"/>
    <n v="10"/>
    <m/>
    <n v="980.00000000000011"/>
    <n v="331.24000000000007"/>
    <m/>
  </r>
  <r>
    <x v="1"/>
    <x v="32"/>
    <x v="32"/>
    <x v="1"/>
    <s v="Haridus"/>
    <s v="Vinni-Pajusti Gümnaasium"/>
    <s v="ppr kasvataja"/>
    <n v="0.23"/>
    <m/>
    <n v="700"/>
    <n v="161"/>
    <n v="10"/>
    <m/>
    <n v="1610"/>
    <n v="544.18000000000006"/>
    <m/>
  </r>
  <r>
    <x v="1"/>
    <x v="32"/>
    <x v="32"/>
    <x v="1"/>
    <s v="Haridus"/>
    <s v="Vinni-Pajusti Gümnaasium"/>
    <s v="ppr kasvataja"/>
    <n v="0.27"/>
    <m/>
    <n v="700"/>
    <n v="189"/>
    <n v="10"/>
    <m/>
    <n v="1890"/>
    <n v="638.82000000000005"/>
    <m/>
  </r>
  <r>
    <x v="1"/>
    <x v="32"/>
    <x v="32"/>
    <x v="1"/>
    <s v="Haridus"/>
    <s v="Vinni-Pajusti Gümnaasium"/>
    <s v="psühholoog"/>
    <n v="1"/>
    <m/>
    <n v="1315"/>
    <n v="1315"/>
    <n v="12"/>
    <m/>
    <n v="15780"/>
    <n v="5333.64"/>
    <m/>
  </r>
  <r>
    <x v="1"/>
    <x v="32"/>
    <x v="32"/>
    <x v="1"/>
    <s v="Haridus"/>
    <s v="Vinni-Pajusti Gümnaasium"/>
    <s v="raamatukoguhoidja"/>
    <n v="1"/>
    <m/>
    <n v="700"/>
    <n v="700"/>
    <n v="12"/>
    <m/>
    <n v="8400"/>
    <n v="2839.2000000000003"/>
    <m/>
  </r>
  <r>
    <x v="1"/>
    <x v="32"/>
    <x v="32"/>
    <x v="1"/>
    <s v="Haridus"/>
    <s v="Vinni-Pajusti Gümnaasium"/>
    <s v="remonditööline"/>
    <n v="1"/>
    <m/>
    <n v="584"/>
    <n v="584"/>
    <n v="12"/>
    <m/>
    <n v="7008"/>
    <n v="2368.7040000000002"/>
    <m/>
  </r>
  <r>
    <x v="1"/>
    <x v="32"/>
    <x v="32"/>
    <x v="1"/>
    <s v="Haridus"/>
    <s v="Vinni-Pajusti Gümnaasium"/>
    <s v="ringijuht (huvitav keemia)"/>
    <n v="0.09"/>
    <m/>
    <n v="700"/>
    <n v="63"/>
    <n v="10"/>
    <m/>
    <n v="630"/>
    <n v="212.94000000000003"/>
    <m/>
  </r>
  <r>
    <x v="1"/>
    <x v="32"/>
    <x v="32"/>
    <x v="1"/>
    <s v="Haridus"/>
    <s v="Vinni-Pajusti Gümnaasium"/>
    <s v="ringijuht (jalgpall, sulgpall, korvpall)"/>
    <n v="0.27"/>
    <m/>
    <n v="700"/>
    <n v="189"/>
    <n v="10"/>
    <m/>
    <n v="1890"/>
    <n v="638.82000000000005"/>
    <m/>
  </r>
  <r>
    <x v="1"/>
    <x v="32"/>
    <x v="32"/>
    <x v="1"/>
    <s v="Haridus"/>
    <s v="Vinni-Pajusti Gümnaasium"/>
    <s v="ringijuht (judo, sumo)"/>
    <n v="0.27"/>
    <m/>
    <n v="700"/>
    <n v="189"/>
    <n v="10"/>
    <m/>
    <n v="1890"/>
    <n v="638.82000000000005"/>
    <m/>
  </r>
  <r>
    <x v="1"/>
    <x v="32"/>
    <x v="32"/>
    <x v="1"/>
    <s v="Haridus"/>
    <s v="Vinni-Pajusti Gümnaasium"/>
    <s v="ringijuht (keelesõber)"/>
    <n v="0.09"/>
    <m/>
    <n v="700"/>
    <n v="63"/>
    <n v="10"/>
    <m/>
    <n v="630"/>
    <n v="212.94000000000003"/>
    <m/>
  </r>
  <r>
    <x v="1"/>
    <x v="32"/>
    <x v="32"/>
    <x v="1"/>
    <s v="Haridus"/>
    <s v="Vinni-Pajusti Gümnaasium"/>
    <s v="ringijuht (kergejõustik)"/>
    <n v="1"/>
    <m/>
    <n v="700"/>
    <n v="700"/>
    <n v="10"/>
    <m/>
    <n v="7000"/>
    <n v="2366"/>
    <m/>
  </r>
  <r>
    <x v="1"/>
    <x v="32"/>
    <x v="32"/>
    <x v="1"/>
    <s v="Haridus"/>
    <s v="Vinni-Pajusti Gümnaasium"/>
    <s v="ringijuht (kergejõustik)"/>
    <n v="0.45"/>
    <m/>
    <n v="700"/>
    <n v="315"/>
    <n v="10"/>
    <m/>
    <n v="3150"/>
    <n v="1064.7"/>
    <m/>
  </r>
  <r>
    <x v="1"/>
    <x v="32"/>
    <x v="32"/>
    <x v="1"/>
    <s v="Haridus"/>
    <s v="Vinni-Pajusti Gümnaasium"/>
    <s v="ringijuht (klaverisaade)"/>
    <n v="0.5"/>
    <m/>
    <n v="700"/>
    <n v="350"/>
    <n v="10"/>
    <m/>
    <n v="3500"/>
    <n v="1183"/>
    <s v="lisatasu klaveriõpetajale"/>
  </r>
  <r>
    <x v="1"/>
    <x v="32"/>
    <x v="32"/>
    <x v="1"/>
    <s v="Haridus"/>
    <s v="Vinni-Pajusti Gümnaasium"/>
    <s v="ringijuht (kodundus)"/>
    <n v="0.09"/>
    <m/>
    <n v="700"/>
    <n v="63"/>
    <n v="10"/>
    <m/>
    <n v="630"/>
    <n v="212.94000000000003"/>
    <m/>
  </r>
  <r>
    <x v="1"/>
    <x v="32"/>
    <x v="32"/>
    <x v="1"/>
    <s v="Haridus"/>
    <s v="Vinni-Pajusti Gümnaasium"/>
    <s v="ringijuht (kodu-uurimine)"/>
    <n v="0.05"/>
    <m/>
    <n v="700"/>
    <n v="35"/>
    <n v="10"/>
    <m/>
    <n v="350"/>
    <n v="118.30000000000001"/>
    <m/>
  </r>
  <r>
    <x v="1"/>
    <x v="32"/>
    <x v="32"/>
    <x v="1"/>
    <s v="Haridus"/>
    <s v="Vinni-Pajusti Gümnaasium"/>
    <s v="ringijuht (koolikujundus)"/>
    <n v="0.09"/>
    <m/>
    <n v="700"/>
    <n v="63"/>
    <n v="10"/>
    <m/>
    <n v="630"/>
    <n v="212.94000000000003"/>
    <m/>
  </r>
  <r>
    <x v="1"/>
    <x v="32"/>
    <x v="32"/>
    <x v="1"/>
    <s v="Haridus"/>
    <s v="Vinni-Pajusti Gümnaasium"/>
    <s v="ringijuht (kooliraadio)"/>
    <n v="0.09"/>
    <m/>
    <n v="700"/>
    <n v="63"/>
    <n v="4"/>
    <m/>
    <n v="252"/>
    <n v="85.176000000000002"/>
    <s v="hetkel täitmata "/>
  </r>
  <r>
    <x v="1"/>
    <x v="32"/>
    <x v="32"/>
    <x v="1"/>
    <s v="Haridus"/>
    <s v="Vinni-Pajusti Gümnaasium"/>
    <s v="ringijuht (Kooli-TV)"/>
    <n v="0.14000000000000001"/>
    <m/>
    <n v="700"/>
    <n v="98.000000000000014"/>
    <n v="4"/>
    <m/>
    <n v="392.00000000000006"/>
    <n v="132.49600000000004"/>
    <s v="hetkel täitmata "/>
  </r>
  <r>
    <x v="1"/>
    <x v="32"/>
    <x v="32"/>
    <x v="1"/>
    <s v="Haridus"/>
    <s v="Vinni-Pajusti Gümnaasium"/>
    <s v="ringijuht (Kooli-TV)"/>
    <n v="0.32"/>
    <m/>
    <n v="700"/>
    <n v="224"/>
    <n v="4"/>
    <m/>
    <n v="896"/>
    <n v="302.84800000000001"/>
    <s v="hetkel täitmata "/>
  </r>
  <r>
    <x v="1"/>
    <x v="32"/>
    <x v="32"/>
    <x v="1"/>
    <s v="Haridus"/>
    <s v="Vinni-Pajusti Gümnaasium"/>
    <s v="ringijuht (koorid(mudilas, laste)"/>
    <n v="0.36"/>
    <m/>
    <n v="700"/>
    <n v="252"/>
    <n v="10"/>
    <m/>
    <n v="2520"/>
    <n v="851.7600000000001"/>
    <m/>
  </r>
  <r>
    <x v="1"/>
    <x v="32"/>
    <x v="32"/>
    <x v="1"/>
    <s v="Haridus"/>
    <s v="Vinni-Pajusti Gümnaasium"/>
    <s v="ringijuht (käsitöö)"/>
    <n v="0.09"/>
    <m/>
    <n v="700"/>
    <n v="63"/>
    <n v="10"/>
    <m/>
    <n v="630"/>
    <n v="212.94000000000003"/>
    <s v="lisatasu õpetajale"/>
  </r>
  <r>
    <x v="1"/>
    <x v="32"/>
    <x v="32"/>
    <x v="1"/>
    <s v="Haridus"/>
    <s v="Vinni-Pajusti Gümnaasium"/>
    <s v="ringijuht (male)"/>
    <n v="0.36"/>
    <m/>
    <n v="700"/>
    <n v="252"/>
    <n v="10"/>
    <m/>
    <n v="2520"/>
    <n v="851.7600000000001"/>
    <m/>
  </r>
  <r>
    <x v="1"/>
    <x v="32"/>
    <x v="32"/>
    <x v="1"/>
    <s v="Haridus"/>
    <s v="Vinni-Pajusti Gümnaasium"/>
    <s v="ringijuht (matkaring)"/>
    <n v="0.09"/>
    <m/>
    <n v="700"/>
    <n v="63"/>
    <n v="10"/>
    <m/>
    <n v="630"/>
    <n v="212.94000000000003"/>
    <s v="alustavad jaanuarist"/>
  </r>
  <r>
    <x v="1"/>
    <x v="32"/>
    <x v="32"/>
    <x v="1"/>
    <s v="Haridus"/>
    <s v="Vinni-Pajusti Gümnaasium"/>
    <s v="ringijuht (matkaring)"/>
    <n v="0.09"/>
    <m/>
    <n v="700"/>
    <n v="63"/>
    <n v="10"/>
    <m/>
    <n v="630"/>
    <n v="212.94000000000003"/>
    <s v="alustavad jaanuarist"/>
  </r>
  <r>
    <x v="1"/>
    <x v="32"/>
    <x v="32"/>
    <x v="1"/>
    <s v="Haridus"/>
    <s v="Vinni-Pajusti Gümnaasium"/>
    <s v="ringijuht (meedia)"/>
    <n v="0.09"/>
    <m/>
    <n v="700"/>
    <n v="63"/>
    <n v="4"/>
    <m/>
    <n v="252"/>
    <n v="85.176000000000002"/>
    <s v="hetkel täitmata "/>
  </r>
  <r>
    <x v="1"/>
    <x v="32"/>
    <x v="32"/>
    <x v="1"/>
    <s v="Haridus"/>
    <s v="Vinni-Pajusti Gümnaasium"/>
    <s v="ringijuht (meisterdamine)"/>
    <n v="0.18"/>
    <m/>
    <n v="700"/>
    <n v="126"/>
    <n v="10"/>
    <m/>
    <n v="1260"/>
    <n v="425.88000000000005"/>
    <m/>
  </r>
  <r>
    <x v="1"/>
    <x v="32"/>
    <x v="32"/>
    <x v="1"/>
    <s v="Haridus"/>
    <s v="Vinni-Pajusti Gümnaasium"/>
    <s v="ringijuht (mini RC/automudelism)"/>
    <n v="0.09"/>
    <m/>
    <n v="700"/>
    <n v="63"/>
    <n v="4"/>
    <m/>
    <n v="252"/>
    <n v="85.176000000000002"/>
    <s v="hetkel täitmata "/>
  </r>
  <r>
    <x v="1"/>
    <x v="32"/>
    <x v="32"/>
    <x v="1"/>
    <s v="Haridus"/>
    <s v="Vinni-Pajusti Gümnaasium"/>
    <s v="ringijuht (mini RC/automudelism)"/>
    <n v="0.45"/>
    <m/>
    <n v="700"/>
    <n v="315"/>
    <n v="10"/>
    <m/>
    <n v="3150"/>
    <n v="1064.7"/>
    <m/>
  </r>
  <r>
    <x v="1"/>
    <x v="32"/>
    <x v="32"/>
    <x v="1"/>
    <s v="Haridus"/>
    <s v="Vinni-Pajusti Gümnaasium"/>
    <s v="ringijuht (mudil. k, ans, solistid)"/>
    <n v="0.18"/>
    <m/>
    <n v="700"/>
    <n v="126"/>
    <n v="10"/>
    <m/>
    <n v="1260"/>
    <n v="425.88000000000005"/>
    <m/>
  </r>
  <r>
    <x v="1"/>
    <x v="32"/>
    <x v="32"/>
    <x v="1"/>
    <s v="Haridus"/>
    <s v="Vinni-Pajusti Gümnaasium"/>
    <s v="ringijuht (muuseum)"/>
    <n v="0.05"/>
    <m/>
    <n v="700"/>
    <n v="35"/>
    <n v="10"/>
    <m/>
    <n v="350"/>
    <n v="118.30000000000001"/>
    <s v="lisatasu õpetajale"/>
  </r>
  <r>
    <x v="1"/>
    <x v="32"/>
    <x v="32"/>
    <x v="1"/>
    <s v="Haridus"/>
    <s v="Vinni-Pajusti Gümnaasium"/>
    <s v="ringijuht (mälumängud)"/>
    <n v="0.05"/>
    <m/>
    <n v="700"/>
    <n v="35"/>
    <n v="10"/>
    <m/>
    <n v="350"/>
    <n v="118.30000000000001"/>
    <m/>
  </r>
  <r>
    <x v="1"/>
    <x v="32"/>
    <x v="32"/>
    <x v="1"/>
    <s v="Haridus"/>
    <s v="Vinni-Pajusti Gümnaasium"/>
    <s v="ringijuht (mälumängud)"/>
    <n v="0.09"/>
    <m/>
    <n v="700"/>
    <n v="63"/>
    <n v="10"/>
    <m/>
    <n v="630"/>
    <n v="212.94000000000003"/>
    <m/>
  </r>
  <r>
    <x v="1"/>
    <x v="32"/>
    <x v="32"/>
    <x v="1"/>
    <s v="Haridus"/>
    <s v="Vinni-Pajusti Gümnaasium"/>
    <s v="ringijuht (näitering)"/>
    <n v="0.09"/>
    <m/>
    <n v="700"/>
    <n v="63"/>
    <n v="10"/>
    <m/>
    <n v="630"/>
    <n v="212.94000000000003"/>
    <m/>
  </r>
  <r>
    <x v="1"/>
    <x v="32"/>
    <x v="32"/>
    <x v="1"/>
    <s v="Haridus"/>
    <s v="Vinni-Pajusti Gümnaasium"/>
    <s v="ringijuht (orienteerumine)"/>
    <n v="0.18"/>
    <m/>
    <n v="700"/>
    <n v="126"/>
    <n v="4"/>
    <m/>
    <n v="504"/>
    <n v="170.352"/>
    <s v="hetkel täitmata "/>
  </r>
  <r>
    <x v="1"/>
    <x v="32"/>
    <x v="32"/>
    <x v="1"/>
    <s v="Haridus"/>
    <s v="Vinni-Pajusti Gümnaasium"/>
    <s v="ringijuht (pilliõpetus)"/>
    <n v="0.36"/>
    <m/>
    <n v="700"/>
    <n v="252"/>
    <n v="10"/>
    <m/>
    <n v="2520"/>
    <n v="851.7600000000001"/>
    <m/>
  </r>
  <r>
    <x v="1"/>
    <x v="32"/>
    <x v="32"/>
    <x v="1"/>
    <s v="Haridus"/>
    <s v="Vinni-Pajusti Gümnaasium"/>
    <s v="ringijuht (rahvatants)"/>
    <n v="0.09"/>
    <m/>
    <n v="700"/>
    <n v="63"/>
    <n v="10"/>
    <m/>
    <n v="630"/>
    <n v="212.94000000000003"/>
    <s v="lisatasu õpetajale"/>
  </r>
  <r>
    <x v="1"/>
    <x v="32"/>
    <x v="32"/>
    <x v="1"/>
    <s v="Haridus"/>
    <s v="Vinni-Pajusti Gümnaasium"/>
    <s v="ringijuht (robootika)"/>
    <n v="0.45"/>
    <m/>
    <n v="700"/>
    <n v="315"/>
    <n v="10"/>
    <m/>
    <n v="3150"/>
    <n v="1064.7"/>
    <m/>
  </r>
  <r>
    <x v="1"/>
    <x v="32"/>
    <x v="32"/>
    <x v="1"/>
    <s v="Haridus"/>
    <s v="Vinni-Pajusti Gümnaasium"/>
    <s v="ringijuht (rütmiring)"/>
    <n v="0.09"/>
    <m/>
    <n v="700"/>
    <n v="63"/>
    <n v="10"/>
    <m/>
    <n v="630"/>
    <n v="212.94000000000003"/>
    <s v="lisatasu õpetajale"/>
  </r>
  <r>
    <x v="1"/>
    <x v="32"/>
    <x v="32"/>
    <x v="1"/>
    <s v="Haridus"/>
    <s v="Vinni-Pajusti Gümnaasium"/>
    <s v="ringijuht (sõutants)"/>
    <n v="0.18"/>
    <m/>
    <n v="700"/>
    <n v="126"/>
    <n v="4"/>
    <m/>
    <n v="504"/>
    <n v="170.352"/>
    <s v="hetkel täitmata "/>
  </r>
  <r>
    <x v="1"/>
    <x v="32"/>
    <x v="32"/>
    <x v="1"/>
    <s v="Haridus"/>
    <s v="Vinni-Pajusti Gümnaasium"/>
    <s v="ringijuht (tantsuring)"/>
    <n v="0.25"/>
    <m/>
    <n v="700"/>
    <n v="175"/>
    <n v="10"/>
    <m/>
    <n v="1750"/>
    <n v="591.5"/>
    <s v="lisatasu õpetajale"/>
  </r>
  <r>
    <x v="1"/>
    <x v="32"/>
    <x v="32"/>
    <x v="1"/>
    <s v="Haridus"/>
    <s v="Vinni-Pajusti Gümnaasium"/>
    <s v="ringijuht (teadmiste jahil)"/>
    <n v="0.09"/>
    <m/>
    <n v="700"/>
    <n v="63"/>
    <n v="10"/>
    <m/>
    <n v="630"/>
    <n v="212.94000000000003"/>
    <m/>
  </r>
  <r>
    <x v="1"/>
    <x v="32"/>
    <x v="32"/>
    <x v="1"/>
    <s v="Haridus"/>
    <s v="Vinni-Pajusti Gümnaasium"/>
    <s v="ringijuht (teatriring)"/>
    <n v="0.09"/>
    <m/>
    <n v="700"/>
    <n v="63"/>
    <n v="10"/>
    <m/>
    <n v="630"/>
    <n v="212.94000000000003"/>
    <s v="lisatasu õpetajale"/>
  </r>
  <r>
    <x v="1"/>
    <x v="32"/>
    <x v="32"/>
    <x v="1"/>
    <s v="Haridus"/>
    <s v="Vinni-Pajusti Gümnaasium"/>
    <s v="ringijuht (terve VPG)"/>
    <n v="0.14000000000000001"/>
    <m/>
    <n v="700"/>
    <n v="98.000000000000014"/>
    <n v="10"/>
    <m/>
    <n v="980.00000000000011"/>
    <n v="331.24000000000007"/>
    <s v="lisatasu õpetajale"/>
  </r>
  <r>
    <x v="1"/>
    <x v="32"/>
    <x v="32"/>
    <x v="1"/>
    <s v="Haridus"/>
    <s v="Vinni-Pajusti Gümnaasium"/>
    <s v="ringijuht (TORE)"/>
    <n v="0.09"/>
    <m/>
    <n v="700"/>
    <n v="63"/>
    <n v="10"/>
    <m/>
    <n v="630"/>
    <n v="212.94000000000003"/>
    <m/>
  </r>
  <r>
    <x v="1"/>
    <x v="32"/>
    <x v="32"/>
    <x v="1"/>
    <s v="Haridus"/>
    <s v="Vinni-Pajusti Gümnaasium"/>
    <s v="ringijuht (töö- ja tehnoloogia)"/>
    <n v="0.27"/>
    <m/>
    <n v="700"/>
    <n v="189"/>
    <n v="10"/>
    <m/>
    <n v="1890"/>
    <n v="638.82000000000005"/>
    <m/>
  </r>
  <r>
    <x v="1"/>
    <x v="32"/>
    <x v="32"/>
    <x v="1"/>
    <s v="Haridus"/>
    <s v="Vinni-Pajusti Gümnaasium"/>
    <s v="sekretär"/>
    <n v="1"/>
    <m/>
    <n v="700"/>
    <n v="700"/>
    <n v="12"/>
    <m/>
    <n v="8400"/>
    <n v="2839.2000000000003"/>
    <s v="PALK 970"/>
  </r>
  <r>
    <x v="1"/>
    <x v="32"/>
    <x v="32"/>
    <x v="1"/>
    <s v="Haridus"/>
    <s v="Vinni-Pajusti Gümnaasium"/>
    <s v="sots.pedagoog"/>
    <n v="1"/>
    <m/>
    <n v="1315"/>
    <n v="1315"/>
    <n v="12"/>
    <m/>
    <n v="15780"/>
    <n v="5333.64"/>
    <m/>
  </r>
  <r>
    <x v="1"/>
    <x v="32"/>
    <x v="32"/>
    <x v="1"/>
    <s v="Haridus"/>
    <s v="Vinni-Pajusti Gümnaasium"/>
    <s v="söökla juhataja-kokk"/>
    <n v="1"/>
    <m/>
    <n v="940"/>
    <n v="940"/>
    <n v="12"/>
    <m/>
    <n v="11280"/>
    <n v="3812.6400000000003"/>
    <m/>
  </r>
  <r>
    <x v="1"/>
    <x v="32"/>
    <x v="32"/>
    <x v="1"/>
    <s v="Haridus"/>
    <s v="Vinni-Pajusti Gümnaasium"/>
    <s v="valvur"/>
    <n v="1"/>
    <m/>
    <n v="584"/>
    <n v="584"/>
    <n v="12"/>
    <m/>
    <n v="7008"/>
    <n v="2368.7040000000002"/>
    <m/>
  </r>
  <r>
    <x v="1"/>
    <x v="32"/>
    <x v="32"/>
    <x v="1"/>
    <s v="Haridus"/>
    <s v="Vinni-Pajusti Gümnaasium"/>
    <s v="õpetaja abi"/>
    <n v="1"/>
    <m/>
    <n v="700"/>
    <n v="700"/>
    <n v="12"/>
    <m/>
    <n v="8400"/>
    <n v="2839.2000000000003"/>
    <m/>
  </r>
  <r>
    <x v="1"/>
    <x v="32"/>
    <x v="32"/>
    <x v="1"/>
    <s v="Haridus"/>
    <s v="Vinni-Pajusti Gümnaasium"/>
    <s v="HEV õppe koordinaator"/>
    <n v="1"/>
    <m/>
    <n v="1315"/>
    <n v="1315"/>
    <n v="12"/>
    <m/>
    <n v="15780"/>
    <n v="5333.64"/>
    <m/>
  </r>
  <r>
    <x v="1"/>
    <x v="32"/>
    <x v="32"/>
    <x v="1"/>
    <s v="Haridus"/>
    <s v="Vinni-Pajusti Gümnaasium"/>
    <s v="Abiõpetaja"/>
    <n v="1"/>
    <m/>
    <n v="1200"/>
    <n v="1200"/>
    <n v="4"/>
    <m/>
    <n v="4800"/>
    <n v="1622.4"/>
    <s v="hetkel täitmata "/>
  </r>
  <r>
    <x v="1"/>
    <x v="33"/>
    <x v="33"/>
    <x v="1"/>
    <s v="Haridus"/>
    <s v="Põlula kool"/>
    <s v="Pk õpetajate tööjõukulu"/>
    <n v="1"/>
    <s v="aasta"/>
    <n v="57469.357000000004"/>
    <n v="57469.357000000004"/>
    <n v="1"/>
    <m/>
    <n v="57469.357000000004"/>
    <n v="19424.642666000003"/>
    <m/>
  </r>
  <r>
    <x v="1"/>
    <x v="33"/>
    <x v="33"/>
    <x v="1"/>
    <s v="Haridus"/>
    <s v="Põlula kool"/>
    <s v="Juhtide tööjõukulu"/>
    <n v="1"/>
    <m/>
    <n v="5399.85"/>
    <n v="5399.85"/>
    <n v="1"/>
    <m/>
    <n v="5399.85"/>
    <n v="1825.1493000000003"/>
    <m/>
  </r>
  <r>
    <x v="1"/>
    <x v="33"/>
    <x v="33"/>
    <x v="1"/>
    <s v="Haridus"/>
    <s v="Põlula kool"/>
    <s v="sekretär"/>
    <n v="0.3"/>
    <m/>
    <n v="666.7"/>
    <n v="200.01000000000002"/>
    <n v="12"/>
    <m/>
    <n v="2400.1200000000003"/>
    <n v="811.24056000000019"/>
    <m/>
  </r>
  <r>
    <x v="1"/>
    <x v="33"/>
    <x v="33"/>
    <x v="1"/>
    <s v="Haridus"/>
    <s v="Põlula kool"/>
    <s v="raamatukoguhoidja"/>
    <n v="0.25"/>
    <m/>
    <n v="616"/>
    <n v="154"/>
    <n v="12"/>
    <m/>
    <n v="1848"/>
    <n v="624.62400000000002"/>
    <m/>
  </r>
  <r>
    <x v="1"/>
    <x v="33"/>
    <x v="33"/>
    <x v="1"/>
    <s v="Haridus"/>
    <s v="Põlula kool"/>
    <s v="pikapäeva rühma kasvataja"/>
    <n v="0.56999999999999995"/>
    <m/>
    <n v="991.23"/>
    <n v="565.00109999999995"/>
    <n v="12"/>
    <m/>
    <n v="6780.0131999999994"/>
    <n v="2291.6444615999999"/>
    <m/>
  </r>
  <r>
    <x v="1"/>
    <x v="33"/>
    <x v="33"/>
    <x v="1"/>
    <s v="Haridus"/>
    <s v="Põlula kool"/>
    <s v="koristaja"/>
    <n v="1"/>
    <m/>
    <n v="584"/>
    <n v="584"/>
    <n v="12"/>
    <m/>
    <n v="7008"/>
    <n v="2368.7040000000002"/>
    <m/>
  </r>
  <r>
    <x v="1"/>
    <x v="33"/>
    <x v="33"/>
    <x v="1"/>
    <s v="Haridus"/>
    <s v="Põlula kool"/>
    <s v="majahoidja"/>
    <n v="1"/>
    <m/>
    <n v="584"/>
    <n v="584"/>
    <n v="12"/>
    <m/>
    <n v="7008"/>
    <n v="2368.7040000000002"/>
    <m/>
  </r>
  <r>
    <x v="1"/>
    <x v="33"/>
    <x v="33"/>
    <x v="1"/>
    <s v="Haridus"/>
    <s v="Põlula kool"/>
    <s v="kokk"/>
    <n v="1"/>
    <m/>
    <n v="750"/>
    <n v="750"/>
    <n v="12"/>
    <m/>
    <n v="9000"/>
    <n v="3042"/>
    <m/>
  </r>
  <r>
    <x v="1"/>
    <x v="33"/>
    <x v="33"/>
    <x v="1"/>
    <s v="Haridus"/>
    <s v="Põlula kool"/>
    <s v="logopeed"/>
    <n v="0.6"/>
    <m/>
    <n v="983.35"/>
    <n v="590.01"/>
    <n v="12"/>
    <m/>
    <n v="7080.12"/>
    <n v="2393.0805600000003"/>
    <m/>
  </r>
  <r>
    <x v="1"/>
    <x v="33"/>
    <x v="33"/>
    <x v="1"/>
    <s v="Haridus"/>
    <s v="Põlula kool"/>
    <s v="Lisatasud ja preemiad"/>
    <n v="1"/>
    <s v="aasta"/>
    <n v="100"/>
    <n v="100"/>
    <n v="12"/>
    <m/>
    <n v="1200"/>
    <n v="405.6"/>
    <m/>
  </r>
  <r>
    <x v="1"/>
    <x v="34"/>
    <x v="34"/>
    <x v="15"/>
    <s v="Haridus"/>
    <s v="Haridusenõunik"/>
    <s v="Haridusenõunik"/>
    <n v="1"/>
    <m/>
    <n v="1560"/>
    <n v="1560"/>
    <n v="12"/>
    <m/>
    <n v="18720"/>
    <n v="6327.3600000000006"/>
    <m/>
  </r>
  <r>
    <x v="1"/>
    <x v="34"/>
    <x v="34"/>
    <x v="15"/>
    <s v="Haridus"/>
    <s v="Haridusenõunik"/>
    <s v="Metoodik"/>
    <n v="1"/>
    <m/>
    <n v="1450"/>
    <n v="1450"/>
    <n v="12"/>
    <m/>
    <n v="17400"/>
    <n v="5881.2000000000007"/>
    <m/>
  </r>
  <r>
    <x v="1"/>
    <x v="34"/>
    <x v="34"/>
    <x v="15"/>
    <s v="Haridus"/>
    <s v="Haridusenõunik"/>
    <s v="Eripedagoog "/>
    <n v="1"/>
    <m/>
    <n v="1450"/>
    <n v="1450"/>
    <n v="12"/>
    <m/>
    <n v="17400"/>
    <n v="5881.2000000000007"/>
    <m/>
  </r>
  <r>
    <x v="1"/>
    <x v="35"/>
    <x v="35"/>
    <x v="16"/>
    <s v="Haridus"/>
    <s v="Haridusenõunik"/>
    <s v="ringijuhtide tasud valla koolides 145 000"/>
    <n v="1"/>
    <m/>
    <n v="108370.7"/>
    <n v="108370.7"/>
    <n v="1"/>
    <m/>
    <n v="108370.7"/>
    <n v="36629.296600000001"/>
    <m/>
  </r>
  <r>
    <x v="0"/>
    <x v="36"/>
    <x v="36"/>
    <x v="14"/>
    <s v="Vabaaeg, kultuur ja religioon"/>
    <s v="Venevere seltsimaja"/>
    <s v="juhataja"/>
    <n v="1"/>
    <m/>
    <n v="690"/>
    <n v="690"/>
    <n v="12"/>
    <m/>
    <n v="8280"/>
    <n v="2798.6400000000003"/>
    <m/>
  </r>
  <r>
    <x v="0"/>
    <x v="36"/>
    <x v="36"/>
    <x v="14"/>
    <s v="Vabaaeg, kultuur ja religioon"/>
    <s v="Venevere seltsimaja"/>
    <s v="Lepinguliste töötajate töötasu"/>
    <n v="1"/>
    <m/>
    <m/>
    <n v="0"/>
    <m/>
    <n v="650"/>
    <n v="650"/>
    <n v="219.70000000000002"/>
    <m/>
  </r>
  <r>
    <x v="2"/>
    <x v="37"/>
    <x v="37"/>
    <x v="3"/>
    <s v="Sotsiaalne kaitse"/>
    <s v="Tammiku kodu"/>
    <s v="hooldaja"/>
    <n v="6"/>
    <m/>
    <n v="748"/>
    <n v="4488"/>
    <n v="12"/>
    <m/>
    <n v="53856"/>
    <n v="18203.328000000001"/>
    <s v="sisaldab palgatõusu"/>
  </r>
  <r>
    <x v="2"/>
    <x v="37"/>
    <x v="37"/>
    <x v="3"/>
    <s v="Sotsiaalne kaitse"/>
    <s v="Tammiku kodu"/>
    <s v="kokk"/>
    <n v="1"/>
    <m/>
    <n v="660"/>
    <n v="660"/>
    <n v="12"/>
    <m/>
    <n v="7920"/>
    <n v="2676.96"/>
    <s v="sisaldab palgatõusu"/>
  </r>
  <r>
    <x v="2"/>
    <x v="37"/>
    <x v="37"/>
    <x v="3"/>
    <s v="Sotsiaalne kaitse"/>
    <s v="Tammiku kodu"/>
    <s v="kokk"/>
    <n v="1"/>
    <m/>
    <n v="584"/>
    <n v="584"/>
    <n v="12"/>
    <m/>
    <n v="7008"/>
    <n v="2368.7040000000002"/>
    <s v="sisaldab palgatõusu"/>
  </r>
  <r>
    <x v="2"/>
    <x v="37"/>
    <x v="37"/>
    <x v="3"/>
    <s v="Sotsiaalne kaitse"/>
    <s v="Tammiku kodu"/>
    <s v="majahoidja"/>
    <n v="0.5"/>
    <m/>
    <n v="584"/>
    <n v="292"/>
    <n v="12"/>
    <m/>
    <n v="3504"/>
    <n v="1184.3520000000001"/>
    <s v="sisaldab palgatõusu"/>
  </r>
  <r>
    <x v="2"/>
    <x v="37"/>
    <x v="37"/>
    <x v="3"/>
    <s v="Sotsiaalne kaitse"/>
    <s v="Tammiku kodu"/>
    <s v="juhataja"/>
    <n v="1"/>
    <m/>
    <n v="1060"/>
    <n v="1060"/>
    <n v="12"/>
    <m/>
    <n v="12720"/>
    <n v="4299.3600000000006"/>
    <s v="sisaldab palgatõusu"/>
  </r>
  <r>
    <x v="2"/>
    <x v="37"/>
    <x v="37"/>
    <x v="3"/>
    <s v="Sotsiaalne kaitse"/>
    <s v="Tammiku kodu"/>
    <s v="Lisatasud ja preemiad"/>
    <n v="1"/>
    <m/>
    <m/>
    <n v="0"/>
    <m/>
    <n v="7842"/>
    <n v="7842"/>
    <n v="2650.596"/>
    <m/>
  </r>
  <r>
    <x v="2"/>
    <x v="38"/>
    <x v="38"/>
    <x v="3"/>
    <s v="Sotsiaalne kaitse"/>
    <s v="Ulvi kodu"/>
    <s v="juhataja"/>
    <n v="1"/>
    <m/>
    <n v="1435"/>
    <n v="1435"/>
    <n v="12"/>
    <m/>
    <n v="17220"/>
    <n v="5820.3600000000006"/>
    <m/>
  </r>
  <r>
    <x v="2"/>
    <x v="38"/>
    <x v="38"/>
    <x v="3"/>
    <s v="Sotsiaalne kaitse"/>
    <s v="Ulvi kodu"/>
    <s v="Kokk"/>
    <n v="2"/>
    <m/>
    <n v="891"/>
    <n v="1782"/>
    <n v="12"/>
    <m/>
    <n v="21384"/>
    <n v="7227.7920000000004"/>
    <m/>
  </r>
  <r>
    <x v="2"/>
    <x v="38"/>
    <x v="38"/>
    <x v="3"/>
    <s v="Sotsiaalne kaitse"/>
    <s v="Ulvi kodu"/>
    <s v="majandusjuhataja"/>
    <n v="1"/>
    <m/>
    <n v="880"/>
    <n v="880"/>
    <n v="12"/>
    <m/>
    <n v="10560"/>
    <n v="3569.28"/>
    <m/>
  </r>
  <r>
    <x v="2"/>
    <x v="38"/>
    <x v="38"/>
    <x v="3"/>
    <s v="Sotsiaalne kaitse"/>
    <s v="Ulvi kodu"/>
    <s v="koristaja"/>
    <n v="1"/>
    <m/>
    <n v="770"/>
    <n v="770"/>
    <n v="12"/>
    <m/>
    <n v="9240"/>
    <n v="3123.1200000000003"/>
    <m/>
  </r>
  <r>
    <x v="2"/>
    <x v="38"/>
    <x v="38"/>
    <x v="3"/>
    <s v="Sotsiaalne kaitse"/>
    <s v="Ulvi kodu"/>
    <s v="majahoidja"/>
    <n v="1"/>
    <m/>
    <n v="292"/>
    <n v="292"/>
    <n v="12"/>
    <m/>
    <n v="3504"/>
    <n v="1184.3520000000001"/>
    <m/>
  </r>
  <r>
    <x v="2"/>
    <x v="38"/>
    <x v="38"/>
    <x v="3"/>
    <s v="Sotsiaalne kaitse"/>
    <s v="Ulvi kodu"/>
    <s v="hooldajad"/>
    <n v="6.5"/>
    <m/>
    <n v="948.61540000000002"/>
    <n v="6166.0001000000002"/>
    <n v="12"/>
    <m/>
    <n v="73992.001199999999"/>
    <n v="25009.296405600002"/>
    <m/>
  </r>
  <r>
    <x v="2"/>
    <x v="38"/>
    <x v="38"/>
    <x v="3"/>
    <s v="Sotsiaalne kaitse"/>
    <s v="Ulvi kodu"/>
    <s v="Lepinguliste töötajate töötasu"/>
    <n v="1"/>
    <m/>
    <m/>
    <n v="0"/>
    <m/>
    <n v="1600"/>
    <n v="1600"/>
    <n v="540.80000000000007"/>
    <m/>
  </r>
  <r>
    <x v="0"/>
    <x v="39"/>
    <x v="39"/>
    <x v="0"/>
    <s v="Vabaaeg, kultuur ja religioon"/>
    <s v="Tudu raamatukogu"/>
    <s v="juhataja"/>
    <n v="1"/>
    <m/>
    <n v="591"/>
    <n v="591"/>
    <n v="12"/>
    <m/>
    <n v="7092"/>
    <n v="2397.096"/>
    <m/>
  </r>
  <r>
    <x v="2"/>
    <x v="40"/>
    <x v="40"/>
    <x v="17"/>
    <s v="Sotsiaalne kaitse"/>
    <s v="Vinni Perekodu"/>
    <s v="juhataja"/>
    <n v="1"/>
    <m/>
    <n v="1800"/>
    <n v="1800"/>
    <n v="12"/>
    <n v="1800"/>
    <n v="23400"/>
    <n v="7909.2000000000007"/>
    <m/>
  </r>
  <r>
    <x v="2"/>
    <x v="40"/>
    <x v="40"/>
    <x v="17"/>
    <s v="Sotsiaalne kaitse"/>
    <s v="Vinni Perekodu"/>
    <s v="juhiabi"/>
    <n v="1"/>
    <m/>
    <n v="1350"/>
    <n v="1350"/>
    <n v="12"/>
    <n v="1350"/>
    <n v="17550"/>
    <n v="5931.9000000000005"/>
    <m/>
  </r>
  <r>
    <x v="2"/>
    <x v="40"/>
    <x v="40"/>
    <x v="17"/>
    <s v="Sotsiaalne kaitse"/>
    <s v="Vinni Perekodu"/>
    <s v="majandusjuhataja"/>
    <n v="1"/>
    <m/>
    <n v="1350"/>
    <n v="1350"/>
    <n v="12"/>
    <n v="1350"/>
    <n v="17550"/>
    <n v="5931.9000000000005"/>
    <m/>
  </r>
  <r>
    <x v="2"/>
    <x v="40"/>
    <x v="40"/>
    <x v="17"/>
    <s v="Sotsiaalne kaitse"/>
    <s v="Vinni Perekodu"/>
    <s v="perevanem Päikese 8"/>
    <n v="1"/>
    <m/>
    <n v="1250"/>
    <n v="1250"/>
    <n v="12"/>
    <n v="1250"/>
    <n v="16250"/>
    <n v="5492.5"/>
    <m/>
  </r>
  <r>
    <x v="2"/>
    <x v="40"/>
    <x v="40"/>
    <x v="17"/>
    <s v="Sotsiaalne kaitse"/>
    <s v="Vinni Perekodu"/>
    <s v="perevanem Päikese 8"/>
    <n v="1"/>
    <m/>
    <n v="1250"/>
    <n v="1250"/>
    <n v="12"/>
    <n v="1250"/>
    <n v="16250"/>
    <n v="5492.5"/>
    <m/>
  </r>
  <r>
    <x v="2"/>
    <x v="40"/>
    <x v="40"/>
    <x v="17"/>
    <s v="Sotsiaalne kaitse"/>
    <s v="Vinni Perekodu"/>
    <s v="perevanem Päikese 8"/>
    <n v="1"/>
    <m/>
    <n v="1250"/>
    <n v="1250"/>
    <n v="12"/>
    <n v="1250"/>
    <n v="16250"/>
    <n v="5492.5"/>
    <m/>
  </r>
  <r>
    <x v="2"/>
    <x v="40"/>
    <x v="40"/>
    <x v="17"/>
    <s v="Sotsiaalne kaitse"/>
    <s v="Vinni Perekodu"/>
    <s v="perevanem Päikese 12"/>
    <n v="1"/>
    <m/>
    <n v="1250"/>
    <n v="1250"/>
    <n v="12"/>
    <n v="1250"/>
    <n v="16250"/>
    <n v="5492.5"/>
    <m/>
  </r>
  <r>
    <x v="2"/>
    <x v="40"/>
    <x v="40"/>
    <x v="17"/>
    <s v="Sotsiaalne kaitse"/>
    <s v="Vinni Perekodu"/>
    <s v="perevanem Päikese 12"/>
    <n v="1"/>
    <m/>
    <n v="1250"/>
    <n v="1250"/>
    <n v="12"/>
    <n v="1250"/>
    <n v="16250"/>
    <n v="5492.5"/>
    <m/>
  </r>
  <r>
    <x v="2"/>
    <x v="40"/>
    <x v="40"/>
    <x v="17"/>
    <s v="Sotsiaalne kaitse"/>
    <s v="Vinni Perekodu"/>
    <s v="perevanem Päikese 12"/>
    <n v="1"/>
    <m/>
    <n v="1250"/>
    <n v="1250"/>
    <n v="12"/>
    <n v="1250"/>
    <n v="16250"/>
    <n v="5492.5"/>
    <m/>
  </r>
  <r>
    <x v="2"/>
    <x v="40"/>
    <x v="40"/>
    <x v="17"/>
    <s v="Sotsiaalne kaitse"/>
    <s v="Vinni Perekodu"/>
    <s v="perevanem Päikese 14"/>
    <n v="1"/>
    <m/>
    <n v="1250"/>
    <n v="1250"/>
    <n v="12"/>
    <n v="1250"/>
    <n v="16250"/>
    <n v="5492.5"/>
    <m/>
  </r>
  <r>
    <x v="2"/>
    <x v="40"/>
    <x v="40"/>
    <x v="17"/>
    <s v="Sotsiaalne kaitse"/>
    <s v="Vinni Perekodu"/>
    <s v="perevanem Päikese 14"/>
    <n v="1"/>
    <m/>
    <n v="1250"/>
    <n v="1250"/>
    <n v="12"/>
    <n v="1250"/>
    <n v="16250"/>
    <n v="5492.5"/>
    <m/>
  </r>
  <r>
    <x v="2"/>
    <x v="40"/>
    <x v="40"/>
    <x v="17"/>
    <s v="Sotsiaalne kaitse"/>
    <s v="Vinni Perekodu"/>
    <s v="perevanem Päikese 14"/>
    <n v="1"/>
    <m/>
    <n v="1250"/>
    <n v="1250"/>
    <n v="12"/>
    <n v="1250"/>
    <n v="16250"/>
    <n v="5492.5"/>
    <m/>
  </r>
  <r>
    <x v="2"/>
    <x v="40"/>
    <x v="40"/>
    <x v="17"/>
    <s v="Sotsiaalne kaitse"/>
    <s v="Vinni Perekodu"/>
    <s v="perevanem Päikese 4"/>
    <n v="1"/>
    <m/>
    <n v="1250"/>
    <n v="1250"/>
    <n v="12"/>
    <n v="1250"/>
    <n v="16250"/>
    <n v="5492.5"/>
    <m/>
  </r>
  <r>
    <x v="2"/>
    <x v="40"/>
    <x v="40"/>
    <x v="17"/>
    <s v="Sotsiaalne kaitse"/>
    <s v="Vinni Perekodu"/>
    <s v="perevanem Päikese 4"/>
    <n v="1"/>
    <m/>
    <n v="1250"/>
    <n v="1250"/>
    <n v="12"/>
    <n v="1250"/>
    <n v="16250"/>
    <n v="5492.5"/>
    <m/>
  </r>
  <r>
    <x v="2"/>
    <x v="40"/>
    <x v="40"/>
    <x v="17"/>
    <s v="Sotsiaalne kaitse"/>
    <s v="Vinni Perekodu"/>
    <s v="perevanem Päikese 4"/>
    <n v="1"/>
    <m/>
    <n v="1250"/>
    <n v="1250"/>
    <n v="12"/>
    <n v="1250"/>
    <n v="16250"/>
    <n v="5492.5"/>
    <m/>
  </r>
  <r>
    <x v="2"/>
    <x v="40"/>
    <x v="40"/>
    <x v="17"/>
    <s v="Sotsiaalne kaitse"/>
    <s v="Vinni Perekodu"/>
    <s v="perevanem Päikese 2"/>
    <n v="1"/>
    <m/>
    <n v="1250"/>
    <n v="1250"/>
    <n v="12"/>
    <n v="1250"/>
    <n v="16250"/>
    <n v="5492.5"/>
    <m/>
  </r>
  <r>
    <x v="2"/>
    <x v="40"/>
    <x v="40"/>
    <x v="17"/>
    <s v="Sotsiaalne kaitse"/>
    <s v="Vinni Perekodu"/>
    <s v="perevanem Päikese 2"/>
    <n v="1"/>
    <m/>
    <n v="1250"/>
    <n v="1250"/>
    <n v="12"/>
    <n v="1250"/>
    <n v="16250"/>
    <n v="5492.5"/>
    <m/>
  </r>
  <r>
    <x v="2"/>
    <x v="40"/>
    <x v="40"/>
    <x v="17"/>
    <s v="Sotsiaalne kaitse"/>
    <s v="Vinni Perekodu"/>
    <s v="perevanem Päikese 2"/>
    <n v="1"/>
    <m/>
    <n v="1250"/>
    <n v="1250"/>
    <n v="12"/>
    <n v="1250"/>
    <n v="16250"/>
    <n v="5492.5"/>
    <m/>
  </r>
  <r>
    <x v="2"/>
    <x v="40"/>
    <x v="40"/>
    <x v="17"/>
    <s v="Sotsiaalne kaitse"/>
    <s v="Vinni Perekodu"/>
    <s v="abi"/>
    <n v="1"/>
    <m/>
    <n v="900"/>
    <n v="900"/>
    <n v="12"/>
    <n v="900"/>
    <n v="11700"/>
    <n v="3954.6000000000004"/>
    <m/>
  </r>
  <r>
    <x v="2"/>
    <x v="40"/>
    <x v="40"/>
    <x v="17"/>
    <s v="Sotsiaalne kaitse"/>
    <s v="Vinni Perekodu"/>
    <s v="puhkusteasendaja"/>
    <n v="1"/>
    <m/>
    <n v="1250"/>
    <n v="1250"/>
    <n v="12"/>
    <n v="1250"/>
    <n v="16250"/>
    <n v="5492.5"/>
    <m/>
  </r>
  <r>
    <x v="2"/>
    <x v="40"/>
    <x v="40"/>
    <x v="17"/>
    <s v="Sotsiaalne kaitse"/>
    <s v="Vinni Perekodu"/>
    <s v="õuealahool, remont 0,5"/>
    <n v="1"/>
    <m/>
    <n v="670"/>
    <n v="670"/>
    <n v="12"/>
    <n v="670"/>
    <n v="8710"/>
    <n v="2943.98"/>
    <m/>
  </r>
  <r>
    <x v="2"/>
    <x v="40"/>
    <x v="40"/>
    <x v="17"/>
    <s v="Sotsiaalne kaitse"/>
    <s v="Vinni Perekodu"/>
    <s v="autojuht 0,5"/>
    <n v="1"/>
    <m/>
    <n v="670"/>
    <n v="670"/>
    <n v="12"/>
    <n v="670"/>
    <n v="8710"/>
    <n v="2943.98"/>
    <m/>
  </r>
  <r>
    <x v="2"/>
    <x v="40"/>
    <x v="40"/>
    <x v="17"/>
    <s v="Sotsiaalne kaitse"/>
    <s v="Vinni Perekodu"/>
    <s v="koristaja 0.2"/>
    <n v="1"/>
    <s v="in"/>
    <n v="120"/>
    <n v="120"/>
    <n v="12"/>
    <n v="120"/>
    <n v="1560"/>
    <n v="527.28000000000009"/>
    <m/>
  </r>
  <r>
    <x v="1"/>
    <x v="41"/>
    <x v="41"/>
    <x v="1"/>
    <s v="Haridus"/>
    <s v="Tudu Põhikool"/>
    <s v="infojuht"/>
    <n v="0.30063699999999999"/>
    <m/>
    <n v="785"/>
    <n v="236.000045"/>
    <n v="12"/>
    <m/>
    <n v="2832.00054"/>
    <n v="957.21618252000007"/>
    <m/>
  </r>
  <r>
    <x v="1"/>
    <x v="41"/>
    <x v="41"/>
    <x v="1"/>
    <s v="Haridus"/>
    <s v="Tudu Põhikool"/>
    <s v="ringijuht"/>
    <n v="1"/>
    <s v="in"/>
    <n v="580"/>
    <n v="580"/>
    <n v="12"/>
    <m/>
    <n v="6960"/>
    <n v="2352.48"/>
    <m/>
  </r>
  <r>
    <x v="1"/>
    <x v="41"/>
    <x v="41"/>
    <x v="1"/>
    <s v="Haridus"/>
    <s v="Tudu Põhikool"/>
    <s v="kõneravi koolis"/>
    <n v="0.100034"/>
    <m/>
    <n v="978"/>
    <n v="97.833252000000002"/>
    <n v="12"/>
    <m/>
    <n v="1173.999024"/>
    <n v="396.811670112"/>
    <m/>
  </r>
  <r>
    <x v="1"/>
    <x v="42"/>
    <x v="42"/>
    <x v="2"/>
    <s v="Haridus"/>
    <s v="Tudu Lasteaed"/>
    <s v="kõneravi lasteaias"/>
    <n v="0.100034"/>
    <m/>
    <n v="978"/>
    <n v="97.833252000000002"/>
    <n v="12"/>
    <m/>
    <n v="1173.999024"/>
    <n v="396.811670112"/>
    <m/>
  </r>
  <r>
    <x v="1"/>
    <x v="42"/>
    <x v="42"/>
    <x v="2"/>
    <s v="Haridus"/>
    <s v="Tudu Lasteaed"/>
    <s v="abiõpetaja lasteaias"/>
    <n v="1"/>
    <m/>
    <n v="760"/>
    <n v="760"/>
    <n v="12"/>
    <m/>
    <n v="9120"/>
    <n v="3082.5600000000004"/>
    <m/>
  </r>
  <r>
    <x v="1"/>
    <x v="42"/>
    <x v="42"/>
    <x v="2"/>
    <s v="Haridus"/>
    <s v="Tudu Lasteaed"/>
    <s v="lasteaiaõpetaja"/>
    <n v="1.83"/>
    <m/>
    <n v="1183.5"/>
    <n v="2165.8050000000003"/>
    <n v="12"/>
    <m/>
    <n v="25989.660000000003"/>
    <n v="8784.5050800000026"/>
    <m/>
  </r>
  <r>
    <x v="1"/>
    <x v="42"/>
    <x v="42"/>
    <x v="2"/>
    <s v="Haridus"/>
    <s v="Tudu Lasteaed"/>
    <s v="lasteaia muusikaõpetaja"/>
    <n v="0.12978000000000001"/>
    <m/>
    <n v="1183.5"/>
    <n v="153.59463"/>
    <n v="12"/>
    <m/>
    <n v="1843.1355599999999"/>
    <n v="622.97981928000002"/>
    <m/>
  </r>
  <r>
    <x v="1"/>
    <x v="42"/>
    <x v="42"/>
    <x v="2"/>
    <s v="Haridus"/>
    <s v="Tudu Lasteaed"/>
    <s v="lasteaia liikumisõpetaja"/>
    <n v="0.12978000000000001"/>
    <m/>
    <n v="1183.5"/>
    <n v="153.59463"/>
    <n v="12"/>
    <m/>
    <n v="1843.1355599999999"/>
    <n v="622.97981928000002"/>
    <m/>
  </r>
  <r>
    <x v="1"/>
    <x v="41"/>
    <x v="41"/>
    <x v="1"/>
    <s v="Haridus"/>
    <s v="Tudu Põhikool"/>
    <s v="aednik-majahoidja"/>
    <n v="0.5"/>
    <m/>
    <n v="584"/>
    <n v="292"/>
    <n v="12"/>
    <m/>
    <n v="3504"/>
    <n v="1184.3520000000001"/>
    <m/>
  </r>
  <r>
    <x v="1"/>
    <x v="41"/>
    <x v="41"/>
    <x v="1"/>
    <s v="Haridus"/>
    <s v="Tudu Põhikool"/>
    <s v="katlakütja"/>
    <n v="2"/>
    <m/>
    <n v="584"/>
    <n v="1168"/>
    <n v="12"/>
    <m/>
    <n v="14016"/>
    <n v="4737.4080000000004"/>
    <m/>
  </r>
  <r>
    <x v="1"/>
    <x v="41"/>
    <x v="41"/>
    <x v="1"/>
    <s v="Haridus"/>
    <s v="Tudu Põhikool"/>
    <s v="bussijuht"/>
    <n v="0.5"/>
    <m/>
    <n v="901"/>
    <n v="450.5"/>
    <n v="12"/>
    <m/>
    <n v="5406"/>
    <n v="1827.2280000000001"/>
    <m/>
  </r>
  <r>
    <x v="1"/>
    <x v="41"/>
    <x v="41"/>
    <x v="1"/>
    <s v="Haridus"/>
    <s v="Tudu Põhikool"/>
    <s v="koristaja"/>
    <n v="2"/>
    <m/>
    <n v="584"/>
    <n v="1168"/>
    <n v="12"/>
    <m/>
    <n v="14016"/>
    <n v="4737.4080000000004"/>
    <m/>
  </r>
  <r>
    <x v="1"/>
    <x v="41"/>
    <x v="41"/>
    <x v="1"/>
    <s v="Haridus"/>
    <s v="Tudu Põhikool"/>
    <s v="remondimees"/>
    <n v="0.5"/>
    <m/>
    <n v="584"/>
    <n v="292"/>
    <n v="12"/>
    <m/>
    <n v="3504"/>
    <n v="1184.3520000000001"/>
    <m/>
  </r>
  <r>
    <x v="1"/>
    <x v="41"/>
    <x v="41"/>
    <x v="1"/>
    <s v="Haridus"/>
    <s v="Tudu Põhikool"/>
    <s v="pesumasinist"/>
    <n v="0.25"/>
    <m/>
    <n v="584"/>
    <n v="146"/>
    <n v="12"/>
    <m/>
    <n v="1752"/>
    <n v="592.17600000000004"/>
    <m/>
  </r>
  <r>
    <x v="1"/>
    <x v="41"/>
    <x v="41"/>
    <x v="1"/>
    <s v="Haridus"/>
    <s v="Tudu Põhikool"/>
    <s v="kokk+abitööline"/>
    <n v="1"/>
    <m/>
    <n v="703"/>
    <n v="703"/>
    <n v="12"/>
    <m/>
    <n v="8436"/>
    <n v="2851.3680000000004"/>
    <m/>
  </r>
  <r>
    <x v="1"/>
    <x v="41"/>
    <x v="41"/>
    <x v="1"/>
    <s v="Haridus"/>
    <s v="Tudu Põhikool"/>
    <s v="Lisatasud ja preemiad"/>
    <m/>
    <m/>
    <m/>
    <n v="0"/>
    <n v="1"/>
    <n v="300"/>
    <n v="300"/>
    <n v="101.4"/>
    <m/>
  </r>
  <r>
    <x v="0"/>
    <x v="43"/>
    <x v="43"/>
    <x v="14"/>
    <s v="Vabaaeg, kultuur ja religioon"/>
    <s v="Roela Rahvamaja"/>
    <s v="Juhataja"/>
    <n v="1"/>
    <m/>
    <n v="966"/>
    <n v="966"/>
    <n v="12"/>
    <m/>
    <n v="11592"/>
    <n v="3918.0960000000005"/>
    <m/>
  </r>
  <r>
    <x v="0"/>
    <x v="43"/>
    <x v="43"/>
    <x v="14"/>
    <s v="Vabaaeg, kultuur ja religioon"/>
    <s v="Roela Rahvamaja"/>
    <s v="Perenaine"/>
    <n v="1"/>
    <m/>
    <n v="584"/>
    <n v="584"/>
    <n v="12"/>
    <m/>
    <n v="7008"/>
    <n v="2368.7040000000002"/>
    <m/>
  </r>
  <r>
    <x v="0"/>
    <x v="43"/>
    <x v="43"/>
    <x v="14"/>
    <s v="Vabaaeg, kultuur ja religioon"/>
    <s v="Roela Rahvamaja"/>
    <s v="Naistantsurühma juhendaja"/>
    <n v="1"/>
    <m/>
    <m/>
    <n v="0"/>
    <m/>
    <n v="795"/>
    <n v="795"/>
    <n v="268.71000000000004"/>
    <m/>
  </r>
  <r>
    <x v="0"/>
    <x v="43"/>
    <x v="43"/>
    <x v="14"/>
    <s v="Vabaaeg, kultuur ja religioon"/>
    <s v="Roela Rahvamaja"/>
    <s v="Memmede tantsurühma juhendaja"/>
    <n v="1"/>
    <m/>
    <m/>
    <n v="0"/>
    <m/>
    <n v="530"/>
    <n v="530"/>
    <n v="179.14000000000001"/>
    <m/>
  </r>
  <r>
    <x v="0"/>
    <x v="43"/>
    <x v="43"/>
    <x v="14"/>
    <s v="Vabaaeg, kultuur ja religioon"/>
    <s v="Roela Rahvamaja"/>
    <s v="Segakoori dirigent"/>
    <n v="1"/>
    <m/>
    <m/>
    <n v="0"/>
    <m/>
    <n v="795"/>
    <n v="795"/>
    <n v="268.71000000000004"/>
    <m/>
  </r>
  <r>
    <x v="0"/>
    <x v="43"/>
    <x v="43"/>
    <x v="14"/>
    <s v="Vabaaeg, kultuur ja religioon"/>
    <s v="Roela Rahvamaja"/>
    <s v="Naisansambli juhendaja"/>
    <n v="1"/>
    <m/>
    <m/>
    <n v="0"/>
    <m/>
    <n v="530"/>
    <n v="530"/>
    <n v="179.14000000000001"/>
    <m/>
  </r>
  <r>
    <x v="0"/>
    <x v="43"/>
    <x v="43"/>
    <x v="14"/>
    <s v="Vabaaeg, kultuur ja religioon"/>
    <s v="Roela Rahvamaja"/>
    <s v="Meesansambli juhendaja"/>
    <n v="1"/>
    <m/>
    <m/>
    <n v="0"/>
    <m/>
    <n v="530"/>
    <n v="530"/>
    <n v="179.14000000000001"/>
    <m/>
  </r>
  <r>
    <x v="0"/>
    <x v="43"/>
    <x v="43"/>
    <x v="14"/>
    <s v="Vabaaeg, kultuur ja religioon"/>
    <s v="Roela Rahvamaja"/>
    <s v="Kvartett ,,Sära´´ juhendaja"/>
    <n v="1"/>
    <m/>
    <m/>
    <n v="0"/>
    <m/>
    <n v="530"/>
    <n v="530"/>
    <n v="179.14000000000001"/>
    <m/>
  </r>
  <r>
    <x v="0"/>
    <x v="43"/>
    <x v="43"/>
    <x v="14"/>
    <s v="Vabaaeg, kultuur ja religioon"/>
    <s v="Roela Rahvamaja"/>
    <s v="ZUMBA tantsutrenni juhendaja"/>
    <n v="1"/>
    <m/>
    <m/>
    <n v="0"/>
    <m/>
    <n v="530"/>
    <n v="530"/>
    <n v="179.14000000000001"/>
    <m/>
  </r>
  <r>
    <x v="0"/>
    <x v="43"/>
    <x v="43"/>
    <x v="14"/>
    <s v="Vabaaeg, kultuur ja religioon"/>
    <s v="Roela Rahvamaja"/>
    <s v="Näiteringi ,,Kartoffel´´ juhendaja"/>
    <n v="1"/>
    <m/>
    <m/>
    <n v="0"/>
    <m/>
    <n v="795"/>
    <n v="795"/>
    <n v="268.71000000000004"/>
    <m/>
  </r>
  <r>
    <x v="0"/>
    <x v="43"/>
    <x v="43"/>
    <x v="14"/>
    <s v="Vabaaeg, kultuur ja religioon"/>
    <s v="Roela Rahvamaja"/>
    <s v="Laste pilliõpe"/>
    <n v="1"/>
    <m/>
    <m/>
    <n v="0"/>
    <m/>
    <m/>
    <n v="0"/>
    <n v="0"/>
    <s v="juhendaja tasustamine kuni eelmise aastani kooli eelarvest, vallavanem ei ole veel teinud otsust millisel moel edaspidi jätkata"/>
  </r>
  <r>
    <x v="6"/>
    <x v="44"/>
    <x v="44"/>
    <x v="18"/>
    <s v="Avalik kord ja julgeolek"/>
    <s v="Noorsoo- ja spordinõunik"/>
    <s v="Valmisolekutasud"/>
    <n v="7"/>
    <s v="in"/>
    <n v="30.963000000000001"/>
    <n v="216.74100000000001"/>
    <n v="4"/>
    <m/>
    <n v="866.96400000000006"/>
    <n v="293.03383200000002"/>
    <m/>
  </r>
  <r>
    <x v="4"/>
    <x v="45"/>
    <x v="45"/>
    <x v="19"/>
    <s v="Majandus"/>
    <s v="Vallavanem"/>
    <s v="IT spetsialist"/>
    <n v="1"/>
    <m/>
    <n v="1560"/>
    <n v="1560"/>
    <n v="12"/>
    <m/>
    <n v="18720"/>
    <n v="6327.3600000000006"/>
    <m/>
  </r>
  <r>
    <x v="4"/>
    <x v="15"/>
    <x v="15"/>
    <x v="12"/>
    <s v="Majandus"/>
    <s v="Vallavanem"/>
    <s v="teede- ja ühistranspordinõunik"/>
    <n v="1"/>
    <m/>
    <n v="1675"/>
    <n v="1675"/>
    <n v="12"/>
    <m/>
    <n v="20100"/>
    <n v="6793.8"/>
    <m/>
  </r>
  <r>
    <x v="3"/>
    <x v="4"/>
    <x v="4"/>
    <x v="4"/>
    <s v="Üldised valitsussektori teenused"/>
    <s v="Vallavanem"/>
    <s v="Valitsuse liikme tasud"/>
    <n v="3"/>
    <s v="in"/>
    <n v="45"/>
    <n v="135"/>
    <n v="56"/>
    <m/>
    <n v="7560"/>
    <n v="2555.2800000000002"/>
    <m/>
  </r>
  <r>
    <x v="0"/>
    <x v="46"/>
    <x v="46"/>
    <x v="20"/>
    <s v="Vabaaeg, kultuur ja religioon"/>
    <s v="Vallavanem"/>
    <s v="Kultuuri-ja avalike suhete nõunik"/>
    <n v="1"/>
    <m/>
    <n v="1560"/>
    <n v="1560"/>
    <n v="12"/>
    <m/>
    <n v="18720"/>
    <n v="6327.3600000000006"/>
    <m/>
  </r>
  <r>
    <x v="0"/>
    <x v="47"/>
    <x v="47"/>
    <x v="14"/>
    <s v="Vabaaeg, kultuur ja religioon"/>
    <s v="Kadila seltsimaja"/>
    <s v="Perenaine"/>
    <n v="1"/>
    <m/>
    <n v="584"/>
    <n v="584"/>
    <n v="12"/>
    <m/>
    <n v="7008"/>
    <n v="2368.7040000000002"/>
    <m/>
  </r>
  <r>
    <x v="0"/>
    <x v="48"/>
    <x v="48"/>
    <x v="14"/>
    <s v="Vabaaeg, kultuur ja religioon"/>
    <s v="Tudu Rahvamaja"/>
    <s v="Juhataja"/>
    <n v="1"/>
    <m/>
    <n v="160"/>
    <n v="160"/>
    <n v="12"/>
    <m/>
    <n v="1920"/>
    <n v="648.96"/>
    <m/>
  </r>
  <r>
    <x v="0"/>
    <x v="48"/>
    <x v="48"/>
    <x v="14"/>
    <s v="Vabaaeg, kultuur ja religioon"/>
    <s v="Tudu Rahvamaja"/>
    <s v="Lepinguliste töötajate töötasu"/>
    <n v="1"/>
    <s v="in"/>
    <n v="152"/>
    <n v="152"/>
    <n v="12"/>
    <m/>
    <n v="1824"/>
    <n v="616.51200000000006"/>
    <m/>
  </r>
  <r>
    <x v="0"/>
    <x v="49"/>
    <x v="49"/>
    <x v="14"/>
    <s v="Vabaaeg, kultuur ja religioon"/>
    <s v="Pajusti klubi"/>
    <s v="Juhataja"/>
    <n v="1"/>
    <m/>
    <n v="1150"/>
    <n v="1150"/>
    <n v="12"/>
    <m/>
    <n v="13800"/>
    <n v="4664.4000000000005"/>
    <m/>
  </r>
  <r>
    <x v="0"/>
    <x v="49"/>
    <x v="49"/>
    <x v="14"/>
    <s v="Vabaaeg, kultuur ja religioon"/>
    <s v="Pajusti klubi"/>
    <s v="Koristaja"/>
    <n v="1"/>
    <m/>
    <n v="584"/>
    <n v="584"/>
    <n v="12"/>
    <m/>
    <n v="7008"/>
    <n v="2368.7040000000002"/>
    <m/>
  </r>
  <r>
    <x v="0"/>
    <x v="49"/>
    <x v="49"/>
    <x v="14"/>
    <s v="Vabaaeg, kultuur ja religioon"/>
    <s v="Pajusti klubi"/>
    <s v="Lepingulised"/>
    <n v="1"/>
    <m/>
    <n v="897.5"/>
    <n v="897.5"/>
    <n v="12"/>
    <m/>
    <n v="10770"/>
    <n v="3640.26"/>
    <m/>
  </r>
  <r>
    <x v="1"/>
    <x v="50"/>
    <x v="50"/>
    <x v="21"/>
    <s v="Haridus"/>
    <s v="Roela Õpilaskodu"/>
    <s v="ÕK kasvataja"/>
    <n v="1"/>
    <m/>
    <n v="820"/>
    <n v="820"/>
    <n v="12"/>
    <m/>
    <n v="9840"/>
    <n v="3325.92"/>
    <m/>
  </r>
  <r>
    <x v="1"/>
    <x v="50"/>
    <x v="50"/>
    <x v="21"/>
    <s v="Haridus"/>
    <s v="Roela Õpilaskodu"/>
    <s v="ÕK öökasvataja"/>
    <n v="1"/>
    <m/>
    <n v="690"/>
    <n v="690"/>
    <n v="12"/>
    <m/>
    <n v="8280"/>
    <n v="2798.6400000000003"/>
    <m/>
  </r>
  <r>
    <x v="1"/>
    <x v="50"/>
    <x v="50"/>
    <x v="21"/>
    <s v="Haridus"/>
    <s v="Roela Õpilaskodu"/>
    <s v="koristaja"/>
    <n v="1"/>
    <m/>
    <n v="390"/>
    <n v="390"/>
    <n v="12"/>
    <m/>
    <n v="4680"/>
    <n v="1581.8400000000001"/>
    <m/>
  </r>
  <r>
    <x v="1"/>
    <x v="51"/>
    <x v="51"/>
    <x v="2"/>
    <s v="Haridus"/>
    <s v="Muuga-Laekvere kool"/>
    <s v="Õpetaja+ klassijuhatamine"/>
    <n v="0"/>
    <m/>
    <n v="1315"/>
    <n v="0"/>
    <n v="12"/>
    <m/>
    <n v="0"/>
    <n v="0"/>
    <m/>
  </r>
  <r>
    <x v="1"/>
    <x v="51"/>
    <x v="51"/>
    <x v="2"/>
    <s v="Haridus"/>
    <s v="Muuga-Laekvere kool"/>
    <s v="õpiabi"/>
    <n v="0"/>
    <m/>
    <n v="1315"/>
    <n v="0"/>
    <n v="12"/>
    <m/>
    <n v="0"/>
    <n v="0"/>
    <m/>
  </r>
  <r>
    <x v="1"/>
    <x v="51"/>
    <x v="51"/>
    <x v="2"/>
    <s v="Haridus"/>
    <s v="Muuga-Laekvere kool"/>
    <s v="õppejuht "/>
    <n v="0"/>
    <m/>
    <n v="1315"/>
    <n v="0"/>
    <n v="12"/>
    <m/>
    <n v="0"/>
    <n v="0"/>
    <m/>
  </r>
  <r>
    <x v="1"/>
    <x v="51"/>
    <x v="51"/>
    <x v="2"/>
    <s v="Haridus"/>
    <s v="Muuga-Laekvere kool"/>
    <s v="direktor"/>
    <n v="0"/>
    <m/>
    <n v="1414"/>
    <n v="0"/>
    <n v="12"/>
    <m/>
    <n v="0"/>
    <n v="0"/>
    <m/>
  </r>
  <r>
    <x v="1"/>
    <x v="51"/>
    <x v="51"/>
    <x v="2"/>
    <s v="Haridus"/>
    <s v="Muuga-Laekvere kool"/>
    <s v="sotsiaalpedagoog "/>
    <n v="0.25"/>
    <m/>
    <n v="1315"/>
    <n v="328.75"/>
    <n v="12"/>
    <m/>
    <n v="3945"/>
    <n v="1333.41"/>
    <m/>
  </r>
  <r>
    <x v="1"/>
    <x v="51"/>
    <x v="51"/>
    <x v="2"/>
    <s v="Haridus"/>
    <s v="Muuga-Laekvere kool"/>
    <s v="logopeed"/>
    <n v="0.5"/>
    <m/>
    <n v="1315"/>
    <n v="657.5"/>
    <n v="12"/>
    <m/>
    <n v="7890"/>
    <n v="2666.82"/>
    <m/>
  </r>
  <r>
    <x v="1"/>
    <x v="51"/>
    <x v="51"/>
    <x v="2"/>
    <s v="Haridus"/>
    <s v="Muuga-Laekvere kool"/>
    <s v="lasteaia õpetaja"/>
    <n v="3.25"/>
    <m/>
    <n v="1183.5"/>
    <n v="3846.375"/>
    <n v="12"/>
    <m/>
    <n v="46156.5"/>
    <n v="15600.897000000001"/>
    <m/>
  </r>
  <r>
    <x v="1"/>
    <x v="51"/>
    <x v="51"/>
    <x v="2"/>
    <s v="Haridus"/>
    <s v="Muuga-Laekvere kool"/>
    <s v="lasteaia õpetaja"/>
    <n v="0.25"/>
    <m/>
    <n v="1315"/>
    <n v="328.75"/>
    <n v="12"/>
    <m/>
    <n v="3945"/>
    <n v="1333.41"/>
    <m/>
  </r>
  <r>
    <x v="1"/>
    <x v="51"/>
    <x v="51"/>
    <x v="2"/>
    <s v="Haridus"/>
    <s v="Muuga-Laekvere kool"/>
    <s v="õpetaja abi"/>
    <n v="2"/>
    <m/>
    <n v="702"/>
    <n v="1404"/>
    <n v="12"/>
    <m/>
    <n v="16848"/>
    <n v="5694.6240000000007"/>
    <m/>
  </r>
  <r>
    <x v="1"/>
    <x v="51"/>
    <x v="51"/>
    <x v="2"/>
    <s v="Haridus"/>
    <s v="Muuga-Laekvere kool"/>
    <s v="hoidja"/>
    <n v="2"/>
    <m/>
    <n v="702"/>
    <n v="1404"/>
    <n v="12"/>
    <m/>
    <n v="16848"/>
    <n v="5694.6240000000007"/>
    <m/>
  </r>
  <r>
    <x v="1"/>
    <x v="51"/>
    <x v="51"/>
    <x v="2"/>
    <s v="Haridus"/>
    <s v="Muuga-Laekvere kool"/>
    <s v="õpetaja assistent"/>
    <n v="1"/>
    <m/>
    <n v="1183.5"/>
    <n v="1183.5"/>
    <n v="12"/>
    <m/>
    <n v="14202"/>
    <n v="4800.2760000000007"/>
    <m/>
  </r>
  <r>
    <x v="1"/>
    <x v="51"/>
    <x v="51"/>
    <x v="2"/>
    <s v="Haridus"/>
    <s v="Muuga-Laekvere kool"/>
    <s v="pikkpäev "/>
    <n v="0"/>
    <m/>
    <n v="756"/>
    <n v="0"/>
    <n v="12"/>
    <m/>
    <n v="0"/>
    <n v="0"/>
    <m/>
  </r>
  <r>
    <x v="1"/>
    <x v="51"/>
    <x v="51"/>
    <x v="2"/>
    <s v="Haridus"/>
    <s v="Muuga-Laekvere kool"/>
    <s v="koristaja"/>
    <n v="0"/>
    <m/>
    <n v="584"/>
    <n v="0"/>
    <n v="12"/>
    <m/>
    <n v="0"/>
    <n v="0"/>
    <m/>
  </r>
  <r>
    <x v="1"/>
    <x v="51"/>
    <x v="51"/>
    <x v="2"/>
    <s v="Haridus"/>
    <s v="Muuga-Laekvere kool"/>
    <s v="majahoidja"/>
    <n v="1"/>
    <m/>
    <n v="584"/>
    <n v="584"/>
    <n v="12"/>
    <m/>
    <n v="7008"/>
    <n v="2368.7040000000002"/>
    <m/>
  </r>
  <r>
    <x v="1"/>
    <x v="51"/>
    <x v="51"/>
    <x v="2"/>
    <s v="Haridus"/>
    <s v="Muuga-Laekvere kool"/>
    <s v="majandusjuhataja"/>
    <n v="0"/>
    <m/>
    <n v="805"/>
    <n v="0"/>
    <n v="12"/>
    <m/>
    <n v="0"/>
    <n v="0"/>
    <m/>
  </r>
  <r>
    <x v="1"/>
    <x v="51"/>
    <x v="51"/>
    <x v="2"/>
    <s v="Haridus"/>
    <s v="Muuga-Laekvere kool"/>
    <s v="mõisa perenaine"/>
    <n v="0"/>
    <m/>
    <n v="691"/>
    <n v="0"/>
    <n v="12"/>
    <m/>
    <n v="0"/>
    <n v="0"/>
    <m/>
  </r>
  <r>
    <x v="1"/>
    <x v="51"/>
    <x v="51"/>
    <x v="2"/>
    <s v="Haridus"/>
    <s v="Muuga-Laekvere kool"/>
    <s v="kokk"/>
    <n v="0"/>
    <m/>
    <n v="724"/>
    <n v="0"/>
    <n v="12"/>
    <m/>
    <n v="0"/>
    <n v="0"/>
    <m/>
  </r>
  <r>
    <x v="1"/>
    <x v="51"/>
    <x v="51"/>
    <x v="2"/>
    <s v="Haridus"/>
    <s v="Muuga-Laekvere kool"/>
    <s v="kokk"/>
    <n v="0"/>
    <m/>
    <n v="632"/>
    <n v="0"/>
    <n v="12"/>
    <m/>
    <n v="0"/>
    <n v="0"/>
    <m/>
  </r>
  <r>
    <x v="1"/>
    <x v="51"/>
    <x v="51"/>
    <x v="2"/>
    <s v="Haridus"/>
    <s v="Muuga-Laekvere kool"/>
    <s v="koka abi"/>
    <n v="0"/>
    <m/>
    <n v="632"/>
    <n v="0"/>
    <n v="12"/>
    <m/>
    <n v="0"/>
    <n v="0"/>
    <m/>
  </r>
  <r>
    <x v="1"/>
    <x v="51"/>
    <x v="51"/>
    <x v="2"/>
    <s v="Haridus"/>
    <s v="Muuga-Laekvere kool"/>
    <s v="infojuht"/>
    <n v="0"/>
    <m/>
    <n v="853"/>
    <n v="0"/>
    <n v="12"/>
    <m/>
    <n v="0"/>
    <n v="0"/>
    <m/>
  </r>
  <r>
    <x v="1"/>
    <x v="51"/>
    <x v="51"/>
    <x v="2"/>
    <s v="Haridus"/>
    <s v="Muuga-Laekvere kool"/>
    <s v="laborant"/>
    <n v="0"/>
    <m/>
    <n v="584"/>
    <n v="0"/>
    <n v="12"/>
    <m/>
    <n v="0"/>
    <n v="0"/>
    <m/>
  </r>
  <r>
    <x v="1"/>
    <x v="51"/>
    <x v="51"/>
    <x v="2"/>
    <s v="Haridus"/>
    <s v="Muuga-Laekvere kool"/>
    <s v="ringid (1,29+1,31)"/>
    <n v="0"/>
    <m/>
    <n v="664"/>
    <n v="0"/>
    <n v="12"/>
    <m/>
    <n v="0"/>
    <n v="0"/>
    <m/>
  </r>
  <r>
    <x v="1"/>
    <x v="52"/>
    <x v="52"/>
    <x v="1"/>
    <s v="Haridus"/>
    <s v="Muuga-Laekvere kool"/>
    <s v="sotsiaalpedagoog "/>
    <n v="0.5"/>
    <m/>
    <n v="1250"/>
    <n v="625"/>
    <n v="12"/>
    <m/>
    <n v="7500"/>
    <n v="2535"/>
    <m/>
  </r>
  <r>
    <x v="1"/>
    <x v="52"/>
    <x v="52"/>
    <x v="1"/>
    <s v="Haridus"/>
    <s v="Muuga-Laekvere kool"/>
    <s v="logopeed"/>
    <n v="0.25"/>
    <m/>
    <n v="1250"/>
    <n v="312.5"/>
    <n v="12"/>
    <m/>
    <n v="3750"/>
    <n v="1267.5"/>
    <m/>
  </r>
  <r>
    <x v="1"/>
    <x v="52"/>
    <x v="52"/>
    <x v="1"/>
    <s v="Haridus"/>
    <s v="Muuga-Laekvere kool"/>
    <s v="õpetaja abi"/>
    <n v="0"/>
    <m/>
    <n v="702"/>
    <n v="0"/>
    <n v="12"/>
    <m/>
    <n v="0"/>
    <n v="0"/>
    <m/>
  </r>
  <r>
    <x v="1"/>
    <x v="52"/>
    <x v="52"/>
    <x v="1"/>
    <s v="Haridus"/>
    <s v="Muuga-Laekvere kool"/>
    <s v="hoidja"/>
    <n v="0"/>
    <m/>
    <n v="702"/>
    <n v="0"/>
    <n v="12"/>
    <m/>
    <n v="0"/>
    <n v="0"/>
    <m/>
  </r>
  <r>
    <x v="1"/>
    <x v="52"/>
    <x v="52"/>
    <x v="1"/>
    <s v="Haridus"/>
    <s v="Muuga-Laekvere kool"/>
    <s v="õpetaja assistent"/>
    <n v="0"/>
    <m/>
    <n v="1000"/>
    <n v="0"/>
    <n v="12"/>
    <m/>
    <n v="0"/>
    <n v="0"/>
    <m/>
  </r>
  <r>
    <x v="1"/>
    <x v="52"/>
    <x v="52"/>
    <x v="1"/>
    <s v="Haridus"/>
    <s v="Muuga-Laekvere kool"/>
    <s v="pikkpäev "/>
    <n v="0.7"/>
    <m/>
    <n v="756"/>
    <n v="529.19999999999993"/>
    <n v="10"/>
    <m/>
    <n v="5291.9999999999991"/>
    <n v="1788.6959999999999"/>
    <m/>
  </r>
  <r>
    <x v="1"/>
    <x v="52"/>
    <x v="52"/>
    <x v="1"/>
    <s v="Haridus"/>
    <s v="Muuga-Laekvere kool"/>
    <s v="koristaja"/>
    <n v="2"/>
    <m/>
    <n v="584"/>
    <n v="1168"/>
    <n v="12"/>
    <m/>
    <n v="14016"/>
    <n v="4737.4080000000004"/>
    <m/>
  </r>
  <r>
    <x v="1"/>
    <x v="52"/>
    <x v="52"/>
    <x v="1"/>
    <s v="Haridus"/>
    <s v="Muuga-Laekvere kool"/>
    <s v="majahoidja"/>
    <n v="0"/>
    <m/>
    <n v="584"/>
    <n v="0"/>
    <n v="12"/>
    <m/>
    <n v="0"/>
    <n v="0"/>
    <m/>
  </r>
  <r>
    <x v="1"/>
    <x v="52"/>
    <x v="52"/>
    <x v="1"/>
    <s v="Haridus"/>
    <s v="Muuga-Laekvere kool"/>
    <s v="majandusjuhataja"/>
    <n v="1"/>
    <m/>
    <n v="805"/>
    <n v="805"/>
    <n v="12"/>
    <m/>
    <n v="9660"/>
    <n v="3265.0800000000004"/>
    <m/>
  </r>
  <r>
    <x v="1"/>
    <x v="52"/>
    <x v="52"/>
    <x v="1"/>
    <s v="Haridus"/>
    <s v="Muuga-Laekvere kool"/>
    <s v="mõisa perenaine"/>
    <n v="0"/>
    <m/>
    <n v="691"/>
    <n v="0"/>
    <n v="12"/>
    <m/>
    <n v="0"/>
    <n v="0"/>
    <m/>
  </r>
  <r>
    <x v="1"/>
    <x v="52"/>
    <x v="52"/>
    <x v="1"/>
    <s v="Haridus"/>
    <s v="Muuga-Laekvere kool"/>
    <s v="kokk"/>
    <n v="1"/>
    <m/>
    <n v="724"/>
    <n v="724"/>
    <n v="12"/>
    <m/>
    <n v="8688"/>
    <n v="2936.5440000000003"/>
    <m/>
  </r>
  <r>
    <x v="1"/>
    <x v="52"/>
    <x v="52"/>
    <x v="1"/>
    <s v="Haridus"/>
    <s v="Muuga-Laekvere kool"/>
    <s v="kokk"/>
    <n v="0"/>
    <m/>
    <n v="632"/>
    <n v="0"/>
    <n v="12"/>
    <m/>
    <n v="0"/>
    <n v="0"/>
    <m/>
  </r>
  <r>
    <x v="1"/>
    <x v="52"/>
    <x v="52"/>
    <x v="1"/>
    <s v="Haridus"/>
    <s v="Muuga-Laekvere kool"/>
    <s v="koka abi"/>
    <n v="1"/>
    <m/>
    <n v="632"/>
    <n v="632"/>
    <n v="12"/>
    <m/>
    <n v="7584"/>
    <n v="2563.3920000000003"/>
    <m/>
  </r>
  <r>
    <x v="1"/>
    <x v="52"/>
    <x v="52"/>
    <x v="1"/>
    <s v="Haridus"/>
    <s v="Muuga-Laekvere kool"/>
    <s v="infojuht"/>
    <n v="0"/>
    <m/>
    <n v="853"/>
    <n v="0"/>
    <n v="12"/>
    <m/>
    <n v="0"/>
    <n v="0"/>
    <m/>
  </r>
  <r>
    <x v="1"/>
    <x v="52"/>
    <x v="52"/>
    <x v="1"/>
    <s v="Haridus"/>
    <s v="Muuga-Laekvere kool"/>
    <s v="laborant"/>
    <n v="0.3"/>
    <m/>
    <n v="584"/>
    <n v="175.2"/>
    <n v="12"/>
    <m/>
    <n v="2102.3999999999996"/>
    <n v="710.61119999999994"/>
    <m/>
  </r>
  <r>
    <x v="1"/>
    <x v="52"/>
    <x v="52"/>
    <x v="1"/>
    <s v="Haridus"/>
    <s v="Muuga-Laekvere kool"/>
    <s v="ringid (1,29+1,31)"/>
    <n v="1.29"/>
    <m/>
    <n v="664"/>
    <n v="856.56000000000006"/>
    <n v="9"/>
    <m/>
    <n v="7709.0400000000009"/>
    <n v="2605.6555200000003"/>
    <m/>
  </r>
  <r>
    <x v="1"/>
    <x v="53"/>
    <x v="53"/>
    <x v="1"/>
    <s v="Haridus"/>
    <s v="Muuga-Laekvere kool"/>
    <s v="sotsiaalpedagoog "/>
    <n v="0.25"/>
    <m/>
    <n v="1250"/>
    <n v="312.5"/>
    <n v="12"/>
    <m/>
    <n v="3750"/>
    <n v="1267.5"/>
    <m/>
  </r>
  <r>
    <x v="1"/>
    <x v="53"/>
    <x v="53"/>
    <x v="1"/>
    <s v="Haridus"/>
    <s v="Muuga-Laekvere kool"/>
    <s v="logopeed"/>
    <n v="0.25"/>
    <m/>
    <n v="1250"/>
    <n v="312.5"/>
    <n v="12"/>
    <m/>
    <n v="3750"/>
    <n v="1267.5"/>
    <m/>
  </r>
  <r>
    <x v="1"/>
    <x v="53"/>
    <x v="53"/>
    <x v="1"/>
    <s v="Haridus"/>
    <s v="Muuga-Laekvere kool"/>
    <s v="õpetaja abi"/>
    <n v="0"/>
    <m/>
    <n v="702"/>
    <n v="0"/>
    <n v="12"/>
    <m/>
    <n v="0"/>
    <n v="0"/>
    <m/>
  </r>
  <r>
    <x v="1"/>
    <x v="53"/>
    <x v="53"/>
    <x v="1"/>
    <s v="Haridus"/>
    <s v="Muuga-Laekvere kool"/>
    <s v="hoidja"/>
    <n v="0"/>
    <m/>
    <n v="702"/>
    <n v="0"/>
    <n v="12"/>
    <m/>
    <n v="0"/>
    <n v="0"/>
    <m/>
  </r>
  <r>
    <x v="1"/>
    <x v="53"/>
    <x v="53"/>
    <x v="1"/>
    <s v="Haridus"/>
    <s v="Muuga-Laekvere kool"/>
    <s v="õpetaja assistent"/>
    <n v="0"/>
    <m/>
    <n v="1000"/>
    <n v="0"/>
    <n v="12"/>
    <m/>
    <n v="0"/>
    <n v="0"/>
    <m/>
  </r>
  <r>
    <x v="1"/>
    <x v="53"/>
    <x v="53"/>
    <x v="1"/>
    <s v="Haridus"/>
    <s v="Muuga-Laekvere kool"/>
    <s v="pikkpäev "/>
    <n v="0.7"/>
    <m/>
    <n v="756"/>
    <n v="529.19999999999993"/>
    <n v="12"/>
    <m/>
    <n v="6350.4"/>
    <n v="2146.4351999999999"/>
    <m/>
  </r>
  <r>
    <x v="1"/>
    <x v="53"/>
    <x v="53"/>
    <x v="1"/>
    <s v="Haridus"/>
    <s v="Muuga-Laekvere kool"/>
    <s v="koristaja"/>
    <n v="1"/>
    <m/>
    <n v="584"/>
    <n v="584"/>
    <n v="12"/>
    <m/>
    <n v="7008"/>
    <n v="2368.7040000000002"/>
    <m/>
  </r>
  <r>
    <x v="1"/>
    <x v="53"/>
    <x v="53"/>
    <x v="1"/>
    <s v="Haridus"/>
    <s v="Muuga-Laekvere kool"/>
    <s v="majahoidja"/>
    <n v="1"/>
    <m/>
    <n v="584"/>
    <n v="584"/>
    <n v="12"/>
    <m/>
    <n v="7008"/>
    <n v="2368.7040000000002"/>
    <m/>
  </r>
  <r>
    <x v="1"/>
    <x v="53"/>
    <x v="53"/>
    <x v="1"/>
    <s v="Haridus"/>
    <s v="Muuga-Laekvere kool"/>
    <s v="majandusjuhataja"/>
    <n v="0"/>
    <m/>
    <n v="805"/>
    <n v="0"/>
    <n v="12"/>
    <m/>
    <n v="0"/>
    <n v="0"/>
    <m/>
  </r>
  <r>
    <x v="1"/>
    <x v="53"/>
    <x v="53"/>
    <x v="1"/>
    <s v="Haridus"/>
    <s v="Muuga-Laekvere kool"/>
    <s v="mõisa perenaine"/>
    <n v="1"/>
    <m/>
    <n v="691"/>
    <n v="691"/>
    <n v="12"/>
    <m/>
    <n v="8292"/>
    <n v="2802.6960000000004"/>
    <m/>
  </r>
  <r>
    <x v="1"/>
    <x v="53"/>
    <x v="53"/>
    <x v="1"/>
    <s v="Haridus"/>
    <s v="Muuga-Laekvere kool"/>
    <s v="kokk"/>
    <n v="0"/>
    <m/>
    <n v="724"/>
    <n v="0"/>
    <n v="12"/>
    <m/>
    <n v="0"/>
    <n v="0"/>
    <m/>
  </r>
  <r>
    <x v="1"/>
    <x v="53"/>
    <x v="53"/>
    <x v="1"/>
    <s v="Haridus"/>
    <s v="Muuga-Laekvere kool"/>
    <s v="kokk"/>
    <n v="1"/>
    <m/>
    <n v="632"/>
    <n v="632"/>
    <n v="12"/>
    <m/>
    <n v="7584"/>
    <n v="2563.3920000000003"/>
    <m/>
  </r>
  <r>
    <x v="1"/>
    <x v="53"/>
    <x v="53"/>
    <x v="1"/>
    <s v="Haridus"/>
    <s v="Muuga-Laekvere kool"/>
    <s v="koka abi"/>
    <n v="0"/>
    <m/>
    <n v="632"/>
    <n v="0"/>
    <n v="12"/>
    <m/>
    <n v="0"/>
    <n v="0"/>
    <m/>
  </r>
  <r>
    <x v="1"/>
    <x v="53"/>
    <x v="53"/>
    <x v="1"/>
    <s v="Haridus"/>
    <s v="Muuga-Laekvere kool"/>
    <s v="infojuht"/>
    <n v="0.25"/>
    <m/>
    <n v="853"/>
    <n v="213.25"/>
    <n v="12"/>
    <m/>
    <n v="2559"/>
    <n v="864.94200000000001"/>
    <m/>
  </r>
  <r>
    <x v="1"/>
    <x v="53"/>
    <x v="53"/>
    <x v="1"/>
    <s v="Haridus"/>
    <s v="Muuga-Laekvere kool"/>
    <s v="laborant"/>
    <n v="0"/>
    <m/>
    <n v="584"/>
    <n v="0"/>
    <n v="12"/>
    <m/>
    <n v="0"/>
    <n v="0"/>
    <m/>
  </r>
  <r>
    <x v="1"/>
    <x v="53"/>
    <x v="53"/>
    <x v="1"/>
    <s v="Haridus"/>
    <s v="Muuga-Laekvere kool"/>
    <s v="ringid "/>
    <n v="1.31"/>
    <m/>
    <n v="664"/>
    <n v="869.84"/>
    <n v="9"/>
    <m/>
    <n v="7828.56"/>
    <n v="2646.0532800000001"/>
    <m/>
  </r>
  <r>
    <x v="5"/>
    <x v="54"/>
    <x v="54"/>
    <x v="13"/>
    <s v="Elamu- ja kommunaalmajandus"/>
    <s v="Vinni-Pajusti piirkond"/>
    <s v="Heakorratööline"/>
    <n v="1"/>
    <s v="in"/>
    <n v="390"/>
    <n v="390"/>
    <n v="12"/>
    <m/>
    <n v="4680"/>
    <n v="1581.8400000000001"/>
    <m/>
  </r>
  <r>
    <x v="5"/>
    <x v="54"/>
    <x v="54"/>
    <x v="13"/>
    <s v="Elamu- ja kommunaalmajandus"/>
    <s v="Vinni-Pajusti piirkond"/>
    <s v="Ehitus-, remondi ja majandustöötaja"/>
    <n v="170"/>
    <s v="tundi"/>
    <n v="6"/>
    <n v="1020"/>
    <n v="12"/>
    <m/>
    <n v="12240"/>
    <n v="4137.12"/>
    <m/>
  </r>
  <r>
    <x v="5"/>
    <x v="54"/>
    <x v="54"/>
    <x v="13"/>
    <s v="Elamu- ja kommunaalmajandus"/>
    <s v="Vinni-Pajusti piirkond"/>
    <s v="Ehitus-, remondi ja majandustöötaja"/>
    <n v="170"/>
    <s v="tundi"/>
    <n v="6"/>
    <n v="1020"/>
    <n v="12"/>
    <m/>
    <n v="12240"/>
    <n v="97.92"/>
    <s v="töövõimetus, ei maksa sotsiaalmaksu"/>
  </r>
  <r>
    <x v="5"/>
    <x v="54"/>
    <x v="54"/>
    <x v="13"/>
    <s v="Elamu- ja kommunaalmajandus"/>
    <s v="Vinni-Pajusti piirkond"/>
    <s v="remondi- ja elektritööline"/>
    <n v="170"/>
    <s v="tundi"/>
    <n v="6"/>
    <n v="1020"/>
    <n v="12"/>
    <m/>
    <n v="12240"/>
    <n v="4137.12"/>
    <m/>
  </r>
  <r>
    <x v="5"/>
    <x v="54"/>
    <x v="54"/>
    <x v="13"/>
    <s v="Elamu- ja kommunaalmajandus"/>
    <s v="Vinni-Pajusti piirkond"/>
    <s v="remonditööline"/>
    <n v="170"/>
    <s v="tundi"/>
    <n v="6"/>
    <n v="1020"/>
    <n v="12"/>
    <m/>
    <n v="12240"/>
    <n v="4137.12"/>
    <m/>
  </r>
  <r>
    <x v="5"/>
    <x v="54"/>
    <x v="54"/>
    <x v="13"/>
    <s v="Elamu- ja kommunaalmajandus"/>
    <s v="Vinni-Pajusti piirkond"/>
    <s v="Lepinguliste töötajate töötasu"/>
    <n v="90"/>
    <s v="tundi"/>
    <n v="5"/>
    <n v="450"/>
    <n v="12"/>
    <m/>
    <n v="5400"/>
    <n v="1825.2"/>
    <m/>
  </r>
  <r>
    <x v="3"/>
    <x v="4"/>
    <x v="4"/>
    <x v="4"/>
    <s v="Üldised valitsussektori teenused"/>
    <s v="Kantselei"/>
    <s v="Arhiivi korrastamise teenus (töövõtuleping)"/>
    <n v="1"/>
    <m/>
    <m/>
    <n v="0"/>
    <n v="1"/>
    <n v="2000"/>
    <n v="2000"/>
    <n v="676"/>
    <m/>
  </r>
  <r>
    <x v="3"/>
    <x v="4"/>
    <x v="4"/>
    <x v="4"/>
    <s v="Üldised valitsussektori teenused"/>
    <s v="Kantselei"/>
    <s v="Preemia juubilaridele (ametnik+töötaja)"/>
    <n v="1"/>
    <m/>
    <m/>
    <n v="0"/>
    <n v="1"/>
    <n v="6000"/>
    <n v="6000"/>
    <n v="2028.0000000000002"/>
    <m/>
  </r>
  <r>
    <x v="0"/>
    <x v="49"/>
    <x v="49"/>
    <x v="14"/>
    <s v="Vabaaeg, kultuur ja religioon"/>
    <s v="Pajusti klubi"/>
    <s v="Lisatasu kultuuriasutuste koordineerimise eest"/>
    <n v="1"/>
    <m/>
    <m/>
    <n v="0"/>
    <m/>
    <n v="6624"/>
    <n v="6624"/>
    <n v="2238.9120000000003"/>
    <m/>
  </r>
  <r>
    <x v="0"/>
    <x v="55"/>
    <x v="55"/>
    <x v="22"/>
    <s v="Vabaaeg, kultuur ja religioon"/>
    <s v="Muuseumi juhataja"/>
    <s v="Käsunduslepingud arhivaalide kogumiseks"/>
    <n v="6"/>
    <s v="in"/>
    <n v="747.38400000000001"/>
    <n v="4484.3040000000001"/>
    <n v="3"/>
    <m/>
    <n v="13452.912"/>
    <n v="4547.0842560000001"/>
    <m/>
  </r>
  <r>
    <x v="0"/>
    <x v="55"/>
    <x v="55"/>
    <x v="22"/>
    <s v="Vabaaeg, kultuur ja religioon"/>
    <s v="Muuseumi juhataja"/>
    <s v="Juhataja"/>
    <n v="1"/>
    <s v="in"/>
    <n v="1200"/>
    <n v="1200"/>
    <n v="12"/>
    <m/>
    <n v="14400"/>
    <n v="4867.2000000000007"/>
    <m/>
  </r>
  <r>
    <x v="6"/>
    <x v="44"/>
    <x v="44"/>
    <x v="18"/>
    <s v="Avalik kord ja julgeolek"/>
    <s v="Noorsoo- ja spordinõunik"/>
    <s v="Lisatasud tulekahju kustutamiste korral"/>
    <n v="7"/>
    <s v="in"/>
    <n v="30"/>
    <n v="210"/>
    <n v="4"/>
    <m/>
    <n v="840"/>
    <n v="283.92"/>
    <m/>
  </r>
  <r>
    <x v="1"/>
    <x v="35"/>
    <x v="35"/>
    <x v="16"/>
    <s v="Haridus"/>
    <s v="Noorsoo- ja spordinõunik"/>
    <s v="Ujumise juhendamine"/>
    <n v="1"/>
    <s v="aasta"/>
    <n v="1440"/>
    <n v="1440"/>
    <n v="1"/>
    <m/>
    <n v="1440"/>
    <n v="486.72"/>
    <s v="Tudu, Roela, V-Jaagupi, Pajusti, Vinni lapsed 7-26 a."/>
  </r>
  <r>
    <x v="1"/>
    <x v="35"/>
    <x v="35"/>
    <x v="16"/>
    <s v="Haridus"/>
    <s v="Noorsoo- ja spordinõunik"/>
    <s v="Ujumise juhendamine"/>
    <n v="1"/>
    <s v="aasta"/>
    <n v="1440"/>
    <n v="1440"/>
    <n v="1"/>
    <m/>
    <n v="1440"/>
    <n v="486.72"/>
    <s v="Laekvere, Muuga lapsed 7-26a."/>
  </r>
  <r>
    <x v="1"/>
    <x v="1"/>
    <x v="1"/>
    <x v="1"/>
    <s v="Haridus"/>
    <s v=" Roela kool"/>
    <s v="Juhtide tööjõukulu"/>
    <n v="1"/>
    <s v="aasta"/>
    <n v="5399.85"/>
    <n v="5399.85"/>
    <n v="1"/>
    <m/>
    <n v="5399.85"/>
    <n v="1825.1493000000003"/>
    <m/>
  </r>
  <r>
    <x v="1"/>
    <x v="1"/>
    <x v="1"/>
    <x v="1"/>
    <s v="Haridus"/>
    <s v=" Roela kool"/>
    <s v="noorsootöötaja"/>
    <n v="1"/>
    <m/>
    <n v="1250"/>
    <n v="1250"/>
    <n v="12"/>
    <m/>
    <n v="15000"/>
    <n v="5070"/>
    <m/>
  </r>
  <r>
    <x v="1"/>
    <x v="41"/>
    <x v="41"/>
    <x v="1"/>
    <s v="Haridus"/>
    <s v="Tudu Põhikool"/>
    <s v="Juhtide tööjõukulu"/>
    <n v="1"/>
    <s v="aasta"/>
    <n v="5399.85"/>
    <n v="5399.85"/>
    <n v="1"/>
    <m/>
    <n v="5399.85"/>
    <n v="1825.1493000000003"/>
    <m/>
  </r>
  <r>
    <x v="1"/>
    <x v="32"/>
    <x v="32"/>
    <x v="1"/>
    <s v="Haridus"/>
    <s v="Vinni-Pajusti Gümnaasium"/>
    <s v="Juhtide tööjõukulu"/>
    <n v="1"/>
    <s v="aasta"/>
    <n v="50458.146000000001"/>
    <n v="50458.146000000001"/>
    <n v="1"/>
    <m/>
    <n v="50458.146000000001"/>
    <n v="17054.853348000001"/>
    <m/>
  </r>
  <r>
    <x v="5"/>
    <x v="16"/>
    <x v="16"/>
    <x v="13"/>
    <s v="Elamu- ja kommunaalmajandus"/>
    <s v="Laekvere piirkond"/>
    <s v="Lepingule"/>
    <n v="1"/>
    <s v="in"/>
    <n v="250"/>
    <n v="250"/>
    <n v="12"/>
    <m/>
    <n v="3000"/>
    <n v="1014.0000000000001"/>
    <m/>
  </r>
  <r>
    <x v="0"/>
    <x v="26"/>
    <x v="26"/>
    <x v="14"/>
    <s v="Vabaaeg, kultuur ja religioon"/>
    <s v="Laekvere Rahva Maja"/>
    <s v="MTÜ Eha kapelli juhendaja tasu"/>
    <n v="1"/>
    <s v="aasta"/>
    <n v="825.11"/>
    <n v="825.11"/>
    <n v="1"/>
    <m/>
    <n v="825.11"/>
    <n v="278.88718"/>
    <m/>
  </r>
  <r>
    <x v="1"/>
    <x v="32"/>
    <x v="32"/>
    <x v="1"/>
    <s v="Haridus"/>
    <s v="Vinni-Pajusti Gümnaasium"/>
    <s v="PK õpetajate tööjõukulu"/>
    <n v="1"/>
    <s v="aasta"/>
    <n v="470852.02"/>
    <n v="470852.02"/>
    <n v="1"/>
    <m/>
    <n v="470852.02"/>
    <n v="159147.98276000001"/>
    <m/>
  </r>
  <r>
    <x v="1"/>
    <x v="56"/>
    <x v="32"/>
    <x v="23"/>
    <s v="Haridus"/>
    <s v="Vinni-Pajusti Gümnaasium"/>
    <s v="G õpetajate tööjõukulu"/>
    <n v="1"/>
    <s v="aasta"/>
    <n v="82511.210999999996"/>
    <n v="82511.210999999996"/>
    <n v="1"/>
    <m/>
    <n v="82511.210999999996"/>
    <n v="27888.789317999999"/>
    <m/>
  </r>
  <r>
    <x v="1"/>
    <x v="1"/>
    <x v="1"/>
    <x v="1"/>
    <s v="Haridus"/>
    <s v=" Roela kool"/>
    <s v="PK õpetajate tööjõukulu"/>
    <n v="1"/>
    <s v="aasta"/>
    <n v="171898.356"/>
    <n v="171898.356"/>
    <n v="1"/>
    <m/>
    <n v="171898.356"/>
    <n v="58101.644328000002"/>
    <m/>
  </r>
  <r>
    <x v="1"/>
    <x v="41"/>
    <x v="41"/>
    <x v="1"/>
    <s v="Haridus"/>
    <s v="Tudu Põhikool"/>
    <s v="Pk õpetajate tööjõukulu"/>
    <n v="1"/>
    <s v="aasta"/>
    <n v="52316.89"/>
    <n v="52316.89"/>
    <n v="1"/>
    <m/>
    <n v="52316.89"/>
    <n v="17683.108820000001"/>
    <m/>
  </r>
  <r>
    <x v="1"/>
    <x v="52"/>
    <x v="52"/>
    <x v="1"/>
    <s v="Haridus"/>
    <s v="Muuga-Laekvere kool"/>
    <s v="Juhtide tööjõukulu"/>
    <n v="1"/>
    <s v="aasta"/>
    <n v="5399.85"/>
    <n v="5399.85"/>
    <n v="1"/>
    <m/>
    <n v="5399.85"/>
    <n v="1825.1493000000003"/>
    <m/>
  </r>
  <r>
    <x v="1"/>
    <x v="52"/>
    <x v="52"/>
    <x v="1"/>
    <s v="Haridus"/>
    <s v="Muuga-Laekvere kool"/>
    <s v="Pk õpetajate tööjõukulu"/>
    <n v="1"/>
    <s v="aasta"/>
    <n v="313901.34499999997"/>
    <n v="313901.34499999997"/>
    <n v="1"/>
    <m/>
    <n v="313901.34499999997"/>
    <n v="106098.65461"/>
    <m/>
  </r>
  <r>
    <x v="1"/>
    <x v="57"/>
    <x v="56"/>
    <x v="15"/>
    <s v="Haridus"/>
    <s v="Haridusenõunik"/>
    <s v="Pedagoogiliste vahendite reserv"/>
    <n v="1"/>
    <s v="aasta"/>
    <n v="58554.559999999998"/>
    <n v="58554.559999999998"/>
    <n v="1"/>
    <m/>
    <n v="58554.559999999998"/>
    <n v="19791.441279999999"/>
    <m/>
  </r>
  <r>
    <x v="2"/>
    <x v="58"/>
    <x v="57"/>
    <x v="24"/>
    <s v="Sotsiaalne kaitse"/>
    <s v="Sotsiaalosakond"/>
    <s v="Isiklik abistaja, tugiisik täiskasvanuile"/>
    <m/>
    <m/>
    <m/>
    <n v="0"/>
    <m/>
    <m/>
    <n v="4270"/>
    <n v="0"/>
    <m/>
  </r>
  <r>
    <x v="2"/>
    <x v="59"/>
    <x v="58"/>
    <x v="24"/>
    <s v="Sotsiaalne kaitse"/>
    <s v="Sotsiaalosakond"/>
    <s v="Tugiisiku teenus"/>
    <m/>
    <m/>
    <m/>
    <n v="0"/>
    <m/>
    <m/>
    <n v="3000"/>
    <n v="0"/>
    <m/>
  </r>
  <r>
    <x v="2"/>
    <x v="60"/>
    <x v="59"/>
    <x v="25"/>
    <s v="Sotsiaalne kaitse"/>
    <s v="Sotsiaalosakond"/>
    <s v="Maakonna projekt Erivajadustega inimeste tugiteenused osal"/>
    <m/>
    <m/>
    <m/>
    <n v="0"/>
    <m/>
    <m/>
    <n v="8368"/>
    <n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">
  <location ref="A3:B12" firstHeaderRow="1" firstDataRow="1" firstDataCol="1"/>
  <pivotFields count="16">
    <pivotField showAll="0"/>
    <pivotField showAll="0">
      <items count="9"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9">
        <item x="2"/>
        <item x="1"/>
        <item x="5"/>
        <item x="4"/>
        <item x="3"/>
        <item x="0"/>
        <item x="7"/>
        <item x="6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2020. EA " fld="7" baseField="2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10" firstHeaderRow="1" firstDataRow="1" firstDataCol="1"/>
  <pivotFields count="16">
    <pivotField showAll="0"/>
    <pivotField showAll="0"/>
    <pivotField axis="axisRow" showAll="0">
      <items count="7">
        <item x="5"/>
        <item x="2"/>
        <item x="4"/>
        <item x="3"/>
        <item x="0"/>
        <item x="1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2020. EA " fld="7" baseField="2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4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11" firstHeaderRow="1" firstDataRow="1" firstDataCol="1"/>
  <pivotFields count="16">
    <pivotField showAll="0"/>
    <pivotField showAll="0"/>
    <pivotField axis="axisRow" showAll="0">
      <items count="8">
        <item x="1"/>
        <item x="5"/>
        <item x="6"/>
        <item x="0"/>
        <item x="4"/>
        <item x="3"/>
        <item x="2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 of 2020. EA 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5" cacheId="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16">
    <pivotField showAll="0"/>
    <pivotField showAll="0"/>
    <pivotField axis="axisRow" showAll="0">
      <items count="5">
        <item x="1"/>
        <item x="3"/>
        <item x="2"/>
        <item x="0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2020. EA 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6" cacheId="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13" firstHeaderRow="1" firstDataRow="1" firstDataCol="1"/>
  <pivotFields count="16">
    <pivotField showAll="0"/>
    <pivotField showAll="0"/>
    <pivotField axis="axisRow" showAll="0">
      <items count="10">
        <item x="6"/>
        <item x="7"/>
        <item x="5"/>
        <item x="3"/>
        <item x="4"/>
        <item x="8"/>
        <item x="1"/>
        <item x="2"/>
        <item x="0"/>
        <item t="default"/>
      </items>
    </pivotField>
    <pivotField showAll="0">
      <items count="2">
        <item x="0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 of 2020. EA 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7" cacheId="10" applyNumberFormats="0" applyBorderFormats="0" applyFontFormats="0" applyPatternFormats="0" applyAlignmentFormats="0" applyWidthHeightFormats="1" dataCaption="Values" grandTotalCaption="Kokku" updatedVersion="5" minRefreshableVersion="3" useAutoFormatting="1" itemPrintTitles="1" createdVersion="5" indent="0" outline="1" outlineData="1" multipleFieldFilters="0" rowHeaderCaption="Kirjeldus">
  <location ref="A3:B35" firstHeaderRow="1" firstDataRow="1" firstDataCol="1"/>
  <pivotFields count="16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axis="axisRow" showAll="0">
      <items count="29">
        <item x="6"/>
        <item x="2"/>
        <item x="5"/>
        <item x="10"/>
        <item x="9"/>
        <item x="14"/>
        <item m="1" x="25"/>
        <item x="22"/>
        <item m="1" x="27"/>
        <item x="13"/>
        <item x="17"/>
        <item x="16"/>
        <item x="19"/>
        <item x="20"/>
        <item x="8"/>
        <item x="23"/>
        <item x="24"/>
        <item x="3"/>
        <item x="0"/>
        <item x="1"/>
        <item x="21"/>
        <item x="11"/>
        <item m="1" x="26"/>
        <item x="7"/>
        <item x="4"/>
        <item x="15"/>
        <item x="12"/>
        <item x="18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6"/>
  </rowFields>
  <rowItems count="32">
    <i>
      <x/>
    </i>
    <i r="1">
      <x v="1"/>
    </i>
    <i r="1">
      <x v="17"/>
    </i>
    <i r="1">
      <x v="18"/>
    </i>
    <i r="1">
      <x v="19"/>
    </i>
    <i r="1">
      <x v="24"/>
    </i>
    <i>
      <x v="1"/>
    </i>
    <i r="1">
      <x v="2"/>
    </i>
    <i>
      <x v="2"/>
    </i>
    <i r="1">
      <x/>
    </i>
    <i r="1">
      <x v="4"/>
    </i>
    <i r="1">
      <x v="14"/>
    </i>
    <i r="1">
      <x v="23"/>
    </i>
    <i>
      <x v="3"/>
    </i>
    <i r="1">
      <x v="3"/>
    </i>
    <i r="1">
      <x v="5"/>
    </i>
    <i r="1">
      <x v="9"/>
    </i>
    <i r="1">
      <x v="11"/>
    </i>
    <i r="1">
      <x v="21"/>
    </i>
    <i r="1">
      <x v="25"/>
    </i>
    <i r="1">
      <x v="26"/>
    </i>
    <i>
      <x v="4"/>
    </i>
    <i r="1">
      <x v="7"/>
    </i>
    <i r="1">
      <x v="10"/>
    </i>
    <i r="1">
      <x v="12"/>
    </i>
    <i r="1">
      <x v="13"/>
    </i>
    <i r="1">
      <x v="20"/>
    </i>
    <i r="1">
      <x v="27"/>
    </i>
    <i>
      <x v="5"/>
    </i>
    <i r="1">
      <x v="15"/>
    </i>
    <i r="1">
      <x v="16"/>
    </i>
    <i t="grand">
      <x/>
    </i>
  </rowItems>
  <colItems count="1">
    <i/>
  </colItems>
  <dataFields count="1">
    <dataField name="Sum of 2020. EA " fld="7" baseField="0" baseItem="0" numFmtId="3"/>
  </dataFields>
  <pivotTableStyleInfo name="PivotStyleMedium11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2" cacheId="1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:B48" firstHeaderRow="1" firstDataRow="1" firstDataCol="1" rowPageCount="2" colPageCount="1"/>
  <pivotFields count="16">
    <pivotField showAll="0"/>
    <pivotField showAll="0"/>
    <pivotField showAll="0"/>
    <pivotField axis="axisRow" showAll="0" sortType="ascending">
      <items count="45">
        <item m="1" x="43"/>
        <item x="24"/>
        <item x="34"/>
        <item x="39"/>
        <item x="31"/>
        <item x="10"/>
        <item x="2"/>
        <item x="28"/>
        <item x="36"/>
        <item x="7"/>
        <item x="35"/>
        <item x="14"/>
        <item x="30"/>
        <item x="11"/>
        <item x="9"/>
        <item x="37"/>
        <item x="33"/>
        <item x="5"/>
        <item x="42"/>
        <item x="41"/>
        <item x="15"/>
        <item x="23"/>
        <item x="21"/>
        <item x="17"/>
        <item x="27"/>
        <item x="32"/>
        <item x="25"/>
        <item x="6"/>
        <item x="19"/>
        <item x="20"/>
        <item x="40"/>
        <item x="22"/>
        <item x="8"/>
        <item x="16"/>
        <item x="13"/>
        <item x="38"/>
        <item x="18"/>
        <item x="3"/>
        <item x="1"/>
        <item x="0"/>
        <item x="12"/>
        <item x="29"/>
        <item x="4"/>
        <item x="26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9">
        <item m="1" x="17"/>
        <item x="8"/>
        <item x="9"/>
        <item x="7"/>
        <item x="10"/>
        <item x="2"/>
        <item x="0"/>
        <item x="1"/>
        <item x="6"/>
        <item x="3"/>
        <item x="12"/>
        <item x="13"/>
        <item x="11"/>
        <item x="15"/>
        <item x="5"/>
        <item x="14"/>
        <item x="16"/>
        <item x="4"/>
        <item t="default"/>
      </items>
    </pivotField>
    <pivotField axis="axisPage" multipleItemSelectionAllowed="1" showAll="0">
      <items count="6">
        <item h="1" x="3"/>
        <item x="2"/>
        <item x="0"/>
        <item h="1" x="1"/>
        <item m="1" x="4"/>
        <item t="default"/>
      </items>
    </pivotField>
  </pivotFields>
  <rowFields count="1">
    <field x="3"/>
  </rowFields>
  <rowItems count="4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Items count="1">
    <i/>
  </colItems>
  <pageFields count="2">
    <pageField fld="15" hier="-1"/>
    <pageField fld="14" hier="-1"/>
  </pageFields>
  <dataFields count="1">
    <dataField name="Sum of 2020. EA " fld="7" baseField="3" baseItem="1" numFmtId="4"/>
  </dataFields>
  <formats count="8">
    <format dxfId="84">
      <pivotArea collapsedLevelsAreSubtotals="1" fieldPosition="0">
        <references count="1">
          <reference field="15" count="1">
            <x v="2"/>
          </reference>
        </references>
      </pivotArea>
    </format>
    <format dxfId="83">
      <pivotArea dataOnly="0" fieldPosition="0">
        <references count="1">
          <reference field="3" count="2">
            <x v="38"/>
            <x v="39"/>
          </reference>
        </references>
      </pivotArea>
    </format>
    <format dxfId="82">
      <pivotArea dataOnly="0" fieldPosition="0">
        <references count="1">
          <reference field="3" count="1">
            <x v="6"/>
          </reference>
        </references>
      </pivotArea>
    </format>
    <format dxfId="81">
      <pivotArea dataOnly="0" fieldPosition="0">
        <references count="1">
          <reference field="3" count="1">
            <x v="37"/>
          </reference>
        </references>
      </pivotArea>
    </format>
    <format dxfId="80">
      <pivotArea dataOnly="0" fieldPosition="0">
        <references count="1">
          <reference field="3" count="1">
            <x v="42"/>
          </reference>
        </references>
      </pivotArea>
    </format>
    <format dxfId="79">
      <pivotArea dataOnly="0" fieldPosition="0">
        <references count="1">
          <reference field="3" count="1">
            <x v="17"/>
          </reference>
        </references>
      </pivotArea>
    </format>
    <format dxfId="78">
      <pivotArea dataOnly="0" fieldPosition="0">
        <references count="1">
          <reference field="3" count="1">
            <x v="27"/>
          </reference>
        </references>
      </pivotArea>
    </format>
    <format dxfId="77">
      <pivotArea dataOnly="0" fieldPosition="0">
        <references count="1">
          <reference field="3" count="1">
            <x v="3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grandTotalCaption="Kokku" updatedVersion="5" minRefreshableVersion="3" useAutoFormatting="1" itemPrintTitles="1" createdVersion="5" indent="0" outline="1" outlineData="1" multipleFieldFilters="0">
  <location ref="A9:B31" firstHeaderRow="1" firstDataRow="1" firstDataCol="1" rowPageCount="5" colPageCount="1"/>
  <pivotFields count="16">
    <pivotField axis="axisPage" showAll="0" sortType="ascending">
      <items count="12">
        <item m="1" x="10"/>
        <item x="0"/>
        <item x="1"/>
        <item x="2"/>
        <item x="3"/>
        <item x="4"/>
        <item x="5"/>
        <item x="6"/>
        <item x="7"/>
        <item x="8"/>
        <item x="9"/>
        <item t="default" sd="0"/>
      </items>
    </pivotField>
    <pivotField showAll="0" sortType="ascending"/>
    <pivotField axis="axisPage" multipleItemSelectionAllowed="1" showAll="0" sortType="ascending">
      <items count="115">
        <item x="89"/>
        <item x="100"/>
        <item x="82"/>
        <item x="76"/>
        <item x="74"/>
        <item m="1" x="104"/>
        <item x="75"/>
        <item x="80"/>
        <item x="84"/>
        <item x="22"/>
        <item x="90"/>
        <item x="10"/>
        <item x="48"/>
        <item x="21"/>
        <item x="37"/>
        <item x="2"/>
        <item x="64"/>
        <item x="72"/>
        <item x="59"/>
        <item m="1" x="107"/>
        <item x="62"/>
        <item x="45"/>
        <item m="1" x="106"/>
        <item x="51"/>
        <item x="33"/>
        <item m="1" x="113"/>
        <item x="93"/>
        <item m="1" x="111"/>
        <item m="1" x="105"/>
        <item x="9"/>
        <item x="5"/>
        <item x="103"/>
        <item x="102"/>
        <item x="23"/>
        <item x="56"/>
        <item x="81"/>
        <item x="87"/>
        <item x="98"/>
        <item x="66"/>
        <item m="1" x="110"/>
        <item x="46"/>
        <item x="25"/>
        <item x="65"/>
        <item m="1" x="112"/>
        <item x="31"/>
        <item x="71"/>
        <item x="49"/>
        <item x="58"/>
        <item x="32"/>
        <item x="77"/>
        <item x="70"/>
        <item x="6"/>
        <item x="95"/>
        <item x="78"/>
        <item x="101"/>
        <item x="55"/>
        <item x="16"/>
        <item x="67"/>
        <item x="63"/>
        <item x="42"/>
        <item x="50"/>
        <item x="73"/>
        <item x="15"/>
        <item x="20"/>
        <item x="8"/>
        <item x="30"/>
        <item x="26"/>
        <item x="96"/>
        <item x="85"/>
        <item x="29"/>
        <item x="36"/>
        <item x="27"/>
        <item x="79"/>
        <item x="17"/>
        <item x="68"/>
        <item x="60"/>
        <item x="43"/>
        <item x="97"/>
        <item x="83"/>
        <item x="91"/>
        <item m="1" x="109"/>
        <item x="99"/>
        <item x="86"/>
        <item x="53"/>
        <item x="61"/>
        <item x="44"/>
        <item x="3"/>
        <item x="1"/>
        <item x="0"/>
        <item x="35"/>
        <item x="47"/>
        <item x="52"/>
        <item x="38"/>
        <item x="57"/>
        <item x="69"/>
        <item x="92"/>
        <item x="88"/>
        <item x="40"/>
        <item x="24"/>
        <item x="34"/>
        <item x="19"/>
        <item x="18"/>
        <item x="41"/>
        <item x="94"/>
        <item x="4"/>
        <item x="28"/>
        <item x="39"/>
        <item x="14"/>
        <item x="7"/>
        <item x="11"/>
        <item x="13"/>
        <item x="12"/>
        <item x="54"/>
        <item m="1" x="108"/>
        <item t="default"/>
      </items>
    </pivotField>
    <pivotField axis="axisPage" showAll="0" defaultSubtotal="0">
      <items count="44">
        <item m="1" x="43"/>
        <item x="24"/>
        <item x="32"/>
        <item x="33"/>
        <item x="35"/>
        <item x="37"/>
        <item x="38"/>
        <item x="39"/>
        <item x="7"/>
        <item x="40"/>
        <item x="41"/>
        <item x="42"/>
        <item x="16"/>
        <item x="17"/>
        <item x="25"/>
        <item x="19"/>
        <item sd="0" x="0"/>
        <item sd="0" x="1"/>
        <item sd="0" x="3"/>
        <item x="8"/>
        <item sd="0" x="2"/>
        <item x="9"/>
        <item x="6"/>
        <item x="4"/>
        <item x="20"/>
        <item x="26"/>
        <item x="28"/>
        <item x="29"/>
        <item x="22"/>
        <item x="10"/>
        <item x="11"/>
        <item x="23"/>
        <item x="30"/>
        <item x="18"/>
        <item x="31"/>
        <item x="13"/>
        <item x="14"/>
        <item x="15"/>
        <item x="27"/>
        <item x="34"/>
        <item x="36"/>
        <item x="12"/>
        <item x="21"/>
        <item x="5"/>
      </items>
    </pivotField>
    <pivotField showAll="0"/>
    <pivotField showAll="0"/>
    <pivotField showAll="0"/>
    <pivotField dataField="1" numFmtId="4" showAll="0" defaultSubtotal="0"/>
    <pivotField showAll="0"/>
    <pivotField showAll="0"/>
    <pivotField showAll="0"/>
    <pivotField showAll="0"/>
    <pivotField axis="axisPage" multipleItemSelectionAllowed="1" showAll="0">
      <items count="14">
        <item m="1" x="12"/>
        <item x="3"/>
        <item x="6"/>
        <item x="9"/>
        <item x="4"/>
        <item x="10"/>
        <item x="1"/>
        <item x="11"/>
        <item x="0"/>
        <item x="5"/>
        <item x="7"/>
        <item x="8"/>
        <item x="2"/>
        <item t="default"/>
      </items>
    </pivotField>
    <pivotField axis="axisRow" showAll="0" defaultSubtotal="0">
      <items count="17">
        <item x="2"/>
        <item sd="0" x="11"/>
        <item x="4"/>
        <item m="1" x="12"/>
        <item sd="0" m="1" x="15"/>
        <item x="1"/>
        <item x="0"/>
        <item sd="0" x="3"/>
        <item sd="0" m="1" x="14"/>
        <item sd="0" m="1" x="13"/>
        <item sd="0" x="10"/>
        <item sd="0" x="9"/>
        <item sd="0" x="8"/>
        <item sd="0" x="5"/>
        <item sd="0" x="7"/>
        <item sd="0" x="6"/>
        <item m="1" x="16"/>
      </items>
    </pivotField>
    <pivotField axis="axisRow" showAll="0" defaultSubtotal="0">
      <items count="18">
        <item m="1" x="17"/>
        <item x="5"/>
        <item x="0"/>
        <item x="16"/>
        <item x="7"/>
        <item x="8"/>
        <item x="3"/>
        <item x="14"/>
        <item x="11"/>
        <item x="15"/>
        <item x="6"/>
        <item x="13"/>
        <item x="12"/>
        <item x="9"/>
        <item x="10"/>
        <item x="2"/>
        <item x="4"/>
        <item x="1"/>
      </items>
    </pivotField>
    <pivotField axis="axisPage" multipleItemSelectionAllowed="1" showAll="0">
      <items count="6">
        <item x="3"/>
        <item x="2"/>
        <item x="0"/>
        <item x="1"/>
        <item m="1" x="4"/>
        <item t="default"/>
      </items>
    </pivotField>
  </pivotFields>
  <rowFields count="2">
    <field x="13"/>
    <field x="14"/>
  </rowFields>
  <rowItems count="22">
    <i>
      <x/>
    </i>
    <i r="1">
      <x v="15"/>
    </i>
    <i>
      <x v="1"/>
    </i>
    <i>
      <x v="2"/>
    </i>
    <i r="1">
      <x v="1"/>
    </i>
    <i r="1">
      <x v="16"/>
    </i>
    <i>
      <x v="5"/>
    </i>
    <i r="1">
      <x v="8"/>
    </i>
    <i r="1">
      <x v="9"/>
    </i>
    <i r="1">
      <x v="17"/>
    </i>
    <i>
      <x v="6"/>
    </i>
    <i r="1">
      <x v="2"/>
    </i>
    <i r="1">
      <x v="3"/>
    </i>
    <i r="1">
      <x v="10"/>
    </i>
    <i>
      <x v="7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pageFields count="5">
    <pageField fld="15" hier="-1"/>
    <pageField fld="2" hier="-1"/>
    <pageField fld="3" hier="-1"/>
    <pageField fld="12" hier="-1"/>
    <pageField fld="0" hier="-1"/>
  </pageFields>
  <dataFields count="1">
    <dataField name="Sum of 2020. EA " fld="7" baseField="3" baseItem="4" numFmtId="4"/>
  </dataFields>
  <pivotTableStyleInfo name="PivotStyleMedium1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updatedVersion="5" minRefreshableVersion="3" useAutoFormatting="1" colGrandTotals="0" itemPrintTitles="1" createdVersion="5" indent="0" outline="1" outlineData="1" multipleFieldFilters="0">
  <location ref="A4:B667" firstHeaderRow="1" firstDataRow="1" firstDataCol="1" rowPageCount="1" colPageCount="1"/>
  <pivotFields count="16">
    <pivotField showAll="0"/>
    <pivotField axis="axisRow" showAll="0">
      <items count="11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85"/>
        <item t="default"/>
      </items>
    </pivotField>
    <pivotField axis="axisRow" multipleItemSelectionAllowed="1" showAll="0">
      <items count="115">
        <item x="89"/>
        <item x="100"/>
        <item x="76"/>
        <item x="74"/>
        <item m="1" x="104"/>
        <item x="75"/>
        <item x="80"/>
        <item x="84"/>
        <item x="22"/>
        <item x="90"/>
        <item x="10"/>
        <item x="48"/>
        <item x="21"/>
        <item x="37"/>
        <item x="2"/>
        <item x="64"/>
        <item x="72"/>
        <item x="59"/>
        <item m="1" x="107"/>
        <item x="62"/>
        <item x="45"/>
        <item m="1" x="106"/>
        <item x="51"/>
        <item x="33"/>
        <item m="1" x="113"/>
        <item x="93"/>
        <item m="1" x="111"/>
        <item m="1" x="105"/>
        <item x="9"/>
        <item x="5"/>
        <item x="103"/>
        <item x="102"/>
        <item x="23"/>
        <item x="56"/>
        <item x="81"/>
        <item x="87"/>
        <item x="98"/>
        <item m="1" x="110"/>
        <item x="46"/>
        <item x="25"/>
        <item m="1" x="112"/>
        <item x="31"/>
        <item x="71"/>
        <item x="49"/>
        <item x="58"/>
        <item x="32"/>
        <item x="77"/>
        <item x="70"/>
        <item x="6"/>
        <item x="95"/>
        <item x="78"/>
        <item x="101"/>
        <item x="55"/>
        <item x="16"/>
        <item x="67"/>
        <item x="63"/>
        <item x="42"/>
        <item x="50"/>
        <item x="73"/>
        <item x="15"/>
        <item x="20"/>
        <item x="8"/>
        <item x="30"/>
        <item x="26"/>
        <item x="96"/>
        <item x="85"/>
        <item x="29"/>
        <item x="36"/>
        <item x="27"/>
        <item x="79"/>
        <item x="17"/>
        <item x="68"/>
        <item x="60"/>
        <item x="43"/>
        <item x="97"/>
        <item x="83"/>
        <item x="91"/>
        <item m="1" x="109"/>
        <item x="99"/>
        <item x="86"/>
        <item x="53"/>
        <item x="61"/>
        <item x="44"/>
        <item x="3"/>
        <item x="1"/>
        <item x="0"/>
        <item x="35"/>
        <item x="47"/>
        <item x="52"/>
        <item x="38"/>
        <item x="57"/>
        <item x="69"/>
        <item x="92"/>
        <item x="88"/>
        <item x="40"/>
        <item x="24"/>
        <item x="34"/>
        <item x="19"/>
        <item x="18"/>
        <item x="41"/>
        <item x="94"/>
        <item x="4"/>
        <item x="28"/>
        <item x="39"/>
        <item x="14"/>
        <item x="7"/>
        <item x="11"/>
        <item x="13"/>
        <item x="12"/>
        <item x="54"/>
        <item m="1" x="108"/>
        <item x="82"/>
        <item x="65"/>
        <item x="66"/>
        <item t="default"/>
      </items>
    </pivotField>
    <pivotField showAll="0"/>
    <pivotField showAll="0"/>
    <pivotField showAll="0"/>
    <pivotField showAll="0"/>
    <pivotField dataField="1" showAll="0"/>
    <pivotField showAll="0"/>
    <pivotField axis="axisRow" showAll="0" sortType="ascending">
      <items count="51">
        <item h="1" m="1" x="49"/>
        <item x="34"/>
        <item x="27"/>
        <item x="17"/>
        <item x="20"/>
        <item h="1" x="28"/>
        <item h="1" x="12"/>
        <item h="1" x="13"/>
        <item x="11"/>
        <item x="41"/>
        <item x="47"/>
        <item x="33"/>
        <item x="38"/>
        <item x="29"/>
        <item x="6"/>
        <item x="0"/>
        <item h="1" m="1" x="48"/>
        <item x="7"/>
        <item x="2"/>
        <item x="4"/>
        <item x="24"/>
        <item x="3"/>
        <item x="5"/>
        <item x="8"/>
        <item x="30"/>
        <item x="9"/>
        <item x="10"/>
        <item x="31"/>
        <item x="22"/>
        <item x="39"/>
        <item x="16"/>
        <item x="1"/>
        <item x="19"/>
        <item x="26"/>
        <item x="21"/>
        <item x="32"/>
        <item x="14"/>
        <item x="15"/>
        <item x="45"/>
        <item x="44"/>
        <item x="46"/>
        <item x="37"/>
        <item x="35"/>
        <item x="36"/>
        <item x="40"/>
        <item x="43"/>
        <item x="23"/>
        <item x="25"/>
        <item x="18"/>
        <item x="42"/>
        <item t="default"/>
      </items>
    </pivotField>
    <pivotField showAll="0"/>
    <pivotField showAll="0"/>
    <pivotField showAll="0"/>
    <pivotField showAll="0"/>
    <pivotField showAll="0"/>
    <pivotField axis="axisPage" multipleItemSelectionAllowed="1" showAll="0">
      <items count="6">
        <item x="3"/>
        <item x="2"/>
        <item x="0"/>
        <item h="1" x="1"/>
        <item m="1" x="4"/>
        <item t="default"/>
      </items>
    </pivotField>
  </pivotFields>
  <rowFields count="3">
    <field x="1"/>
    <field x="2"/>
    <field x="9"/>
  </rowFields>
  <rowItems count="663">
    <i>
      <x/>
    </i>
    <i r="1">
      <x v="85"/>
    </i>
    <i r="2">
      <x v="15"/>
    </i>
    <i r="2">
      <x v="18"/>
    </i>
    <i r="2">
      <x v="21"/>
    </i>
    <i r="2">
      <x v="31"/>
    </i>
    <i>
      <x v="1"/>
    </i>
    <i r="1">
      <x v="84"/>
    </i>
    <i r="2">
      <x v="14"/>
    </i>
    <i r="2">
      <x v="15"/>
    </i>
    <i r="2">
      <x v="17"/>
    </i>
    <i r="2">
      <x v="18"/>
    </i>
    <i r="2">
      <x v="19"/>
    </i>
    <i r="2">
      <x v="21"/>
    </i>
    <i r="2">
      <x v="22"/>
    </i>
    <i r="2">
      <x v="23"/>
    </i>
    <i r="2">
      <x v="25"/>
    </i>
    <i r="2">
      <x v="26"/>
    </i>
    <i r="2">
      <x v="30"/>
    </i>
    <i r="2">
      <x v="31"/>
    </i>
    <i>
      <x v="2"/>
    </i>
    <i r="1">
      <x v="14"/>
    </i>
    <i r="2">
      <x v="3"/>
    </i>
    <i>
      <x v="3"/>
    </i>
    <i r="1">
      <x v="83"/>
    </i>
    <i r="2">
      <x v="4"/>
    </i>
    <i r="2">
      <x v="32"/>
    </i>
    <i r="2">
      <x v="34"/>
    </i>
    <i r="2">
      <x v="48"/>
    </i>
    <i>
      <x v="4"/>
    </i>
    <i r="1">
      <x v="101"/>
    </i>
    <i r="2">
      <x v="14"/>
    </i>
    <i>
      <x v="5"/>
    </i>
    <i r="1">
      <x v="29"/>
    </i>
    <i r="2">
      <x v="28"/>
    </i>
    <i>
      <x v="6"/>
    </i>
    <i r="1">
      <x v="48"/>
    </i>
    <i r="2">
      <x v="19"/>
    </i>
    <i r="2">
      <x v="21"/>
    </i>
    <i r="2">
      <x v="46"/>
    </i>
    <i>
      <x v="7"/>
    </i>
    <i r="1">
      <x v="105"/>
    </i>
    <i r="2">
      <x v="20"/>
    </i>
    <i>
      <x v="8"/>
    </i>
    <i r="1">
      <x v="61"/>
    </i>
    <i r="2">
      <x v="15"/>
    </i>
    <i r="2">
      <x v="18"/>
    </i>
    <i r="2">
      <x v="19"/>
    </i>
    <i r="2">
      <x v="21"/>
    </i>
    <i r="2">
      <x v="22"/>
    </i>
    <i r="2">
      <x v="23"/>
    </i>
    <i>
      <x v="9"/>
    </i>
    <i r="1">
      <x v="28"/>
    </i>
    <i r="2">
      <x v="2"/>
    </i>
    <i r="2">
      <x v="15"/>
    </i>
    <i r="2">
      <x v="18"/>
    </i>
    <i r="2">
      <x v="19"/>
    </i>
    <i r="2">
      <x v="21"/>
    </i>
    <i r="2">
      <x v="22"/>
    </i>
    <i r="2">
      <x v="31"/>
    </i>
    <i r="2">
      <x v="33"/>
    </i>
    <i r="2">
      <x v="46"/>
    </i>
    <i r="2">
      <x v="47"/>
    </i>
    <i>
      <x v="10"/>
    </i>
    <i r="1">
      <x v="10"/>
    </i>
    <i r="2">
      <x v="19"/>
    </i>
    <i r="2">
      <x v="22"/>
    </i>
    <i>
      <x v="11"/>
    </i>
    <i r="1">
      <x v="106"/>
    </i>
    <i r="2">
      <x v="19"/>
    </i>
    <i r="2">
      <x v="22"/>
    </i>
    <i>
      <x v="13"/>
    </i>
    <i r="1">
      <x v="107"/>
    </i>
    <i r="2">
      <x v="20"/>
    </i>
    <i r="2">
      <x v="33"/>
    </i>
    <i>
      <x v="14"/>
    </i>
    <i r="1">
      <x v="104"/>
    </i>
    <i r="2">
      <x v="15"/>
    </i>
    <i r="2">
      <x v="18"/>
    </i>
    <i r="2">
      <x v="19"/>
    </i>
    <i r="2">
      <x v="21"/>
    </i>
    <i r="2">
      <x v="22"/>
    </i>
    <i r="2">
      <x v="23"/>
    </i>
    <i r="2">
      <x v="25"/>
    </i>
    <i r="2">
      <x v="28"/>
    </i>
    <i r="2">
      <x v="31"/>
    </i>
    <i>
      <x v="15"/>
    </i>
    <i r="1">
      <x v="59"/>
    </i>
    <i r="2">
      <x v="15"/>
    </i>
    <i r="2">
      <x v="18"/>
    </i>
    <i r="2">
      <x v="19"/>
    </i>
    <i r="2">
      <x v="21"/>
    </i>
    <i r="2">
      <x v="22"/>
    </i>
    <i r="2">
      <x v="23"/>
    </i>
    <i>
      <x v="16"/>
    </i>
    <i r="1">
      <x v="53"/>
    </i>
    <i r="2">
      <x v="19"/>
    </i>
    <i>
      <x v="17"/>
    </i>
    <i r="1">
      <x v="70"/>
    </i>
    <i r="2">
      <x v="19"/>
    </i>
    <i r="2">
      <x v="22"/>
    </i>
    <i>
      <x v="18"/>
    </i>
    <i r="1">
      <x v="98"/>
    </i>
    <i r="2">
      <x v="15"/>
    </i>
    <i r="2">
      <x v="19"/>
    </i>
    <i r="2">
      <x v="21"/>
    </i>
    <i r="2">
      <x v="31"/>
    </i>
    <i>
      <x v="19"/>
    </i>
    <i r="1">
      <x v="97"/>
    </i>
    <i r="2">
      <x v="15"/>
    </i>
    <i r="2">
      <x v="19"/>
    </i>
    <i r="2">
      <x v="20"/>
    </i>
    <i r="2">
      <x v="21"/>
    </i>
    <i r="2">
      <x v="23"/>
    </i>
    <i>
      <x v="20"/>
    </i>
    <i r="1">
      <x v="60"/>
    </i>
    <i r="2">
      <x v="19"/>
    </i>
    <i>
      <x v="21"/>
    </i>
    <i r="1">
      <x v="12"/>
    </i>
    <i r="2">
      <x v="19"/>
    </i>
    <i r="2">
      <x v="20"/>
    </i>
    <i>
      <x v="22"/>
    </i>
    <i r="1">
      <x v="8"/>
    </i>
    <i r="2">
      <x v="19"/>
    </i>
    <i r="2">
      <x v="22"/>
    </i>
    <i>
      <x v="23"/>
    </i>
    <i r="1">
      <x v="32"/>
    </i>
    <i r="2">
      <x v="14"/>
    </i>
    <i r="2">
      <x v="19"/>
    </i>
    <i r="2">
      <x v="23"/>
    </i>
    <i r="2">
      <x v="31"/>
    </i>
    <i r="2">
      <x v="47"/>
    </i>
    <i>
      <x v="24"/>
    </i>
    <i r="1">
      <x v="95"/>
    </i>
    <i r="2">
      <x v="46"/>
    </i>
    <i r="2">
      <x v="47"/>
    </i>
    <i>
      <x v="25"/>
    </i>
    <i r="1">
      <x v="39"/>
    </i>
    <i r="2">
      <x v="15"/>
    </i>
    <i r="2">
      <x v="19"/>
    </i>
    <i r="2">
      <x v="21"/>
    </i>
    <i r="2">
      <x v="22"/>
    </i>
    <i r="2">
      <x v="25"/>
    </i>
    <i r="2">
      <x v="28"/>
    </i>
    <i>
      <x v="26"/>
    </i>
    <i r="1">
      <x v="63"/>
    </i>
    <i r="2">
      <x v="19"/>
    </i>
    <i>
      <x v="27"/>
    </i>
    <i r="1">
      <x v="68"/>
    </i>
    <i r="2">
      <x v="13"/>
    </i>
    <i>
      <x v="28"/>
    </i>
    <i r="1">
      <x v="102"/>
    </i>
    <i r="2">
      <x v="31"/>
    </i>
    <i>
      <x v="29"/>
    </i>
    <i r="1">
      <x v="66"/>
    </i>
    <i r="2">
      <x v="31"/>
    </i>
    <i>
      <x v="30"/>
    </i>
    <i r="1">
      <x v="62"/>
    </i>
    <i r="2">
      <x v="13"/>
    </i>
    <i>
      <x v="31"/>
    </i>
    <i r="1">
      <x v="41"/>
    </i>
    <i r="2">
      <x v="15"/>
    </i>
    <i r="2">
      <x v="18"/>
    </i>
    <i r="2">
      <x v="21"/>
    </i>
    <i r="2">
      <x v="23"/>
    </i>
    <i r="2">
      <x v="31"/>
    </i>
    <i>
      <x v="32"/>
    </i>
    <i r="1">
      <x v="45"/>
    </i>
    <i r="2">
      <x v="13"/>
    </i>
    <i>
      <x v="33"/>
    </i>
    <i r="1">
      <x v="23"/>
    </i>
    <i r="2">
      <x v="19"/>
    </i>
    <i r="2">
      <x v="24"/>
    </i>
    <i>
      <x v="34"/>
    </i>
    <i r="1">
      <x v="96"/>
    </i>
    <i r="2">
      <x v="13"/>
    </i>
    <i>
      <x v="35"/>
    </i>
    <i r="1">
      <x v="86"/>
    </i>
    <i r="2">
      <x v="28"/>
    </i>
    <i>
      <x v="36"/>
    </i>
    <i r="1">
      <x v="67"/>
    </i>
    <i r="2">
      <x v="46"/>
    </i>
    <i>
      <x v="37"/>
    </i>
    <i r="1">
      <x v="13"/>
    </i>
    <i r="2">
      <x v="19"/>
    </i>
    <i r="2">
      <x v="20"/>
    </i>
    <i>
      <x v="38"/>
    </i>
    <i r="1">
      <x v="89"/>
    </i>
    <i r="2">
      <x v="15"/>
    </i>
    <i r="2">
      <x v="46"/>
    </i>
    <i>
      <x v="39"/>
    </i>
    <i r="1">
      <x v="103"/>
    </i>
    <i r="2">
      <x v="46"/>
    </i>
    <i>
      <x v="40"/>
    </i>
    <i r="1">
      <x v="94"/>
    </i>
    <i r="2">
      <x v="15"/>
    </i>
    <i r="2">
      <x v="18"/>
    </i>
    <i r="2">
      <x v="19"/>
    </i>
    <i r="2">
      <x v="21"/>
    </i>
    <i r="2">
      <x v="22"/>
    </i>
    <i r="2">
      <x v="23"/>
    </i>
    <i r="2">
      <x v="25"/>
    </i>
    <i r="2">
      <x v="26"/>
    </i>
    <i r="2">
      <x v="28"/>
    </i>
    <i r="2">
      <x v="31"/>
    </i>
    <i>
      <x v="41"/>
    </i>
    <i r="1">
      <x v="99"/>
    </i>
    <i r="2">
      <x v="15"/>
    </i>
    <i r="2">
      <x v="18"/>
    </i>
    <i r="2">
      <x v="19"/>
    </i>
    <i r="2">
      <x v="22"/>
    </i>
    <i r="2">
      <x v="26"/>
    </i>
    <i r="2">
      <x v="28"/>
    </i>
    <i>
      <x v="42"/>
    </i>
    <i r="1">
      <x v="56"/>
    </i>
    <i r="2">
      <x v="15"/>
    </i>
    <i r="2">
      <x v="18"/>
    </i>
    <i r="2">
      <x v="19"/>
    </i>
    <i r="2">
      <x v="22"/>
    </i>
    <i r="2">
      <x v="23"/>
    </i>
    <i r="2">
      <x v="26"/>
    </i>
    <i r="2">
      <x v="28"/>
    </i>
    <i>
      <x v="43"/>
    </i>
    <i r="1">
      <x v="73"/>
    </i>
    <i r="2">
      <x v="15"/>
    </i>
    <i r="2">
      <x v="18"/>
    </i>
    <i r="2">
      <x v="19"/>
    </i>
    <i r="2">
      <x v="22"/>
    </i>
    <i r="2">
      <x v="26"/>
    </i>
    <i>
      <x v="44"/>
    </i>
    <i r="1">
      <x v="82"/>
    </i>
    <i r="2">
      <x v="15"/>
    </i>
    <i r="2">
      <x v="18"/>
    </i>
    <i r="2">
      <x v="19"/>
    </i>
    <i r="2">
      <x v="21"/>
    </i>
    <i r="2">
      <x v="22"/>
    </i>
    <i r="2">
      <x v="25"/>
    </i>
    <i r="2">
      <x v="26"/>
    </i>
    <i r="2">
      <x v="28"/>
    </i>
    <i>
      <x v="45"/>
    </i>
    <i r="1">
      <x v="20"/>
    </i>
    <i r="2">
      <x v="15"/>
    </i>
    <i r="2">
      <x v="18"/>
    </i>
    <i r="2">
      <x v="19"/>
    </i>
    <i r="2">
      <x v="21"/>
    </i>
    <i r="2">
      <x v="22"/>
    </i>
    <i r="2">
      <x v="23"/>
    </i>
    <i r="2">
      <x v="25"/>
    </i>
    <i r="2">
      <x v="26"/>
    </i>
    <i r="2">
      <x v="28"/>
    </i>
    <i>
      <x v="46"/>
    </i>
    <i r="1">
      <x v="38"/>
    </i>
    <i r="2">
      <x v="15"/>
    </i>
    <i r="2">
      <x v="19"/>
    </i>
    <i r="2">
      <x v="22"/>
    </i>
    <i r="2">
      <x v="26"/>
    </i>
    <i r="2">
      <x v="28"/>
    </i>
    <i>
      <x v="47"/>
    </i>
    <i r="1">
      <x v="87"/>
    </i>
    <i r="2">
      <x v="15"/>
    </i>
    <i r="2">
      <x v="19"/>
    </i>
    <i r="2">
      <x v="22"/>
    </i>
    <i r="2">
      <x v="26"/>
    </i>
    <i r="2">
      <x v="28"/>
    </i>
    <i>
      <x v="48"/>
    </i>
    <i r="1">
      <x v="11"/>
    </i>
    <i r="2">
      <x v="15"/>
    </i>
    <i r="2">
      <x v="19"/>
    </i>
    <i r="2">
      <x v="28"/>
    </i>
    <i>
      <x v="49"/>
    </i>
    <i r="1">
      <x v="43"/>
    </i>
    <i r="2">
      <x v="15"/>
    </i>
    <i r="2">
      <x v="18"/>
    </i>
    <i r="2">
      <x v="19"/>
    </i>
    <i r="2">
      <x v="21"/>
    </i>
    <i r="2">
      <x v="22"/>
    </i>
    <i r="2">
      <x v="28"/>
    </i>
    <i>
      <x v="50"/>
    </i>
    <i r="1">
      <x v="57"/>
    </i>
    <i r="2">
      <x v="15"/>
    </i>
    <i r="2">
      <x v="18"/>
    </i>
    <i r="2">
      <x v="19"/>
    </i>
    <i r="2">
      <x v="21"/>
    </i>
    <i r="2">
      <x v="22"/>
    </i>
    <i r="2">
      <x v="23"/>
    </i>
    <i r="2">
      <x v="25"/>
    </i>
    <i r="2">
      <x v="27"/>
    </i>
    <i r="2">
      <x v="28"/>
    </i>
    <i r="2">
      <x v="31"/>
    </i>
    <i>
      <x v="51"/>
    </i>
    <i r="1">
      <x v="22"/>
    </i>
    <i r="2">
      <x v="15"/>
    </i>
    <i r="2">
      <x v="18"/>
    </i>
    <i r="2">
      <x v="19"/>
    </i>
    <i r="2">
      <x v="21"/>
    </i>
    <i r="2">
      <x v="25"/>
    </i>
    <i r="2">
      <x v="28"/>
    </i>
    <i r="2">
      <x v="33"/>
    </i>
    <i>
      <x v="52"/>
    </i>
    <i r="1">
      <x v="88"/>
    </i>
    <i r="2">
      <x v="15"/>
    </i>
    <i r="2">
      <x v="18"/>
    </i>
    <i r="2">
      <x v="19"/>
    </i>
    <i r="2">
      <x v="21"/>
    </i>
    <i r="2">
      <x v="22"/>
    </i>
    <i r="2">
      <x v="23"/>
    </i>
    <i r="2">
      <x v="28"/>
    </i>
    <i>
      <x v="53"/>
    </i>
    <i r="1">
      <x v="80"/>
    </i>
    <i r="2">
      <x v="15"/>
    </i>
    <i r="2">
      <x v="18"/>
    </i>
    <i r="2">
      <x v="19"/>
    </i>
    <i r="2">
      <x v="21"/>
    </i>
    <i r="2">
      <x v="22"/>
    </i>
    <i r="2">
      <x v="28"/>
    </i>
    <i>
      <x v="54"/>
    </i>
    <i r="1">
      <x v="109"/>
    </i>
    <i r="2">
      <x v="15"/>
    </i>
    <i r="2">
      <x v="18"/>
    </i>
    <i r="2">
      <x v="21"/>
    </i>
    <i r="2">
      <x v="22"/>
    </i>
    <i r="2">
      <x v="31"/>
    </i>
    <i>
      <x v="55"/>
    </i>
    <i r="1">
      <x v="52"/>
    </i>
    <i r="2">
      <x v="15"/>
    </i>
    <i>
      <x v="56"/>
    </i>
    <i r="1">
      <x v="33"/>
    </i>
    <i r="2">
      <x v="15"/>
    </i>
    <i r="2">
      <x v="18"/>
    </i>
    <i r="2">
      <x v="21"/>
    </i>
    <i>
      <x v="57"/>
    </i>
    <i r="1">
      <x v="90"/>
    </i>
    <i r="2">
      <x v="15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>
      <x v="58"/>
    </i>
    <i r="1">
      <x v="44"/>
    </i>
    <i r="2">
      <x v="15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>
      <x v="59"/>
    </i>
    <i r="1">
      <x v="17"/>
    </i>
    <i r="2">
      <x v="15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>
      <x v="60"/>
    </i>
    <i r="1">
      <x v="72"/>
    </i>
    <i r="2">
      <x v="18"/>
    </i>
    <i r="2">
      <x v="24"/>
    </i>
    <i r="2">
      <x v="27"/>
    </i>
    <i>
      <x v="61"/>
    </i>
    <i r="1">
      <x v="81"/>
    </i>
    <i r="2">
      <x v="18"/>
    </i>
    <i r="2">
      <x v="19"/>
    </i>
    <i r="2">
      <x v="22"/>
    </i>
    <i r="2">
      <x v="23"/>
    </i>
    <i r="2">
      <x v="24"/>
    </i>
    <i r="2">
      <x v="25"/>
    </i>
    <i r="2">
      <x v="27"/>
    </i>
    <i r="2">
      <x v="28"/>
    </i>
    <i>
      <x v="62"/>
    </i>
    <i r="1">
      <x v="19"/>
    </i>
    <i r="2">
      <x v="15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>
      <x v="63"/>
    </i>
    <i r="1">
      <x v="55"/>
    </i>
    <i r="2">
      <x v="22"/>
    </i>
    <i r="2">
      <x v="24"/>
    </i>
    <i r="2">
      <x v="27"/>
    </i>
    <i>
      <x v="64"/>
    </i>
    <i r="1">
      <x v="15"/>
    </i>
    <i r="2">
      <x v="27"/>
    </i>
    <i>
      <x v="65"/>
    </i>
    <i r="1">
      <x v="112"/>
    </i>
    <i r="2">
      <x v="15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>
      <x v="66"/>
    </i>
    <i r="1">
      <x v="113"/>
    </i>
    <i r="2">
      <x v="15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>
      <x v="67"/>
    </i>
    <i r="1">
      <x v="54"/>
    </i>
    <i r="2">
      <x v="15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1"/>
    </i>
    <i>
      <x v="68"/>
    </i>
    <i r="1">
      <x v="71"/>
    </i>
    <i r="2">
      <x v="15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>
      <x v="69"/>
    </i>
    <i r="1">
      <x v="91"/>
    </i>
    <i r="2">
      <x v="15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>
      <x v="70"/>
    </i>
    <i r="1">
      <x v="15"/>
    </i>
    <i r="2">
      <x v="27"/>
    </i>
    <i>
      <x v="71"/>
    </i>
    <i r="1">
      <x v="47"/>
    </i>
    <i r="2">
      <x v="15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>
      <x v="72"/>
    </i>
    <i r="1">
      <x v="15"/>
    </i>
    <i r="2">
      <x v="27"/>
    </i>
    <i>
      <x v="73"/>
    </i>
    <i r="1">
      <x v="42"/>
    </i>
    <i r="2">
      <x v="27"/>
    </i>
    <i r="2">
      <x v="31"/>
    </i>
    <i>
      <x v="74"/>
    </i>
    <i r="1">
      <x v="16"/>
    </i>
    <i r="2">
      <x v="11"/>
    </i>
    <i r="2">
      <x v="15"/>
    </i>
    <i r="2">
      <x v="21"/>
    </i>
    <i r="2">
      <x v="23"/>
    </i>
    <i r="2">
      <x v="31"/>
    </i>
    <i>
      <x v="75"/>
    </i>
    <i r="1">
      <x v="58"/>
    </i>
    <i r="2">
      <x v="15"/>
    </i>
    <i r="2">
      <x v="19"/>
    </i>
    <i r="2">
      <x v="21"/>
    </i>
    <i r="2">
      <x v="23"/>
    </i>
    <i r="2">
      <x v="24"/>
    </i>
    <i r="2">
      <x v="25"/>
    </i>
    <i r="2">
      <x v="27"/>
    </i>
    <i r="2">
      <x v="28"/>
    </i>
    <i>
      <x v="76"/>
    </i>
    <i r="1">
      <x v="102"/>
    </i>
    <i r="2">
      <x v="28"/>
    </i>
    <i>
      <x v="77"/>
    </i>
    <i r="1">
      <x v="3"/>
    </i>
    <i r="2">
      <x v="15"/>
    </i>
    <i r="2">
      <x v="18"/>
    </i>
    <i r="2">
      <x v="21"/>
    </i>
    <i r="2">
      <x v="23"/>
    </i>
    <i r="2">
      <x v="27"/>
    </i>
    <i>
      <x v="78"/>
    </i>
    <i r="1">
      <x v="5"/>
    </i>
    <i r="2">
      <x v="18"/>
    </i>
    <i>
      <x v="79"/>
    </i>
    <i r="1">
      <x v="2"/>
    </i>
    <i r="2">
      <x v="13"/>
    </i>
    <i>
      <x v="80"/>
    </i>
    <i r="1">
      <x v="46"/>
    </i>
    <i r="2">
      <x v="1"/>
    </i>
    <i r="2">
      <x v="13"/>
    </i>
    <i r="2">
      <x v="21"/>
    </i>
    <i r="2">
      <x v="47"/>
    </i>
    <i>
      <x v="81"/>
    </i>
    <i r="1">
      <x v="50"/>
    </i>
    <i r="2">
      <x v="42"/>
    </i>
    <i>
      <x v="82"/>
    </i>
    <i r="1">
      <x v="69"/>
    </i>
    <i r="2">
      <x v="43"/>
    </i>
    <i>
      <x v="83"/>
    </i>
    <i r="1">
      <x v="6"/>
    </i>
    <i r="2">
      <x v="12"/>
    </i>
    <i r="2">
      <x v="41"/>
    </i>
    <i>
      <x v="84"/>
    </i>
    <i r="1">
      <x v="34"/>
    </i>
    <i r="2">
      <x v="19"/>
    </i>
    <i r="2">
      <x v="29"/>
    </i>
    <i r="2">
      <x v="43"/>
    </i>
    <i>
      <x v="85"/>
    </i>
    <i r="1">
      <x v="75"/>
    </i>
    <i r="2">
      <x v="1"/>
    </i>
    <i>
      <x v="86"/>
    </i>
    <i r="1">
      <x v="7"/>
    </i>
    <i r="2">
      <x v="1"/>
    </i>
    <i r="2">
      <x v="41"/>
    </i>
    <i>
      <x v="87"/>
    </i>
    <i r="1">
      <x v="65"/>
    </i>
    <i r="2">
      <x v="15"/>
    </i>
    <i r="2">
      <x v="18"/>
    </i>
    <i r="2">
      <x v="19"/>
    </i>
    <i r="2">
      <x v="21"/>
    </i>
    <i r="2">
      <x v="22"/>
    </i>
    <i r="2">
      <x v="24"/>
    </i>
    <i r="2">
      <x v="25"/>
    </i>
    <i r="2">
      <x v="28"/>
    </i>
    <i r="2">
      <x v="31"/>
    </i>
    <i>
      <x v="88"/>
    </i>
    <i r="1">
      <x v="79"/>
    </i>
    <i r="2">
      <x v="15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8"/>
    </i>
    <i r="2">
      <x v="29"/>
    </i>
    <i r="2">
      <x v="30"/>
    </i>
    <i r="2">
      <x v="33"/>
    </i>
    <i>
      <x v="89"/>
    </i>
    <i r="1">
      <x v="35"/>
    </i>
    <i r="2">
      <x v="29"/>
    </i>
    <i>
      <x v="90"/>
    </i>
    <i r="1">
      <x v="93"/>
    </i>
    <i r="2">
      <x v="15"/>
    </i>
    <i r="2">
      <x v="18"/>
    </i>
    <i r="2">
      <x v="19"/>
    </i>
    <i r="2">
      <x v="21"/>
    </i>
    <i r="2">
      <x v="28"/>
    </i>
    <i>
      <x v="91"/>
    </i>
    <i r="1">
      <x v="6"/>
    </i>
    <i r="2">
      <x v="18"/>
    </i>
    <i r="2">
      <x v="21"/>
    </i>
    <i r="2">
      <x v="23"/>
    </i>
    <i>
      <x v="92"/>
    </i>
    <i r="1">
      <x/>
    </i>
    <i r="2">
      <x v="44"/>
    </i>
    <i>
      <x v="93"/>
    </i>
    <i r="1">
      <x v="9"/>
    </i>
    <i r="2">
      <x v="44"/>
    </i>
    <i>
      <x v="94"/>
    </i>
    <i r="1">
      <x v="76"/>
    </i>
    <i r="2">
      <x v="44"/>
    </i>
    <i>
      <x v="95"/>
    </i>
    <i r="1">
      <x v="92"/>
    </i>
    <i r="2">
      <x v="15"/>
    </i>
    <i r="2">
      <x v="18"/>
    </i>
    <i r="2">
      <x v="19"/>
    </i>
    <i r="2">
      <x v="21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49"/>
    </i>
    <i>
      <x v="96"/>
    </i>
    <i r="1">
      <x v="35"/>
    </i>
    <i r="2">
      <x v="13"/>
    </i>
    <i r="2">
      <x v="29"/>
    </i>
    <i r="2">
      <x v="46"/>
    </i>
    <i r="2">
      <x v="49"/>
    </i>
    <i>
      <x v="97"/>
    </i>
    <i r="1">
      <x v="25"/>
    </i>
    <i r="2">
      <x v="45"/>
    </i>
    <i>
      <x v="98"/>
    </i>
    <i r="1">
      <x v="100"/>
    </i>
    <i r="2">
      <x v="39"/>
    </i>
    <i>
      <x v="99"/>
    </i>
    <i r="1">
      <x v="49"/>
    </i>
    <i r="2">
      <x v="39"/>
    </i>
    <i>
      <x v="100"/>
    </i>
    <i r="1">
      <x v="64"/>
    </i>
    <i r="2">
      <x v="38"/>
    </i>
    <i r="2">
      <x v="39"/>
    </i>
    <i>
      <x v="101"/>
    </i>
    <i r="1">
      <x v="74"/>
    </i>
    <i r="2">
      <x v="39"/>
    </i>
    <i>
      <x v="102"/>
    </i>
    <i r="1">
      <x v="36"/>
    </i>
    <i r="2">
      <x v="13"/>
    </i>
    <i r="2">
      <x v="28"/>
    </i>
    <i r="2">
      <x v="29"/>
    </i>
    <i r="2">
      <x v="39"/>
    </i>
    <i>
      <x v="103"/>
    </i>
    <i r="1">
      <x v="78"/>
    </i>
    <i r="2">
      <x v="40"/>
    </i>
    <i>
      <x v="104"/>
    </i>
    <i r="1">
      <x v="1"/>
    </i>
    <i r="2">
      <x v="19"/>
    </i>
    <i r="2">
      <x v="49"/>
    </i>
    <i>
      <x v="105"/>
    </i>
    <i r="1">
      <x v="51"/>
    </i>
    <i r="2">
      <x v="10"/>
    </i>
    <i>
      <x v="106"/>
    </i>
    <i r="1">
      <x v="31"/>
    </i>
    <i r="2">
      <x v="49"/>
    </i>
    <i>
      <x v="107"/>
    </i>
    <i r="1">
      <x v="30"/>
    </i>
    <i r="2">
      <x v="2"/>
    </i>
    <i r="2">
      <x v="13"/>
    </i>
    <i r="2">
      <x v="15"/>
    </i>
    <i r="2">
      <x v="18"/>
    </i>
    <i r="2">
      <x v="21"/>
    </i>
    <i r="2">
      <x v="22"/>
    </i>
    <i r="2">
      <x v="23"/>
    </i>
    <i r="2">
      <x v="31"/>
    </i>
    <i>
      <x v="108"/>
    </i>
    <i r="1">
      <x v="111"/>
    </i>
    <i r="2">
      <x v="29"/>
    </i>
    <i t="grand">
      <x/>
    </i>
  </rowItems>
  <colItems count="1">
    <i/>
  </colItems>
  <pageFields count="1">
    <pageField fld="15" hier="-1"/>
  </pageFields>
  <dataFields count="1">
    <dataField name="Sum of 2020. EA " fld="7" baseField="1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PivotTable3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12" firstHeaderRow="1" firstDataRow="1" firstDataCol="1"/>
  <pivotFields count="16">
    <pivotField showAll="0"/>
    <pivotField showAll="0">
      <items count="9"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 sortType="ascending">
      <items count="9">
        <item x="0"/>
        <item x="5"/>
        <item x="2"/>
        <item x="6"/>
        <item x="1"/>
        <item x="4"/>
        <item x="3"/>
        <item x="7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2020. EA " fld="7" baseField="2" baseItem="0" numFmtId="3"/>
  </dataFields>
  <formats count="2">
    <format dxfId="76">
      <pivotArea collapsedLevelsAreSubtotals="1" fieldPosition="0">
        <references count="1">
          <reference field="2" count="1">
            <x v="0"/>
          </reference>
        </references>
      </pivotArea>
    </format>
    <format dxfId="75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18" firstHeaderRow="1" firstDataRow="1" firstDataCol="1" rowPageCount="1" colPageCount="1"/>
  <pivotFields count="16">
    <pivotField showAll="0"/>
    <pivotField axis="axisRow" showAll="0">
      <items count="110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x="65"/>
        <item x="66"/>
        <item x="67"/>
        <item x="68"/>
        <item x="69"/>
        <item x="70"/>
        <item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t="default"/>
      </items>
    </pivotField>
    <pivotField axis="axisRow" showAll="0">
      <items count="115">
        <item x="89"/>
        <item x="100"/>
        <item x="82"/>
        <item x="76"/>
        <item x="74"/>
        <item m="1" x="104"/>
        <item x="75"/>
        <item x="80"/>
        <item x="84"/>
        <item x="22"/>
        <item x="90"/>
        <item x="10"/>
        <item x="48"/>
        <item x="21"/>
        <item x="37"/>
        <item x="2"/>
        <item x="64"/>
        <item x="72"/>
        <item x="59"/>
        <item m="1" x="107"/>
        <item x="62"/>
        <item x="45"/>
        <item m="1" x="106"/>
        <item x="51"/>
        <item x="33"/>
        <item m="1" x="113"/>
        <item x="93"/>
        <item m="1" x="111"/>
        <item m="1" x="105"/>
        <item x="9"/>
        <item x="5"/>
        <item x="103"/>
        <item x="102"/>
        <item x="23"/>
        <item x="56"/>
        <item x="81"/>
        <item x="87"/>
        <item x="98"/>
        <item x="66"/>
        <item m="1" x="110"/>
        <item x="46"/>
        <item x="25"/>
        <item x="65"/>
        <item m="1" x="112"/>
        <item x="31"/>
        <item x="71"/>
        <item x="49"/>
        <item x="58"/>
        <item x="32"/>
        <item x="77"/>
        <item x="70"/>
        <item x="6"/>
        <item x="95"/>
        <item x="78"/>
        <item x="101"/>
        <item x="55"/>
        <item x="16"/>
        <item x="67"/>
        <item x="63"/>
        <item x="42"/>
        <item x="50"/>
        <item x="73"/>
        <item x="15"/>
        <item x="20"/>
        <item x="8"/>
        <item x="30"/>
        <item x="26"/>
        <item x="96"/>
        <item x="85"/>
        <item x="29"/>
        <item x="36"/>
        <item x="27"/>
        <item x="79"/>
        <item x="17"/>
        <item x="68"/>
        <item x="60"/>
        <item x="43"/>
        <item x="97"/>
        <item x="83"/>
        <item x="91"/>
        <item m="1" x="109"/>
        <item x="99"/>
        <item x="86"/>
        <item x="53"/>
        <item x="61"/>
        <item x="44"/>
        <item x="3"/>
        <item x="1"/>
        <item x="0"/>
        <item x="35"/>
        <item x="47"/>
        <item x="52"/>
        <item x="38"/>
        <item x="57"/>
        <item x="69"/>
        <item x="92"/>
        <item x="88"/>
        <item x="40"/>
        <item x="24"/>
        <item x="34"/>
        <item x="19"/>
        <item x="18"/>
        <item x="41"/>
        <item x="94"/>
        <item x="4"/>
        <item x="28"/>
        <item x="39"/>
        <item x="14"/>
        <item x="7"/>
        <item x="11"/>
        <item x="13"/>
        <item x="12"/>
        <item x="54"/>
        <item m="1" x="108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6">
        <item h="1" x="3"/>
        <item x="2"/>
        <item x="0"/>
        <item h="1" x="1"/>
        <item m="1" x="4"/>
        <item t="default"/>
      </items>
    </pivotField>
  </pivotFields>
  <rowFields count="2">
    <field x="1"/>
    <field x="2"/>
  </rowFields>
  <rowItems count="15">
    <i>
      <x v="65"/>
    </i>
    <i r="1">
      <x v="42"/>
    </i>
    <i>
      <x v="66"/>
    </i>
    <i r="1">
      <x v="38"/>
    </i>
    <i>
      <x v="67"/>
    </i>
    <i r="1">
      <x v="57"/>
    </i>
    <i>
      <x v="68"/>
    </i>
    <i r="1">
      <x v="74"/>
    </i>
    <i>
      <x v="69"/>
    </i>
    <i r="1">
      <x v="94"/>
    </i>
    <i>
      <x v="70"/>
    </i>
    <i r="1">
      <x v="16"/>
    </i>
    <i>
      <x v="71"/>
    </i>
    <i r="1">
      <x v="50"/>
    </i>
    <i t="grand">
      <x/>
    </i>
  </rowItems>
  <colItems count="1">
    <i/>
  </colItems>
  <pageFields count="1">
    <pageField fld="15" hier="-1"/>
  </pageFields>
  <dataFields count="1">
    <dataField name="Sum of 2020. EA " fld="7" baseField="1" baseItem="57" numFmtId="3"/>
  </dataFields>
  <formats count="5">
    <format dxfId="71">
      <pivotArea collapsedLevelsAreSubtotals="1" fieldPosition="0">
        <references count="1">
          <reference field="2" count="1">
            <x v="97"/>
          </reference>
        </references>
      </pivotArea>
    </format>
    <format dxfId="70">
      <pivotArea grandRow="1" outline="0" collapsedLevelsAreSubtotals="1" fieldPosition="0"/>
    </format>
    <format dxfId="69">
      <pivotArea collapsedLevelsAreSubtotals="1" fieldPosition="0">
        <references count="2">
          <reference field="1" count="1" selected="0">
            <x v="64"/>
          </reference>
          <reference field="2" count="1">
            <x v="16"/>
          </reference>
        </references>
      </pivotArea>
    </format>
    <format dxfId="68">
      <pivotArea collapsedLevelsAreSubtotals="1" fieldPosition="0">
        <references count="1">
          <reference field="1" count="1">
            <x v="64"/>
          </reference>
        </references>
      </pivotArea>
    </format>
    <format dxfId="67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PivotTable2" cacheId="3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D3:F18" firstHeaderRow="0" firstDataRow="1" firstDataCol="1"/>
  <pivotFields count="17">
    <pivotField showAll="0"/>
    <pivotField axis="axisRow" showAll="0">
      <items count="60">
        <item h="1" x="14"/>
        <item h="1" x="4"/>
        <item h="1" x="12"/>
        <item h="1" x="44"/>
        <item h="1" x="45"/>
        <item h="1" x="15"/>
        <item h="1" x="16"/>
        <item h="1" x="17"/>
        <item h="1" x="18"/>
        <item h="1" x="19"/>
        <item h="1" x="20"/>
        <item h="1" x="54"/>
        <item h="1" x="21"/>
        <item h="1" x="22"/>
        <item h="1" x="5"/>
        <item h="1" x="7"/>
        <item h="1" x="11"/>
        <item h="1" x="10"/>
        <item h="1" x="23"/>
        <item h="1" x="24"/>
        <item h="1" x="0"/>
        <item h="1" x="39"/>
        <item h="1" x="25"/>
        <item h="1" x="6"/>
        <item h="1" x="47"/>
        <item h="1" x="49"/>
        <item h="1" x="43"/>
        <item h="1" x="48"/>
        <item h="1" x="26"/>
        <item h="1" x="36"/>
        <item h="1" x="27"/>
        <item h="1" x="55"/>
        <item h="1" x="46"/>
        <item x="28"/>
        <item x="29"/>
        <item x="30"/>
        <item x="42"/>
        <item x="31"/>
        <item x="51"/>
        <item x="2"/>
        <item h="1" x="52"/>
        <item h="1" x="53"/>
        <item h="1" x="1"/>
        <item h="1" x="41"/>
        <item h="1" x="32"/>
        <item h="1" x="33"/>
        <item h="1" x="56"/>
        <item h="1" x="35"/>
        <item h="1" x="13"/>
        <item h="1" x="50"/>
        <item h="1" m="1" x="58"/>
        <item h="1" x="34"/>
        <item h="1" x="57"/>
        <item h="1" x="37"/>
        <item h="1" x="38"/>
        <item h="1" x="3"/>
        <item h="1" x="8"/>
        <item h="1" x="40"/>
        <item h="1" x="9"/>
        <item t="default"/>
      </items>
    </pivotField>
    <pivotField axis="axisRow" showAll="0">
      <items count="63">
        <item x="34"/>
        <item x="56"/>
        <item x="8"/>
        <item x="47"/>
        <item x="22"/>
        <item x="13"/>
        <item x="30"/>
        <item m="1" x="57"/>
        <item x="51"/>
        <item x="6"/>
        <item m="1" x="58"/>
        <item x="26"/>
        <item x="10"/>
        <item m="1" x="59"/>
        <item x="15"/>
        <item x="9"/>
        <item x="46"/>
        <item x="12"/>
        <item x="53"/>
        <item m="1" x="61"/>
        <item x="5"/>
        <item x="52"/>
        <item m="1" x="60"/>
        <item x="11"/>
        <item x="35"/>
        <item x="49"/>
        <item x="29"/>
        <item x="33"/>
        <item x="44"/>
        <item x="18"/>
        <item x="1"/>
        <item x="2"/>
        <item x="0"/>
        <item x="43"/>
        <item x="50"/>
        <item x="17"/>
        <item x="21"/>
        <item x="45"/>
        <item x="7"/>
        <item x="37"/>
        <item x="19"/>
        <item x="41"/>
        <item x="42"/>
        <item x="39"/>
        <item x="48"/>
        <item x="38"/>
        <item x="27"/>
        <item x="31"/>
        <item x="25"/>
        <item x="4"/>
        <item x="14"/>
        <item x="36"/>
        <item x="28"/>
        <item x="32"/>
        <item x="40"/>
        <item x="3"/>
        <item x="23"/>
        <item x="54"/>
        <item x="20"/>
        <item x="24"/>
        <item x="16"/>
        <item x="5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dataField="1" numFmtId="4" showAll="0"/>
    <pivotField showAll="0"/>
    <pivotField dragToRow="0" dragToCol="0" dragToPage="0" showAll="0" defaultSubtotal="0"/>
  </pivotFields>
  <rowFields count="2">
    <field x="1"/>
    <field x="2"/>
  </rowFields>
  <rowItems count="15">
    <i>
      <x v="33"/>
    </i>
    <i r="1">
      <x v="52"/>
    </i>
    <i>
      <x v="34"/>
    </i>
    <i r="1">
      <x v="26"/>
    </i>
    <i>
      <x v="35"/>
    </i>
    <i r="1">
      <x v="6"/>
    </i>
    <i>
      <x v="36"/>
    </i>
    <i r="1">
      <x v="42"/>
    </i>
    <i>
      <x v="37"/>
    </i>
    <i r="1">
      <x v="47"/>
    </i>
    <i>
      <x v="38"/>
    </i>
    <i r="1">
      <x v="8"/>
    </i>
    <i>
      <x v="39"/>
    </i>
    <i r="1">
      <x v="3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2020. EA " fld="13" baseField="0" baseItem="0"/>
    <dataField name="Sum of Maksud" fld="14" baseField="0" baseItem="0"/>
  </dataFields>
  <formats count="1">
    <format dxfId="7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PivotTable3" cacheId="29" applyNumberFormats="0" applyBorderFormats="0" applyFontFormats="0" applyPatternFormats="0" applyAlignmentFormats="0" applyWidthHeightFormats="1" dataCaption="Values" grandTotalCaption="Kokku" updatedVersion="5" minRefreshableVersion="3" useAutoFormatting="1" itemPrintTitles="1" createdVersion="5" indent="0" outline="1" outlineData="1" multipleFieldFilters="0">
  <location ref="A3:G227" firstHeaderRow="1" firstDataRow="2" firstDataCol="1"/>
  <pivotFields count="16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m="1" x="10"/>
        <item t="default"/>
      </items>
    </pivotField>
    <pivotField axis="axisRow" showAll="0">
      <items count="10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m="1" x="106"/>
        <item t="default"/>
      </items>
    </pivotField>
    <pivotField axis="axisRow" showAll="0">
      <items count="103">
        <item x="86"/>
        <item x="97"/>
        <item x="80"/>
        <item x="74"/>
        <item x="72"/>
        <item x="73"/>
        <item x="78"/>
        <item x="81"/>
        <item x="20"/>
        <item x="87"/>
        <item x="9"/>
        <item x="46"/>
        <item x="19"/>
        <item x="35"/>
        <item x="2"/>
        <item x="62"/>
        <item x="70"/>
        <item x="57"/>
        <item x="60"/>
        <item x="43"/>
        <item x="49"/>
        <item x="31"/>
        <item x="90"/>
        <item x="8"/>
        <item x="4"/>
        <item x="100"/>
        <item x="99"/>
        <item x="21"/>
        <item x="54"/>
        <item x="79"/>
        <item x="84"/>
        <item x="95"/>
        <item x="64"/>
        <item x="44"/>
        <item x="23"/>
        <item x="63"/>
        <item x="29"/>
        <item x="69"/>
        <item x="47"/>
        <item x="56"/>
        <item x="30"/>
        <item x="75"/>
        <item x="68"/>
        <item x="5"/>
        <item x="92"/>
        <item x="76"/>
        <item x="98"/>
        <item x="53"/>
        <item x="14"/>
        <item x="65"/>
        <item x="61"/>
        <item x="40"/>
        <item x="48"/>
        <item x="71"/>
        <item x="13"/>
        <item x="18"/>
        <item x="7"/>
        <item x="28"/>
        <item x="24"/>
        <item x="93"/>
        <item x="82"/>
        <item x="27"/>
        <item x="34"/>
        <item x="25"/>
        <item x="77"/>
        <item x="15"/>
        <item x="66"/>
        <item x="58"/>
        <item x="41"/>
        <item x="94"/>
        <item x="88"/>
        <item x="96"/>
        <item x="83"/>
        <item x="51"/>
        <item x="59"/>
        <item x="42"/>
        <item x="1"/>
        <item x="0"/>
        <item x="33"/>
        <item x="45"/>
        <item x="50"/>
        <item x="36"/>
        <item x="55"/>
        <item x="67"/>
        <item x="89"/>
        <item x="85"/>
        <item x="38"/>
        <item x="22"/>
        <item x="32"/>
        <item x="17"/>
        <item x="16"/>
        <item x="39"/>
        <item x="91"/>
        <item x="3"/>
        <item x="26"/>
        <item x="37"/>
        <item x="12"/>
        <item x="6"/>
        <item x="10"/>
        <item x="11"/>
        <item x="52"/>
        <item m="1" x="101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Col" showAll="0">
      <items count="7">
        <item x="4"/>
        <item x="3"/>
        <item m="1" x="5"/>
        <item x="1"/>
        <item x="0"/>
        <item x="2"/>
        <item t="default"/>
      </items>
    </pivotField>
    <pivotField showAll="0"/>
  </pivotFields>
  <rowFields count="3">
    <field x="0"/>
    <field x="1"/>
    <field x="2"/>
  </rowFields>
  <rowItems count="223">
    <i>
      <x/>
    </i>
    <i r="1">
      <x/>
    </i>
    <i r="2">
      <x v="77"/>
    </i>
    <i r="1">
      <x v="1"/>
    </i>
    <i r="2">
      <x v="76"/>
    </i>
    <i r="1">
      <x v="2"/>
    </i>
    <i r="2">
      <x v="14"/>
    </i>
    <i r="1">
      <x v="3"/>
    </i>
    <i r="2">
      <x v="93"/>
    </i>
    <i>
      <x v="1"/>
    </i>
    <i r="1">
      <x v="4"/>
    </i>
    <i r="2">
      <x v="24"/>
    </i>
    <i>
      <x v="2"/>
    </i>
    <i r="1">
      <x v="5"/>
    </i>
    <i r="2">
      <x v="43"/>
    </i>
    <i>
      <x v="3"/>
    </i>
    <i r="1">
      <x v="6"/>
    </i>
    <i r="2">
      <x v="97"/>
    </i>
    <i r="1">
      <x v="7"/>
    </i>
    <i r="2">
      <x v="56"/>
    </i>
    <i r="1">
      <x v="8"/>
    </i>
    <i r="2">
      <x v="23"/>
    </i>
    <i>
      <x v="4"/>
    </i>
    <i r="1">
      <x v="9"/>
    </i>
    <i r="2">
      <x v="10"/>
    </i>
    <i r="1">
      <x v="10"/>
    </i>
    <i r="2">
      <x v="98"/>
    </i>
    <i>
      <x v="5"/>
    </i>
    <i r="1">
      <x v="11"/>
    </i>
    <i r="2">
      <x v="99"/>
    </i>
    <i r="1">
      <x v="12"/>
    </i>
    <i r="2">
      <x v="96"/>
    </i>
    <i r="1">
      <x v="13"/>
    </i>
    <i r="2">
      <x v="54"/>
    </i>
    <i r="1">
      <x v="14"/>
    </i>
    <i r="2">
      <x v="48"/>
    </i>
    <i r="1">
      <x v="15"/>
    </i>
    <i r="2">
      <x v="65"/>
    </i>
    <i r="1">
      <x v="16"/>
    </i>
    <i r="2">
      <x v="90"/>
    </i>
    <i r="1">
      <x v="17"/>
    </i>
    <i r="2">
      <x v="89"/>
    </i>
    <i r="1">
      <x v="18"/>
    </i>
    <i r="2">
      <x v="55"/>
    </i>
    <i r="1">
      <x v="19"/>
    </i>
    <i r="2">
      <x v="12"/>
    </i>
    <i r="1">
      <x v="20"/>
    </i>
    <i r="2">
      <x v="8"/>
    </i>
    <i>
      <x v="6"/>
    </i>
    <i r="1">
      <x v="21"/>
    </i>
    <i r="2">
      <x v="27"/>
    </i>
    <i>
      <x v="7"/>
    </i>
    <i r="1">
      <x v="22"/>
    </i>
    <i r="2">
      <x v="87"/>
    </i>
    <i r="1">
      <x v="23"/>
    </i>
    <i r="2">
      <x v="34"/>
    </i>
    <i r="1">
      <x v="24"/>
    </i>
    <i r="2">
      <x v="58"/>
    </i>
    <i r="1">
      <x v="25"/>
    </i>
    <i r="2">
      <x v="63"/>
    </i>
    <i r="1">
      <x v="26"/>
    </i>
    <i r="2">
      <x v="94"/>
    </i>
    <i r="1">
      <x v="27"/>
    </i>
    <i r="2">
      <x v="61"/>
    </i>
    <i r="1">
      <x v="28"/>
    </i>
    <i r="2">
      <x v="57"/>
    </i>
    <i r="1">
      <x v="29"/>
    </i>
    <i r="2">
      <x v="36"/>
    </i>
    <i r="1">
      <x v="30"/>
    </i>
    <i r="2">
      <x v="40"/>
    </i>
    <i r="1">
      <x v="31"/>
    </i>
    <i r="2">
      <x v="21"/>
    </i>
    <i r="1">
      <x v="32"/>
    </i>
    <i r="2">
      <x v="88"/>
    </i>
    <i r="1">
      <x v="33"/>
    </i>
    <i r="2">
      <x v="78"/>
    </i>
    <i r="1">
      <x v="34"/>
    </i>
    <i r="2">
      <x v="62"/>
    </i>
    <i r="1">
      <x v="35"/>
    </i>
    <i r="2">
      <x v="13"/>
    </i>
    <i r="1">
      <x v="36"/>
    </i>
    <i r="2">
      <x v="81"/>
    </i>
    <i r="1">
      <x v="37"/>
    </i>
    <i r="2">
      <x v="95"/>
    </i>
    <i r="1">
      <x v="38"/>
    </i>
    <i r="2">
      <x v="86"/>
    </i>
    <i r="1">
      <x v="39"/>
    </i>
    <i r="2">
      <x v="91"/>
    </i>
    <i r="1">
      <x v="40"/>
    </i>
    <i r="2">
      <x v="51"/>
    </i>
    <i r="1">
      <x v="41"/>
    </i>
    <i r="2">
      <x v="68"/>
    </i>
    <i r="1">
      <x v="42"/>
    </i>
    <i r="2">
      <x v="75"/>
    </i>
    <i r="1">
      <x v="43"/>
    </i>
    <i r="2">
      <x v="19"/>
    </i>
    <i r="1">
      <x v="44"/>
    </i>
    <i r="2">
      <x v="33"/>
    </i>
    <i r="1">
      <x v="45"/>
    </i>
    <i r="2">
      <x v="79"/>
    </i>
    <i r="1">
      <x v="46"/>
    </i>
    <i r="2">
      <x v="11"/>
    </i>
    <i r="1">
      <x v="47"/>
    </i>
    <i r="2">
      <x v="38"/>
    </i>
    <i r="1">
      <x v="48"/>
    </i>
    <i r="2">
      <x v="52"/>
    </i>
    <i r="1">
      <x v="49"/>
    </i>
    <i r="2">
      <x v="20"/>
    </i>
    <i r="1">
      <x v="50"/>
    </i>
    <i r="2">
      <x v="80"/>
    </i>
    <i r="1">
      <x v="51"/>
    </i>
    <i r="2">
      <x v="73"/>
    </i>
    <i r="1">
      <x v="52"/>
    </i>
    <i r="2">
      <x v="100"/>
    </i>
    <i r="1">
      <x v="53"/>
    </i>
    <i r="2">
      <x v="47"/>
    </i>
    <i r="1">
      <x v="54"/>
    </i>
    <i r="2">
      <x v="28"/>
    </i>
    <i>
      <x v="8"/>
    </i>
    <i r="1">
      <x v="55"/>
    </i>
    <i r="2">
      <x v="82"/>
    </i>
    <i r="1">
      <x v="56"/>
    </i>
    <i r="2">
      <x v="39"/>
    </i>
    <i r="1">
      <x v="57"/>
    </i>
    <i r="2">
      <x v="17"/>
    </i>
    <i r="1">
      <x v="58"/>
    </i>
    <i r="2">
      <x v="67"/>
    </i>
    <i r="1">
      <x v="59"/>
    </i>
    <i r="2">
      <x v="74"/>
    </i>
    <i r="1">
      <x v="60"/>
    </i>
    <i r="2">
      <x v="18"/>
    </i>
    <i r="1">
      <x v="61"/>
    </i>
    <i r="2">
      <x v="50"/>
    </i>
    <i r="1">
      <x v="62"/>
    </i>
    <i r="2">
      <x v="15"/>
    </i>
    <i r="1">
      <x v="63"/>
    </i>
    <i r="2">
      <x v="35"/>
    </i>
    <i r="1">
      <x v="64"/>
    </i>
    <i r="2">
      <x v="32"/>
    </i>
    <i r="1">
      <x v="65"/>
    </i>
    <i r="2">
      <x v="49"/>
    </i>
    <i r="1">
      <x v="66"/>
    </i>
    <i r="2">
      <x v="66"/>
    </i>
    <i r="1">
      <x v="67"/>
    </i>
    <i r="2">
      <x v="83"/>
    </i>
    <i r="1">
      <x v="68"/>
    </i>
    <i r="2">
      <x v="15"/>
    </i>
    <i r="1">
      <x v="69"/>
    </i>
    <i r="2">
      <x v="42"/>
    </i>
    <i r="1">
      <x v="70"/>
    </i>
    <i r="2">
      <x v="15"/>
    </i>
    <i r="1">
      <x v="71"/>
    </i>
    <i r="2">
      <x v="37"/>
    </i>
    <i r="1">
      <x v="72"/>
    </i>
    <i r="2">
      <x v="16"/>
    </i>
    <i r="1">
      <x v="73"/>
    </i>
    <i r="2">
      <x v="53"/>
    </i>
    <i r="1">
      <x v="74"/>
    </i>
    <i r="2">
      <x v="94"/>
    </i>
    <i r="1">
      <x v="75"/>
    </i>
    <i r="2">
      <x v="4"/>
    </i>
    <i r="1">
      <x v="76"/>
    </i>
    <i r="2">
      <x v="5"/>
    </i>
    <i>
      <x v="9"/>
    </i>
    <i r="1">
      <x v="77"/>
    </i>
    <i r="2">
      <x v="3"/>
    </i>
    <i r="1">
      <x v="78"/>
    </i>
    <i r="2">
      <x v="41"/>
    </i>
    <i r="1">
      <x v="79"/>
    </i>
    <i r="2">
      <x v="45"/>
    </i>
    <i r="1">
      <x v="80"/>
    </i>
    <i r="2">
      <x v="64"/>
    </i>
    <i r="1">
      <x v="81"/>
    </i>
    <i r="2">
      <x v="6"/>
    </i>
    <i r="1">
      <x v="82"/>
    </i>
    <i r="2">
      <x v="29"/>
    </i>
    <i r="1">
      <x v="83"/>
    </i>
    <i r="2">
      <x v="2"/>
    </i>
    <i r="1">
      <x v="84"/>
    </i>
    <i r="2">
      <x v="7"/>
    </i>
    <i r="1">
      <x v="85"/>
    </i>
    <i r="2">
      <x v="60"/>
    </i>
    <i r="1">
      <x v="86"/>
    </i>
    <i r="2">
      <x v="72"/>
    </i>
    <i r="1">
      <x v="87"/>
    </i>
    <i r="2">
      <x v="30"/>
    </i>
    <i r="1">
      <x v="88"/>
    </i>
    <i r="2">
      <x v="85"/>
    </i>
    <i r="1">
      <x v="89"/>
    </i>
    <i r="2">
      <x v="6"/>
    </i>
    <i r="1">
      <x v="90"/>
    </i>
    <i r="2">
      <x/>
    </i>
    <i r="1">
      <x v="91"/>
    </i>
    <i r="2">
      <x v="9"/>
    </i>
    <i r="1">
      <x v="92"/>
    </i>
    <i r="2">
      <x v="70"/>
    </i>
    <i r="1">
      <x v="93"/>
    </i>
    <i r="2">
      <x v="84"/>
    </i>
    <i r="1">
      <x v="94"/>
    </i>
    <i r="2">
      <x v="30"/>
    </i>
    <i r="1">
      <x v="95"/>
    </i>
    <i r="2">
      <x v="22"/>
    </i>
    <i r="1">
      <x v="96"/>
    </i>
    <i r="2">
      <x v="92"/>
    </i>
    <i r="1">
      <x v="97"/>
    </i>
    <i r="2">
      <x v="44"/>
    </i>
    <i r="1">
      <x v="98"/>
    </i>
    <i r="2">
      <x v="59"/>
    </i>
    <i r="1">
      <x v="99"/>
    </i>
    <i r="2">
      <x v="69"/>
    </i>
    <i r="1">
      <x v="100"/>
    </i>
    <i r="2">
      <x v="31"/>
    </i>
    <i r="1">
      <x v="101"/>
    </i>
    <i r="2">
      <x v="71"/>
    </i>
    <i r="1">
      <x v="102"/>
    </i>
    <i r="2">
      <x v="1"/>
    </i>
    <i r="1">
      <x v="103"/>
    </i>
    <i r="2">
      <x v="46"/>
    </i>
    <i r="1">
      <x v="104"/>
    </i>
    <i r="2">
      <x v="26"/>
    </i>
    <i r="1">
      <x v="105"/>
    </i>
    <i r="2">
      <x v="25"/>
    </i>
    <i t="grand">
      <x/>
    </i>
  </rowItems>
  <colFields count="1">
    <field x="14"/>
  </colFields>
  <colItems count="6">
    <i>
      <x/>
    </i>
    <i>
      <x v="1"/>
    </i>
    <i>
      <x v="3"/>
    </i>
    <i>
      <x v="4"/>
    </i>
    <i>
      <x v="5"/>
    </i>
    <i t="grand">
      <x/>
    </i>
  </colItems>
  <dataFields count="1">
    <dataField name="Sum of 2020. EA " fld="7" baseField="0" baseItem="0" numFmtId="3"/>
  </dataFields>
  <formats count="4">
    <format dxfId="7">
      <pivotArea dataOnly="0" labelOnly="1" fieldPosition="0">
        <references count="1">
          <reference field="14" count="0"/>
        </references>
      </pivotArea>
    </format>
    <format dxfId="6">
      <pivotArea field="14" type="button" dataOnly="0" labelOnly="1" outline="0" axis="axisCol" fieldPosition="0"/>
    </format>
    <format dxfId="3">
      <pivotArea dataOnly="0" labelOnly="1" fieldPosition="0">
        <references count="1">
          <reference field="14" count="0"/>
        </references>
      </pivotArea>
    </format>
    <format dxfId="2">
      <pivotArea dataOnly="0" labelOnly="1" grandCol="1" outline="0" fieldPosition="0"/>
    </format>
  </formats>
  <pivotTableStyleInfo name="PivotStyleMedium11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PivotTable1" cacheId="32" applyNumberFormats="0" applyBorderFormats="0" applyFontFormats="0" applyPatternFormats="0" applyAlignmentFormats="0" applyWidthHeightFormats="1" dataCaption="Values" grandTotalCaption="Tööjõukulud" updatedVersion="5" minRefreshableVersion="3" useAutoFormatting="1" itemPrintTitles="1" createdVersion="5" indent="0" outline="1" outlineData="1" multipleFieldFilters="0">
  <location ref="A4:C36" firstHeaderRow="0" firstDataRow="1" firstDataCol="1" rowPageCount="2" colPageCount="1"/>
  <pivotFields count="17">
    <pivotField axis="axisRow" showAll="0" sortType="ascending">
      <items count="8">
        <item x="3"/>
        <item x="6"/>
        <item x="4"/>
        <item x="5"/>
        <item x="0"/>
        <item x="1"/>
        <item x="2"/>
        <item t="default"/>
      </items>
    </pivotField>
    <pivotField axis="axisPage" showAll="0" sortType="ascending">
      <items count="60">
        <item x="14"/>
        <item x="4"/>
        <item x="12"/>
        <item x="44"/>
        <item x="45"/>
        <item x="15"/>
        <item x="16"/>
        <item x="17"/>
        <item x="18"/>
        <item x="19"/>
        <item x="20"/>
        <item x="54"/>
        <item x="21"/>
        <item x="22"/>
        <item x="5"/>
        <item x="7"/>
        <item x="11"/>
        <item x="10"/>
        <item x="23"/>
        <item x="24"/>
        <item x="0"/>
        <item x="39"/>
        <item x="25"/>
        <item x="6"/>
        <item x="47"/>
        <item x="49"/>
        <item x="43"/>
        <item x="48"/>
        <item x="26"/>
        <item x="36"/>
        <item x="27"/>
        <item x="55"/>
        <item x="46"/>
        <item x="28"/>
        <item x="29"/>
        <item x="30"/>
        <item x="42"/>
        <item x="31"/>
        <item x="51"/>
        <item x="2"/>
        <item x="52"/>
        <item x="53"/>
        <item x="1"/>
        <item x="41"/>
        <item x="32"/>
        <item x="33"/>
        <item x="56"/>
        <item x="35"/>
        <item x="13"/>
        <item x="50"/>
        <item m="1" x="58"/>
        <item x="34"/>
        <item x="57"/>
        <item x="37"/>
        <item x="38"/>
        <item x="3"/>
        <item x="8"/>
        <item x="40"/>
        <item x="9"/>
        <item t="default"/>
      </items>
    </pivotField>
    <pivotField axis="axisRow" showAll="0">
      <items count="63">
        <item x="8"/>
        <item x="22"/>
        <item x="13"/>
        <item m="1" x="57"/>
        <item x="6"/>
        <item x="10"/>
        <item x="15"/>
        <item x="9"/>
        <item x="12"/>
        <item x="5"/>
        <item x="11"/>
        <item x="18"/>
        <item x="1"/>
        <item x="2"/>
        <item x="0"/>
        <item x="17"/>
        <item x="21"/>
        <item x="7"/>
        <item x="19"/>
        <item x="39"/>
        <item x="4"/>
        <item x="14"/>
        <item x="3"/>
        <item x="23"/>
        <item x="20"/>
        <item x="24"/>
        <item m="1" x="58"/>
        <item x="27"/>
        <item x="28"/>
        <item x="29"/>
        <item x="30"/>
        <item x="31"/>
        <item x="32"/>
        <item x="33"/>
        <item m="1" x="59"/>
        <item x="34"/>
        <item x="35"/>
        <item x="36"/>
        <item x="37"/>
        <item x="38"/>
        <item x="40"/>
        <item x="41"/>
        <item x="42"/>
        <item x="43"/>
        <item x="44"/>
        <item x="45"/>
        <item x="25"/>
        <item x="46"/>
        <item x="47"/>
        <item x="48"/>
        <item x="49"/>
        <item x="50"/>
        <item x="51"/>
        <item m="1" x="60"/>
        <item m="1" x="61"/>
        <item x="54"/>
        <item x="16"/>
        <item x="26"/>
        <item x="55"/>
        <item x="52"/>
        <item x="53"/>
        <item x="56"/>
        <item t="default"/>
      </items>
    </pivotField>
    <pivotField axis="axisRow" showAll="0" defaultSubtotal="0">
      <items count="28">
        <item sd="0" x="2"/>
        <item m="1" x="27"/>
        <item sd="0" x="10"/>
        <item sd="0" x="6"/>
        <item sd="0" x="12"/>
        <item sd="0" x="7"/>
        <item sd="0" m="1" x="25"/>
        <item sd="0" x="9"/>
        <item sd="0" x="8"/>
        <item sd="0" x="1"/>
        <item sd="0" x="0"/>
        <item sd="0" x="14"/>
        <item sd="0" x="5"/>
        <item sd="0" x="4"/>
        <item sd="0" x="11"/>
        <item sd="0" x="23"/>
        <item sd="0" x="15"/>
        <item m="1" x="24"/>
        <item m="1" x="26"/>
        <item sd="0" x="18"/>
        <item sd="0" x="19"/>
        <item sd="0" x="20"/>
        <item sd="0" x="21"/>
        <item sd="0" x="3"/>
        <item sd="0" x="13"/>
        <item sd="0" x="16"/>
        <item sd="0" x="17"/>
        <item sd="0" x="22"/>
      </items>
    </pivotField>
    <pivotField axis="axisPage" showAll="0">
      <items count="8">
        <item x="5"/>
        <item x="1"/>
        <item x="4"/>
        <item x="2"/>
        <item x="0"/>
        <item x="3"/>
        <item x="6"/>
        <item t="default"/>
      </items>
    </pivotField>
    <pivotField showAll="0"/>
    <pivotField showAll="0"/>
    <pivotField showAll="0" defaultSubtotal="0"/>
    <pivotField showAll="0"/>
    <pivotField showAll="0"/>
    <pivotField showAll="0"/>
    <pivotField showAll="0" defaultSubtotal="0"/>
    <pivotField showAll="0"/>
    <pivotField dataField="1" showAll="0"/>
    <pivotField dataField="1" showAll="0"/>
    <pivotField showAll="0"/>
    <pivotField dragToRow="0" dragToCol="0" dragToPage="0" showAll="0" defaultSubtotal="0"/>
  </pivotFields>
  <rowFields count="3">
    <field x="0"/>
    <field x="3"/>
    <field x="2"/>
  </rowFields>
  <rowItems count="32">
    <i>
      <x/>
    </i>
    <i r="1">
      <x v="7"/>
    </i>
    <i r="1">
      <x v="13"/>
    </i>
    <i r="1">
      <x v="14"/>
    </i>
    <i>
      <x v="1"/>
    </i>
    <i r="1">
      <x v="19"/>
    </i>
    <i>
      <x v="2"/>
    </i>
    <i r="1">
      <x v="4"/>
    </i>
    <i r="1">
      <x v="20"/>
    </i>
    <i>
      <x v="3"/>
    </i>
    <i r="1">
      <x v="24"/>
    </i>
    <i>
      <x v="4"/>
    </i>
    <i r="1">
      <x v="8"/>
    </i>
    <i r="1">
      <x v="10"/>
    </i>
    <i r="1">
      <x v="11"/>
    </i>
    <i r="1">
      <x v="12"/>
    </i>
    <i r="1">
      <x v="21"/>
    </i>
    <i r="1">
      <x v="27"/>
    </i>
    <i>
      <x v="5"/>
    </i>
    <i r="1">
      <x/>
    </i>
    <i r="1">
      <x v="2"/>
    </i>
    <i r="1">
      <x v="9"/>
    </i>
    <i r="1">
      <x v="15"/>
    </i>
    <i r="1">
      <x v="16"/>
    </i>
    <i r="1">
      <x v="22"/>
    </i>
    <i r="1">
      <x v="25"/>
    </i>
    <i>
      <x v="6"/>
    </i>
    <i r="1">
      <x v="3"/>
    </i>
    <i r="1">
      <x v="5"/>
    </i>
    <i r="1">
      <x v="23"/>
    </i>
    <i r="1">
      <x v="26"/>
    </i>
    <i t="grand">
      <x/>
    </i>
  </rowItems>
  <colFields count="1">
    <field x="-2"/>
  </colFields>
  <colItems count="2">
    <i>
      <x/>
    </i>
    <i i="1">
      <x v="1"/>
    </i>
  </colItems>
  <pageFields count="2">
    <pageField fld="4" hier="-1"/>
    <pageField fld="1" hier="-1"/>
  </pageFields>
  <dataFields count="2">
    <dataField name="Sum of 2020. EA " fld="13" baseField="1" baseItem="0" numFmtId="4"/>
    <dataField name="Sum of Maksud" fld="1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5.xml><?xml version="1.0" encoding="utf-8"?>
<pivotTableDefinition xmlns="http://schemas.openxmlformats.org/spreadsheetml/2006/main" name="PivotTable5" cacheId="40" applyNumberFormats="0" applyBorderFormats="0" applyFontFormats="0" applyPatternFormats="0" applyAlignmentFormats="0" applyWidthHeightFormats="1" dataCaption="Values" grandTotalCaption="Kokku" updatedVersion="5" minRefreshableVersion="3" useAutoFormatting="1" itemPrintTitles="1" createdVersion="5" indent="0" outline="1" outlineData="1" multipleFieldFilters="0">
  <location ref="A3:B133" firstHeaderRow="1" firstDataRow="1" firstDataCol="1"/>
  <pivotFields count="17">
    <pivotField axis="axisRow" showAll="0">
      <items count="8">
        <item x="3"/>
        <item x="6"/>
        <item x="4"/>
        <item x="5"/>
        <item x="0"/>
        <item x="1"/>
        <item x="2"/>
        <item t="default"/>
      </items>
    </pivotField>
    <pivotField axis="axisRow" showAll="0">
      <items count="62">
        <item x="14"/>
        <item x="4"/>
        <item x="12"/>
        <item x="44"/>
        <item x="45"/>
        <item x="15"/>
        <item x="16"/>
        <item x="17"/>
        <item x="18"/>
        <item x="19"/>
        <item x="20"/>
        <item x="54"/>
        <item x="21"/>
        <item x="22"/>
        <item x="5"/>
        <item x="7"/>
        <item x="11"/>
        <item x="10"/>
        <item x="23"/>
        <item x="24"/>
        <item x="0"/>
        <item x="39"/>
        <item x="25"/>
        <item x="6"/>
        <item x="47"/>
        <item x="49"/>
        <item x="43"/>
        <item x="48"/>
        <item x="26"/>
        <item x="36"/>
        <item x="27"/>
        <item x="55"/>
        <item x="46"/>
        <item x="28"/>
        <item x="29"/>
        <item x="30"/>
        <item x="42"/>
        <item x="31"/>
        <item x="51"/>
        <item x="2"/>
        <item x="52"/>
        <item x="53"/>
        <item x="1"/>
        <item x="41"/>
        <item x="32"/>
        <item x="33"/>
        <item x="56"/>
        <item x="35"/>
        <item x="13"/>
        <item x="50"/>
        <item x="34"/>
        <item x="57"/>
        <item x="60"/>
        <item x="59"/>
        <item x="58"/>
        <item x="37"/>
        <item x="38"/>
        <item x="3"/>
        <item x="8"/>
        <item x="40"/>
        <item x="9"/>
        <item t="default"/>
      </items>
    </pivotField>
    <pivotField axis="axisRow" showAll="0">
      <items count="61">
        <item x="34"/>
        <item x="56"/>
        <item x="8"/>
        <item x="57"/>
        <item x="47"/>
        <item x="22"/>
        <item x="13"/>
        <item x="30"/>
        <item x="51"/>
        <item x="6"/>
        <item x="26"/>
        <item x="10"/>
        <item x="15"/>
        <item x="9"/>
        <item x="46"/>
        <item x="12"/>
        <item x="53"/>
        <item x="5"/>
        <item x="52"/>
        <item x="11"/>
        <item x="35"/>
        <item x="49"/>
        <item x="29"/>
        <item x="59"/>
        <item x="33"/>
        <item x="44"/>
        <item x="18"/>
        <item x="1"/>
        <item x="2"/>
        <item x="0"/>
        <item x="43"/>
        <item x="50"/>
        <item x="17"/>
        <item x="21"/>
        <item x="45"/>
        <item x="7"/>
        <item x="37"/>
        <item x="19"/>
        <item x="41"/>
        <item x="42"/>
        <item x="39"/>
        <item x="48"/>
        <item x="58"/>
        <item x="38"/>
        <item x="27"/>
        <item x="31"/>
        <item x="25"/>
        <item x="4"/>
        <item x="14"/>
        <item x="36"/>
        <item x="28"/>
        <item x="32"/>
        <item x="40"/>
        <item x="3"/>
        <item x="23"/>
        <item x="54"/>
        <item x="20"/>
        <item x="24"/>
        <item x="16"/>
        <item x="55"/>
        <item t="default"/>
      </items>
    </pivotField>
    <pivotField showAll="0">
      <items count="27">
        <item x="2"/>
        <item x="3"/>
        <item x="10"/>
        <item x="17"/>
        <item x="6"/>
        <item x="13"/>
        <item x="15"/>
        <item x="12"/>
        <item x="24"/>
        <item x="7"/>
        <item x="20"/>
        <item x="9"/>
        <item x="22"/>
        <item x="8"/>
        <item x="16"/>
        <item x="25"/>
        <item x="1"/>
        <item x="18"/>
        <item x="0"/>
        <item x="14"/>
        <item x="19"/>
        <item x="5"/>
        <item x="4"/>
        <item x="11"/>
        <item x="21"/>
        <item x="2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numFmtId="4" showAll="0"/>
    <pivotField showAll="0"/>
    <pivotField dataField="1" dragToRow="0" dragToCol="0" dragToPage="0" showAll="0" defaultSubtotal="0"/>
  </pivotFields>
  <rowFields count="3">
    <field x="0"/>
    <field x="1"/>
    <field x="2"/>
  </rowFields>
  <rowItems count="130">
    <i>
      <x/>
    </i>
    <i r="1">
      <x/>
    </i>
    <i r="2">
      <x v="48"/>
    </i>
    <i r="1">
      <x v="1"/>
    </i>
    <i r="2">
      <x v="47"/>
    </i>
    <i r="1">
      <x v="2"/>
    </i>
    <i r="2">
      <x v="15"/>
    </i>
    <i>
      <x v="1"/>
    </i>
    <i r="1">
      <x v="3"/>
    </i>
    <i r="2">
      <x v="25"/>
    </i>
    <i>
      <x v="2"/>
    </i>
    <i r="1">
      <x v="4"/>
    </i>
    <i r="2">
      <x v="34"/>
    </i>
    <i r="1">
      <x v="5"/>
    </i>
    <i r="2">
      <x v="12"/>
    </i>
    <i>
      <x v="3"/>
    </i>
    <i r="1">
      <x v="6"/>
    </i>
    <i r="2">
      <x v="58"/>
    </i>
    <i r="1">
      <x v="7"/>
    </i>
    <i r="2">
      <x v="32"/>
    </i>
    <i r="1">
      <x v="8"/>
    </i>
    <i r="2">
      <x v="26"/>
    </i>
    <i r="1">
      <x v="9"/>
    </i>
    <i r="2">
      <x v="37"/>
    </i>
    <i r="1">
      <x v="10"/>
    </i>
    <i r="2">
      <x v="56"/>
    </i>
    <i r="1">
      <x v="11"/>
    </i>
    <i r="2">
      <x v="55"/>
    </i>
    <i r="1">
      <x v="12"/>
    </i>
    <i r="2">
      <x v="33"/>
    </i>
    <i r="1">
      <x v="13"/>
    </i>
    <i r="2">
      <x v="5"/>
    </i>
    <i>
      <x v="4"/>
    </i>
    <i r="1">
      <x v="14"/>
    </i>
    <i r="2">
      <x v="17"/>
    </i>
    <i r="1">
      <x v="15"/>
    </i>
    <i r="2">
      <x v="35"/>
    </i>
    <i r="1">
      <x v="16"/>
    </i>
    <i r="2">
      <x v="19"/>
    </i>
    <i r="1">
      <x v="17"/>
    </i>
    <i r="2">
      <x v="11"/>
    </i>
    <i r="1">
      <x v="18"/>
    </i>
    <i r="2">
      <x v="54"/>
    </i>
    <i r="1">
      <x v="19"/>
    </i>
    <i r="2">
      <x v="57"/>
    </i>
    <i r="1">
      <x v="20"/>
    </i>
    <i r="2">
      <x v="29"/>
    </i>
    <i r="1">
      <x v="21"/>
    </i>
    <i r="2">
      <x v="40"/>
    </i>
    <i r="1">
      <x v="22"/>
    </i>
    <i r="2">
      <x v="46"/>
    </i>
    <i r="1">
      <x v="23"/>
    </i>
    <i r="2">
      <x v="9"/>
    </i>
    <i r="1">
      <x v="24"/>
    </i>
    <i r="2">
      <x v="4"/>
    </i>
    <i r="1">
      <x v="25"/>
    </i>
    <i r="2">
      <x v="21"/>
    </i>
    <i r="1">
      <x v="26"/>
    </i>
    <i r="2">
      <x v="30"/>
    </i>
    <i r="1">
      <x v="27"/>
    </i>
    <i r="2">
      <x v="41"/>
    </i>
    <i r="1">
      <x v="28"/>
    </i>
    <i r="2">
      <x v="10"/>
    </i>
    <i r="1">
      <x v="29"/>
    </i>
    <i r="2">
      <x v="49"/>
    </i>
    <i r="1">
      <x v="30"/>
    </i>
    <i r="2">
      <x v="44"/>
    </i>
    <i r="1">
      <x v="31"/>
    </i>
    <i r="2">
      <x v="59"/>
    </i>
    <i r="1">
      <x v="32"/>
    </i>
    <i r="2">
      <x v="14"/>
    </i>
    <i>
      <x v="5"/>
    </i>
    <i r="1">
      <x v="33"/>
    </i>
    <i r="2">
      <x v="50"/>
    </i>
    <i r="1">
      <x v="34"/>
    </i>
    <i r="2">
      <x v="22"/>
    </i>
    <i r="1">
      <x v="35"/>
    </i>
    <i r="2">
      <x v="7"/>
    </i>
    <i r="1">
      <x v="36"/>
    </i>
    <i r="2">
      <x v="39"/>
    </i>
    <i r="1">
      <x v="37"/>
    </i>
    <i r="2">
      <x v="45"/>
    </i>
    <i r="1">
      <x v="38"/>
    </i>
    <i r="2">
      <x v="8"/>
    </i>
    <i r="1">
      <x v="39"/>
    </i>
    <i r="2">
      <x v="28"/>
    </i>
    <i r="1">
      <x v="40"/>
    </i>
    <i r="2">
      <x v="18"/>
    </i>
    <i r="1">
      <x v="41"/>
    </i>
    <i r="2">
      <x v="16"/>
    </i>
    <i r="1">
      <x v="42"/>
    </i>
    <i r="2">
      <x v="27"/>
    </i>
    <i r="1">
      <x v="43"/>
    </i>
    <i r="2">
      <x v="38"/>
    </i>
    <i r="1">
      <x v="44"/>
    </i>
    <i r="2">
      <x v="51"/>
    </i>
    <i r="1">
      <x v="45"/>
    </i>
    <i r="2">
      <x v="24"/>
    </i>
    <i r="1">
      <x v="46"/>
    </i>
    <i r="2">
      <x v="51"/>
    </i>
    <i r="1">
      <x v="47"/>
    </i>
    <i r="2">
      <x v="20"/>
    </i>
    <i r="1">
      <x v="48"/>
    </i>
    <i r="2">
      <x v="6"/>
    </i>
    <i r="1">
      <x v="49"/>
    </i>
    <i r="2">
      <x v="31"/>
    </i>
    <i r="1">
      <x v="50"/>
    </i>
    <i r="2">
      <x/>
    </i>
    <i r="1">
      <x v="51"/>
    </i>
    <i r="2">
      <x v="1"/>
    </i>
    <i>
      <x v="6"/>
    </i>
    <i r="1">
      <x v="52"/>
    </i>
    <i r="2">
      <x v="23"/>
    </i>
    <i r="1">
      <x v="53"/>
    </i>
    <i r="2">
      <x v="42"/>
    </i>
    <i r="1">
      <x v="54"/>
    </i>
    <i r="2">
      <x v="3"/>
    </i>
    <i r="1">
      <x v="55"/>
    </i>
    <i r="2">
      <x v="36"/>
    </i>
    <i r="1">
      <x v="56"/>
    </i>
    <i r="2">
      <x v="43"/>
    </i>
    <i r="1">
      <x v="57"/>
    </i>
    <i r="2">
      <x v="53"/>
    </i>
    <i r="1">
      <x v="58"/>
    </i>
    <i r="2">
      <x v="2"/>
    </i>
    <i r="1">
      <x v="59"/>
    </i>
    <i r="2">
      <x v="52"/>
    </i>
    <i r="1">
      <x v="60"/>
    </i>
    <i r="2">
      <x v="13"/>
    </i>
    <i t="grand">
      <x/>
    </i>
  </rowItems>
  <colItems count="1">
    <i/>
  </colItems>
  <dataFields count="1">
    <dataField name="Sum of Personalikulud" fld="16" baseField="2" baseItem="15" numFmtId="3"/>
  </dataFields>
  <formats count="1">
    <format dxfId="1">
      <pivotArea field="0" type="button" dataOnly="0" labelOnly="1" outline="0" axis="axisRow" fieldPosition="0"/>
    </format>
  </formats>
  <pivotTableStyleInfo name="PivotStyleMedium11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6.xml><?xml version="1.0" encoding="utf-8"?>
<pivotTableDefinition xmlns="http://schemas.openxmlformats.org/spreadsheetml/2006/main" name="PivotTable2" cacheId="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12" firstHeaderRow="1" firstDataRow="1" firstDataCol="1" rowPageCount="1" colPageCount="1"/>
  <pivotFields count="2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showAll="0"/>
    <pivotField showAll="0"/>
    <pivotField showAll="0"/>
    <pivotField showAll="0"/>
    <pivotField axis="axisPage" showAll="0">
      <items count="6">
        <item m="1" x="4"/>
        <item x="1"/>
        <item x="0"/>
        <item x="2"/>
        <item x="3"/>
        <item t="default"/>
      </items>
    </pivotField>
    <pivotField axis="axisRow" showAll="0" defaultSubtotal="0">
      <items count="6">
        <item x="1"/>
        <item x="2"/>
        <item sd="0" x="0"/>
        <item m="1" x="5"/>
        <item sd="0" m="1" x="4"/>
        <item sd="0" x="3"/>
      </items>
    </pivotField>
    <pivotField axis="axisRow" showAll="0" defaultSubtotal="0">
      <items count="8">
        <item x="1"/>
        <item x="2"/>
        <item x="3"/>
        <item m="1" x="6"/>
        <item x="4"/>
        <item x="0"/>
        <item m="1" x="7"/>
        <item x="5"/>
      </items>
    </pivotField>
    <pivotField showAll="0"/>
  </pivotFields>
  <rowFields count="2">
    <field x="18"/>
    <field x="19"/>
  </rowFields>
  <rowItems count="9">
    <i>
      <x/>
    </i>
    <i r="1">
      <x/>
    </i>
    <i>
      <x v="1"/>
    </i>
    <i r="1">
      <x v="1"/>
    </i>
    <i r="1">
      <x v="2"/>
    </i>
    <i r="1">
      <x v="4"/>
    </i>
    <i>
      <x v="2"/>
    </i>
    <i>
      <x v="5"/>
    </i>
    <i t="grand">
      <x/>
    </i>
  </rowItems>
  <colItems count="1">
    <i/>
  </colItems>
  <pageFields count="1">
    <pageField fld="17" hier="-1"/>
  </pageFields>
  <dataFields count="1">
    <dataField name="Sum of 2020. EA " fld="12" baseField="15" baseItem="4" numFmtId="4"/>
  </dataFields>
  <pivotTableStyleInfo name="PivotStyleMedium14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39" name="Table39" displayName="Table39" ref="A1:P102" totalsRowShown="0">
  <autoFilter ref="A1:P102">
    <filterColumn colId="9">
      <filters>
        <filter val="1551"/>
      </filters>
    </filterColumn>
  </autoFilter>
  <tableColumns count="16">
    <tableColumn id="1" name="Valdkond"/>
    <tableColumn id="2" name="Tegevusala"/>
    <tableColumn id="3" name="Tegevusala nimetus2"/>
    <tableColumn id="4" name="Tegevusala alanimetus"/>
    <tableColumn id="5" name="Tegevusala koondnimetus"/>
    <tableColumn id="6" name="Eelarve eest vastutav"/>
    <tableColumn id="7" name="Tegevuse kirjeldus"/>
    <tableColumn id="8" name="2020. EA "/>
    <tableColumn id="9" name="Märkused"/>
    <tableColumn id="10" name="Konto"/>
    <tableColumn id="11" name="Konto nimetus"/>
    <tableColumn id="12" name="Tulu/kulu liik2"/>
    <tableColumn id="13" name="Konto grupp"/>
    <tableColumn id="14" name="Kontode koondnimetus"/>
    <tableColumn id="15" name="Kontode alanimetus"/>
    <tableColumn id="16" name="Tulu/kulu liigi grupp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0" name="Table40" displayName="Table40" ref="A1:P106" totalsRowShown="0">
  <autoFilter ref="A1:P106"/>
  <tableColumns count="16">
    <tableColumn id="1" name="Valdkond"/>
    <tableColumn id="2" name="Tegevusala"/>
    <tableColumn id="3" name="Tegevusala nimetus2"/>
    <tableColumn id="4" name="Tegevusala alanimetus"/>
    <tableColumn id="5" name="Tegevusala koondnimetus"/>
    <tableColumn id="6" name="Eelarve eest vastutav"/>
    <tableColumn id="7" name="Tegevuse kirjeldus"/>
    <tableColumn id="8" name="2020. EA "/>
    <tableColumn id="9" name="Märkused"/>
    <tableColumn id="10" name="Konto"/>
    <tableColumn id="11" name="Konto nimetus"/>
    <tableColumn id="12" name="Tulu/kulu liik2"/>
    <tableColumn id="13" name="Konto grupp"/>
    <tableColumn id="14" name="Kontode koondnimetus"/>
    <tableColumn id="15" name="Kontode alanimetus"/>
    <tableColumn id="16" name="Tulu/kulu liigi grupp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4" name="Table44" displayName="Table44" ref="A1:P171" totalsRowShown="0">
  <autoFilter ref="A1:P171">
    <filterColumn colId="9">
      <filters>
        <filter val="1551"/>
      </filters>
    </filterColumn>
  </autoFilter>
  <tableColumns count="16">
    <tableColumn id="1" name="Valdkond"/>
    <tableColumn id="2" name="Tegevusala"/>
    <tableColumn id="3" name="Tegevusala nimetus2"/>
    <tableColumn id="4" name="Tegevusala alanimetus"/>
    <tableColumn id="5" name="Tegevusala koondnimetus"/>
    <tableColumn id="6" name="Eelarve eest vastutav"/>
    <tableColumn id="7" name="Tegevuse kirjeldus"/>
    <tableColumn id="8" name="2020. EA "/>
    <tableColumn id="9" name="Märkused"/>
    <tableColumn id="10" name="Konto"/>
    <tableColumn id="11" name="Konto nimetus"/>
    <tableColumn id="12" name="Tulu/kulu liik2"/>
    <tableColumn id="13" name="Konto grupp"/>
    <tableColumn id="14" name="Kontode koondnimetus"/>
    <tableColumn id="15" name="Kontode alanimetus"/>
    <tableColumn id="16" name="Tulu/kulu liigi grupp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6" name="Table46" displayName="Table46" ref="A1:P288" totalsRowShown="0">
  <autoFilter ref="A1:P288">
    <filterColumn colId="9">
      <filters>
        <filter val="1551"/>
      </filters>
    </filterColumn>
  </autoFilter>
  <tableColumns count="16">
    <tableColumn id="1" name="Valdkond"/>
    <tableColumn id="2" name="Tegevusala"/>
    <tableColumn id="3" name="Tegevusala nimetus2"/>
    <tableColumn id="4" name="Tegevusala alanimetus"/>
    <tableColumn id="5" name="Tegevusala koondnimetus"/>
    <tableColumn id="6" name="Eelarve eest vastutav"/>
    <tableColumn id="7" name="Tegevuse kirjeldus"/>
    <tableColumn id="8" name="2020. EA "/>
    <tableColumn id="9" name="Märkused"/>
    <tableColumn id="10" name="Konto"/>
    <tableColumn id="11" name="Konto nimetus"/>
    <tableColumn id="12" name="Tulu/kulu liik2"/>
    <tableColumn id="13" name="Konto grupp"/>
    <tableColumn id="14" name="Kontode koondnimetus"/>
    <tableColumn id="15" name="Kontode alanimetus"/>
    <tableColumn id="16" name="Tulu/kulu liigi grupp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7" name="Table57" displayName="Table57" ref="A1:P76" totalsRowShown="0">
  <autoFilter ref="A1:P76">
    <filterColumn colId="2">
      <filters>
        <filter val="Muud asutused"/>
      </filters>
    </filterColumn>
  </autoFilter>
  <tableColumns count="16">
    <tableColumn id="1" name="Valdkond"/>
    <tableColumn id="2" name="Tegevusala"/>
    <tableColumn id="3" name="Tegevusala nimetus2"/>
    <tableColumn id="4" name="Tegevusala alanimetus"/>
    <tableColumn id="5" name="Tegevusala koondnimetus"/>
    <tableColumn id="6" name="Eelarve eest vastutav"/>
    <tableColumn id="7" name="Tegevuse kirjeldus"/>
    <tableColumn id="8" name="2020. EA "/>
    <tableColumn id="9" name="Märkused"/>
    <tableColumn id="10" name="Konto"/>
    <tableColumn id="11" name="Konto nimetus"/>
    <tableColumn id="12" name="Tulu/kulu liik2"/>
    <tableColumn id="13" name="Konto grupp"/>
    <tableColumn id="14" name="Kontode koondnimetus"/>
    <tableColumn id="15" name="Kontode alanimetus"/>
    <tableColumn id="16" name="Tulu/kulu liigi grupp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3" name="Table63" displayName="Table63" ref="F4:I12" totalsRowShown="0">
  <autoFilter ref="F4:I12"/>
  <tableColumns count="4">
    <tableColumn id="1" name="Column1"/>
    <tableColumn id="2" name="Column2"/>
    <tableColumn id="3" name="Column3"/>
    <tableColumn id="4" name="Column4">
      <calculatedColumnFormula>SUM(G5:H5)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2" name="Table62" displayName="Table62" ref="A1:P164" totalsRowShown="0">
  <autoFilter ref="A1:P164">
    <filterColumn colId="9">
      <filters>
        <filter val="1550"/>
      </filters>
    </filterColumn>
  </autoFilter>
  <tableColumns count="16">
    <tableColumn id="1" name="Valdkond"/>
    <tableColumn id="2" name="Tegevusala"/>
    <tableColumn id="3" name="Tegevusala nimetus2"/>
    <tableColumn id="4" name="Tegevusala alanimetus"/>
    <tableColumn id="5" name="Tegevusala koondnimetus"/>
    <tableColumn id="6" name="Eelarve eest vastutav"/>
    <tableColumn id="7" name="Tegevuse kirjeldus"/>
    <tableColumn id="8" name="2020. EA "/>
    <tableColumn id="9" name="Märkused"/>
    <tableColumn id="10" name="Konto"/>
    <tableColumn id="11" name="Konto nimetus"/>
    <tableColumn id="12" name="Tulu/kulu liik2"/>
    <tableColumn id="13" name="Konto grupp"/>
    <tableColumn id="14" name="Kontode koondnimetus"/>
    <tableColumn id="15" name="Kontode alanimetus"/>
    <tableColumn id="16" name="Tulu/kulu liigi gru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1" name="Table11" displayName="Table11" ref="A1:P29" totalsRowCount="1">
  <autoFilter ref="A1:P28"/>
  <sortState ref="A2:P28">
    <sortCondition ref="B1:B28"/>
  </sortState>
  <tableColumns count="16">
    <tableColumn id="1" name="Valdkond" totalsRowLabel="Total"/>
    <tableColumn id="2" name="Tegevusala"/>
    <tableColumn id="3" name="Tegevusala nimetus2"/>
    <tableColumn id="4" name="Tegevusala alanimetus"/>
    <tableColumn id="5" name="Tegevusala koondnimetus"/>
    <tableColumn id="6" name="Eelarve eest vastutav"/>
    <tableColumn id="7" name="Tegevuse kirjeldus"/>
    <tableColumn id="8" name="2020. EA " totalsRowFunction="sum" totalsRowDxfId="85"/>
    <tableColumn id="9" name="Märkused"/>
    <tableColumn id="10" name="Konto"/>
    <tableColumn id="11" name="Konto nimetus"/>
    <tableColumn id="12" name="Tulu/kulu liik2"/>
    <tableColumn id="13" name="Konto grupp"/>
    <tableColumn id="14" name="Kontode koondnimetus"/>
    <tableColumn id="15" name="Kontode alanimetus"/>
    <tableColumn id="16" name="Tulu/kulu liigi grupp" totalsRowFunction="count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45" name="Table45" displayName="Table45" ref="E4:H12" totalsRowCount="1">
  <autoFilter ref="E4:H11"/>
  <sortState ref="E5:G11">
    <sortCondition ref="E4:E11"/>
  </sortState>
  <tableColumns count="4">
    <tableColumn id="1" name="Column1" totalsRowLabel="Total"/>
    <tableColumn id="2" name="Column2"/>
    <tableColumn id="3" name="Column3"/>
    <tableColumn id="4" name="Column4" totalsRowFunction="sum" dataDxfId="74" totalsRowDxfId="73">
      <calculatedColumnFormula>SUM(Table45[[#This Row],[Column2]:[Column3]])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7" name="Table7" displayName="Table7" ref="A1:P1228" totalsRowShown="0" headerRowDxfId="21" headerRowBorderDxfId="22" tableBorderDxfId="23">
  <autoFilter ref="A1:P1228"/>
  <tableColumns count="16">
    <tableColumn id="1" name="Valdkond"/>
    <tableColumn id="2" name="Tegevusala"/>
    <tableColumn id="3" name="Tegevusala nimetus2"/>
    <tableColumn id="4" name="Tegevusala alanimetus"/>
    <tableColumn id="5" name="Tegevusala koondnimetus"/>
    <tableColumn id="6" name="Eelarve eest vastutav"/>
    <tableColumn id="7" name="Tegevuse kirjeldus"/>
    <tableColumn id="8" name="2020. EA "/>
    <tableColumn id="9" name="Märkused"/>
    <tableColumn id="10" name="Konto"/>
    <tableColumn id="11" name="Konto nimetus"/>
    <tableColumn id="12" name="Tulu/kulu liik2"/>
    <tableColumn id="13" name="Konto grupp"/>
    <tableColumn id="14" name="Kontode koondnimetus"/>
    <tableColumn id="15" name="Kontode alanimetus"/>
    <tableColumn id="16" name="Tulu/kulu liigi grupp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2" name="Table2" displayName="Table2" ref="A1:P1291" totalsRowCount="1">
  <autoFilter ref="A1:P1290">
    <filterColumn colId="14">
      <filters>
        <filter val="Majandamiskulud"/>
        <filter val="Mittesihtotstarbelised toetused"/>
        <filter val="Muud kulud"/>
        <filter val="Sihtotstarbelised toetused tegevuskuludeks"/>
        <filter val="Sotsiaalabitoetused ja muud toetused füüsilistele isikutele"/>
      </filters>
    </filterColumn>
  </autoFilter>
  <sortState ref="A2:P1288">
    <sortCondition ref="B1:B1288"/>
  </sortState>
  <tableColumns count="16">
    <tableColumn id="2" name="Valdkond" totalsRowLabel="Total">
      <calculatedColumnFormula>LEFT(B2,2)</calculatedColumnFormula>
    </tableColumn>
    <tableColumn id="3" name="Tegevusala"/>
    <tableColumn id="11" name="Tegevusala nimetus2" dataDxfId="66">
      <calculatedColumnFormula>VLOOKUP(Table2[[#This Row],[Tegevusala]],Table4[],2,FALSE)</calculatedColumnFormula>
    </tableColumn>
    <tableColumn id="16" name="Tegevusala alanimetus" dataDxfId="65">
      <calculatedColumnFormula>VLOOKUP(Table2[[#This Row],[Tegevusala]],Table4[[Tegevusala kood]:[Tegevusala alanimetus]],4,FALSE)</calculatedColumnFormula>
    </tableColumn>
    <tableColumn id="12" name="Tegevusala koondnimetus" dataDxfId="64">
      <calculatedColumnFormula>VLOOKUP(Table2[[#This Row],[Tegevusala nimetus2]],Table4[[Tegevusala nimetus]:[Tegevusala koondnimetus]],2,FALSE)</calculatedColumnFormula>
    </tableColumn>
    <tableColumn id="1" name="Eelarve eest vastutav"/>
    <tableColumn id="5" name="Tegevuse kirjeldus"/>
    <tableColumn id="6" name="2020. EA " totalsRowFunction="sum" dataDxfId="63" totalsRowDxfId="62"/>
    <tableColumn id="15" name="Märkused" dataDxfId="61"/>
    <tableColumn id="7" name="Konto"/>
    <tableColumn id="14" name="Konto nimetus" dataDxfId="60">
      <calculatedColumnFormula>VLOOKUP(Table2[[#This Row],[Konto]],Table5[[Konto]:[Konto nimetus]],2,FALSE)</calculatedColumnFormula>
    </tableColumn>
    <tableColumn id="13" name="Tulu/kulu liik2"/>
    <tableColumn id="8" name="Konto grupp">
      <calculatedColumnFormula>LEFT(J2,2)</calculatedColumnFormula>
    </tableColumn>
    <tableColumn id="10" name="Kontode koondnimetus" dataDxfId="59">
      <calculatedColumnFormula>VLOOKUP(Table2[[#This Row],[Tulu/kulu liik2]],Table5[[Tulu/kulu liik]:[Kontode koondnimetus]],4,FALSE)</calculatedColumnFormula>
    </tableColumn>
    <tableColumn id="9" name="Kontode alanimetus" dataDxfId="58">
      <calculatedColumnFormula>VLOOKUP(Table2[[#This Row],[Tulu/kulu liik2]],Table5[],6,FALSE)</calculatedColumnFormula>
    </tableColumn>
    <tableColumn id="4" name="Tulu/kulu liigi grupp" totalsRowFunction="count" dataDxfId="57">
      <calculatedColumnFormula>VLOOKUP(Table2[[#This Row],[Tulu/kulu liik2]],Table5[],5,FALSE)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3" name="Table3" displayName="Table3" ref="A1:O82" headerRowDxfId="56" headerRowBorderDxfId="55" tableBorderDxfId="54">
  <autoFilter ref="A1:O82"/>
  <tableColumns count="15">
    <tableColumn id="1" name="Valdkond" totalsRowLabel="Total" dataDxfId="53">
      <calculatedColumnFormula>LEFT(Table3[[#This Row],[Tegevusala]],2)</calculatedColumnFormula>
    </tableColumn>
    <tableColumn id="2" name="Tegevusala"/>
    <tableColumn id="3" name="Tegevusala nimetus2" dataDxfId="52">
      <calculatedColumnFormula>VLOOKUP(Table3[[#This Row],[Tegevusala]],Table4[],2,FALSE)</calculatedColumnFormula>
    </tableColumn>
    <tableColumn id="15" name="Tegevusala alanimetus" dataDxfId="51">
      <calculatedColumnFormula>VLOOKUP(Table3[[#This Row],[Tegevusala]],Table4[[Tegevusala kood]:[Tegevusala alanimetus]],4,FALSE)</calculatedColumnFormula>
    </tableColumn>
    <tableColumn id="4" name="Tegevusala koondnimetus" dataDxfId="50">
      <calculatedColumnFormula>VLOOKUP(Table3[[#This Row],[Tegevusala nimetus2]],Table4[[Tegevusala nimetus]:[Tegevusala koondnimetus]],2,FALSE)</calculatedColumnFormula>
    </tableColumn>
    <tableColumn id="5" name="Eelarve eest vastutav"/>
    <tableColumn id="6" name="Tegevuse kirjeldus"/>
    <tableColumn id="7" name="2020. EA " totalsRowFunction="sum" dataDxfId="49" totalsRowDxfId="48"/>
    <tableColumn id="8" name="Märkused"/>
    <tableColumn id="9" name="Konto"/>
    <tableColumn id="10" name="Konto nimetus"/>
    <tableColumn id="11" name="Tulu/kulu liik2"/>
    <tableColumn id="12" name="Konto grupp"/>
    <tableColumn id="13" name="Tulu või kulu liigi nimetus"/>
    <tableColumn id="14" name="Tulu/kulu liigi grupp" totalsRowFunction="count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9" name="Table110" displayName="Table110" ref="A1:P411" headerRowDxfId="17" headerRowBorderDxfId="15" tableBorderDxfId="16">
  <autoFilter ref="A1:P411"/>
  <sortState ref="A2:P8">
    <sortCondition descending="1" ref="C1:C412"/>
  </sortState>
  <tableColumns count="16">
    <tableColumn id="1" name="Valdkond" totalsRowLabel="Total">
      <calculatedColumnFormula>LEFT(B2,2)</calculatedColumnFormula>
    </tableColumn>
    <tableColumn id="2" name="Tegevusala" dataDxfId="13" totalsRowDxfId="14"/>
    <tableColumn id="3" name="Tegevusala nimetus2">
      <calculatedColumnFormula>VLOOKUP(B2,Table4[],2,FALSE)</calculatedColumnFormula>
    </tableColumn>
    <tableColumn id="15" name="Tegevusala alanimetus" dataDxfId="12">
      <calculatedColumnFormula>VLOOKUP(Table110[[#This Row],[Tegevusala]],Table4[[Tegevusala kood]:[Tegevusala alanimetus]],4,FALSE)</calculatedColumnFormula>
    </tableColumn>
    <tableColumn id="4" name="Tegevusala koondnimetus">
      <calculatedColumnFormula>VLOOKUP(C2,Table4[[Tegevusala nimetus]:[Tegevusala koondnimetus]],2,FALSE)</calculatedColumnFormula>
    </tableColumn>
    <tableColumn id="5" name="Eelarve eest vastutav"/>
    <tableColumn id="6" name="Ametikoha, koosseisukoha nimetus"/>
    <tableColumn id="7" name="Koosseisu- kohtade arv aastas/ tunnid aastas" totalsRowFunction="sum"/>
    <tableColumn id="23" name="ühik"/>
    <tableColumn id="8" name="Palgamäär"/>
    <tableColumn id="9" name="Töötasu/kuus">
      <calculatedColumnFormula>H2*J2</calculatedColumnFormula>
    </tableColumn>
    <tableColumn id="13" name="Ühik2"/>
    <tableColumn id="10" name="Lisatasu/ aastas/kuus"/>
    <tableColumn id="11" name="2020. EA " totalsRowFunction="sum" dataDxfId="10" totalsRowDxfId="11">
      <calculatedColumnFormula>(K2*Table110[[#This Row],[Ühik2]])+M2</calculatedColumnFormula>
    </tableColumn>
    <tableColumn id="14" name="Maksud" totalsRowFunction="sum" dataDxfId="8" totalsRowDxfId="9">
      <calculatedColumnFormula>Table110[[#This Row],[2020. EA ]]*0.338</calculatedColumnFormula>
    </tableColumn>
    <tableColumn id="12" name="Märkused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" name="Table1" displayName="Table1" ref="A1:P408" headerRowDxfId="47" headerRowBorderDxfId="46" tableBorderDxfId="45">
  <autoFilter ref="A1:P408"/>
  <sortState ref="A9:P15">
    <sortCondition descending="1" ref="C1:C412"/>
  </sortState>
  <tableColumns count="16">
    <tableColumn id="1" name="Valdkond" totalsRowLabel="Total">
      <calculatedColumnFormula>LEFT(B2,2)</calculatedColumnFormula>
    </tableColumn>
    <tableColumn id="2" name="Tegevusala" dataDxfId="44" totalsRowDxfId="18"/>
    <tableColumn id="3" name="Tegevusala nimetus2">
      <calculatedColumnFormula>VLOOKUP(B2,Table4[],2,FALSE)</calculatedColumnFormula>
    </tableColumn>
    <tableColumn id="15" name="Tegevusala alanimetus" dataDxfId="43">
      <calculatedColumnFormula>VLOOKUP(Table1[[#This Row],[Tegevusala]],Table4[[Tegevusala kood]:[Tegevusala alanimetus]],4,FALSE)</calculatedColumnFormula>
    </tableColumn>
    <tableColumn id="4" name="Tegevusala koondnimetus">
      <calculatedColumnFormula>VLOOKUP(C2,Table4[[Tegevusala nimetus]:[Tegevusala koondnimetus]],2,FALSE)</calculatedColumnFormula>
    </tableColumn>
    <tableColumn id="5" name="Eelarve eest vastutav"/>
    <tableColumn id="6" name="Ametikoha, koosseisukoha nimetus"/>
    <tableColumn id="7" name="Koosseisu- kohtade arv aastas/ tunnid aastas" totalsRowFunction="sum"/>
    <tableColumn id="23" name="ühik"/>
    <tableColumn id="8" name="Palgamäär"/>
    <tableColumn id="9" name="Töötasu/kuus">
      <calculatedColumnFormula>H2*J2</calculatedColumnFormula>
    </tableColumn>
    <tableColumn id="13" name="Ühik2"/>
    <tableColumn id="10" name="Lisatasu/ aastas/kuus"/>
    <tableColumn id="11" name="2020. EA " totalsRowFunction="sum" dataDxfId="42" totalsRowDxfId="19">
      <calculatedColumnFormula>(K2*Table1[[#This Row],[Ühik2]])+M2</calculatedColumnFormula>
    </tableColumn>
    <tableColumn id="14" name="Maksud" totalsRowFunction="sum" dataDxfId="41" totalsRowDxfId="20">
      <calculatedColumnFormula>Table1[[#This Row],[2020. EA ]]*0.338</calculatedColumnFormula>
    </tableColumn>
    <tableColumn id="12" name="Märkused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6" name="Table6" displayName="Table6" ref="A1:U42" headerRowDxfId="40" headerRowBorderDxfId="39" tableBorderDxfId="38">
  <autoFilter ref="A1:U42"/>
  <tableColumns count="21">
    <tableColumn id="1" name="Valdkond" totalsRowLabel="Total" dataDxfId="37">
      <calculatedColumnFormula>LEFT(B2,2)</calculatedColumnFormula>
    </tableColumn>
    <tableColumn id="2" name="Tegevusala" dataDxfId="36"/>
    <tableColumn id="3" name="Tegevusala nimetus2" dataDxfId="35">
      <calculatedColumnFormula>VLOOKUP(B2,Table4[],2,FALSE)</calculatedColumnFormula>
    </tableColumn>
    <tableColumn id="20" name="Tegevusala alanimetus" dataDxfId="34">
      <calculatedColumnFormula>VLOOKUP(Table6[[#This Row],[Tegevusala]],Table4[[Tegevusala kood]:[Tegevusala alanimetus]],4,FALSE)</calculatedColumnFormula>
    </tableColumn>
    <tableColumn id="4" name="Tegevusala koondnimetus" dataDxfId="33">
      <calculatedColumnFormula>VLOOKUP(Table6[[#This Row],[Tegevusala]],Table4[[Tegevusala kood]:[Tegevusala alanimetus]],3,FALSE)</calculatedColumnFormula>
    </tableColumn>
    <tableColumn id="5" name="Eelarve eest vastutav"/>
    <tableColumn id="6" name="Tegevuse kirjeldus"/>
    <tableColumn id="17" name="ühik"/>
    <tableColumn id="18" name="ühik2"/>
    <tableColumn id="16" name="ühik3"/>
    <tableColumn id="15" name="ühik4"/>
    <tableColumn id="19" name="hind"/>
    <tableColumn id="7" name="2020. EA " totalsRowFunction="sum" dataDxfId="32" totalsRowDxfId="31">
      <calculatedColumnFormula>Table6[[#This Row],[ühik]]*Table6[[#This Row],[ühik3]]*Table6[[#This Row],[hind]]</calculatedColumnFormula>
    </tableColumn>
    <tableColumn id="8" name="Märkused"/>
    <tableColumn id="9" name="Konto" dataDxfId="30"/>
    <tableColumn id="10" name="Konto nimetus" dataDxfId="29">
      <calculatedColumnFormula>VLOOKUP(Table6[[#This Row],[Konto]],Table5[[Konto]:[Konto nimetus]],2,FALSE)</calculatedColumnFormula>
    </tableColumn>
    <tableColumn id="11" name="Tulu/kulu liik2" dataDxfId="28"/>
    <tableColumn id="12" name="Konto grupp" dataDxfId="27">
      <calculatedColumnFormula>LEFT(O2,2)</calculatedColumnFormula>
    </tableColumn>
    <tableColumn id="13" name="Kontode koondnimetus" dataDxfId="26">
      <calculatedColumnFormula>VLOOKUP(Table6[[#This Row],[Tulu/kulu liik2]],Table5[[Tulu/kulu liik]:[Kontode koondnimetus]],4,FALSE)</calculatedColumnFormula>
    </tableColumn>
    <tableColumn id="21" name="Kontode alanimetus" dataDxfId="25">
      <calculatedColumnFormula>VLOOKUP(Table6[[#This Row],[Tulu/kulu liik2]],Table5[],6,FALSE)</calculatedColumnFormula>
    </tableColumn>
    <tableColumn id="14" name="Tulu/kulu liigi grupp" totalsRowFunction="count" dataDxfId="24">
      <calculatedColumnFormula>VLOOKUP(Table6[[#This Row],[Tulu/kulu liik2]],Table5[],5,FALSE)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5" name="Table5" displayName="Table5" ref="A1:F81" totalsRowShown="0">
  <autoFilter ref="A1:F81"/>
  <tableColumns count="6">
    <tableColumn id="1" name="Tulu/kulu liik"/>
    <tableColumn id="6" name="Konto"/>
    <tableColumn id="5" name="Konto nimetus"/>
    <tableColumn id="2" name="Kontode koondnimetus"/>
    <tableColumn id="4" name="Tulu/kulu liigi grupp"/>
    <tableColumn id="3" name="Kontode alanimetus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4" name="Table4" displayName="Table4" ref="A1:E123" totalsRowShown="0">
  <autoFilter ref="A1:E123"/>
  <sortState ref="A2:D130">
    <sortCondition ref="A1:A130"/>
  </sortState>
  <tableColumns count="5">
    <tableColumn id="1" name="Tegevusala kood"/>
    <tableColumn id="2" name="Tegevusala nimetus"/>
    <tableColumn id="3" name="Tegevusala koondnimetus"/>
    <tableColumn id="4" name="Tegevusala alanimetus"/>
    <tableColumn id="5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ivotTable" Target="../pivotTables/pivotTable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9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ivotTable" Target="../pivotTables/pivotTable10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6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3"/>
  <sheetViews>
    <sheetView tabSelected="1" zoomScaleNormal="100" workbookViewId="0">
      <selection activeCell="B23" sqref="B23:B26"/>
    </sheetView>
  </sheetViews>
  <sheetFormatPr defaultRowHeight="11.25" x14ac:dyDescent="0.2"/>
  <cols>
    <col min="1" max="1" width="21.7109375" style="16" customWidth="1"/>
    <col min="2" max="2" width="18.140625" style="16" customWidth="1"/>
    <col min="3" max="3" width="48.7109375" style="16" bestFit="1" customWidth="1"/>
    <col min="4" max="4" width="13.42578125" style="16" customWidth="1"/>
    <col min="5" max="5" width="13.7109375" style="16" customWidth="1"/>
    <col min="6" max="6" width="13.42578125" style="16" customWidth="1"/>
    <col min="7" max="7" width="8.5703125" style="64" bestFit="1" customWidth="1"/>
    <col min="8" max="8" width="5.7109375" style="16" customWidth="1"/>
    <col min="9" max="9" width="10.85546875" style="16" bestFit="1" customWidth="1"/>
    <col min="10" max="10" width="17.28515625" style="16" bestFit="1" customWidth="1"/>
    <col min="11" max="224" width="9.140625" style="16"/>
    <col min="225" max="226" width="15.5703125" style="16" customWidth="1"/>
    <col min="227" max="227" width="59.42578125" style="16" customWidth="1"/>
    <col min="228" max="229" width="15.5703125" style="16" customWidth="1"/>
    <col min="230" max="230" width="9.5703125" style="16" bestFit="1" customWidth="1"/>
    <col min="231" max="231" width="15.42578125" style="16" customWidth="1"/>
    <col min="232" max="232" width="16.42578125" style="16" customWidth="1"/>
    <col min="233" max="233" width="9.140625" style="16"/>
    <col min="234" max="234" width="11.7109375" style="16" bestFit="1" customWidth="1"/>
    <col min="235" max="235" width="12.28515625" style="16" bestFit="1" customWidth="1"/>
    <col min="236" max="480" width="9.140625" style="16"/>
    <col min="481" max="482" width="15.5703125" style="16" customWidth="1"/>
    <col min="483" max="483" width="59.42578125" style="16" customWidth="1"/>
    <col min="484" max="485" width="15.5703125" style="16" customWidth="1"/>
    <col min="486" max="486" width="9.5703125" style="16" bestFit="1" customWidth="1"/>
    <col min="487" max="487" width="15.42578125" style="16" customWidth="1"/>
    <col min="488" max="488" width="16.42578125" style="16" customWidth="1"/>
    <col min="489" max="489" width="9.140625" style="16"/>
    <col min="490" max="490" width="11.7109375" style="16" bestFit="1" customWidth="1"/>
    <col min="491" max="491" width="12.28515625" style="16" bestFit="1" customWidth="1"/>
    <col min="492" max="736" width="9.140625" style="16"/>
    <col min="737" max="738" width="15.5703125" style="16" customWidth="1"/>
    <col min="739" max="739" width="59.42578125" style="16" customWidth="1"/>
    <col min="740" max="741" width="15.5703125" style="16" customWidth="1"/>
    <col min="742" max="742" width="9.5703125" style="16" bestFit="1" customWidth="1"/>
    <col min="743" max="743" width="15.42578125" style="16" customWidth="1"/>
    <col min="744" max="744" width="16.42578125" style="16" customWidth="1"/>
    <col min="745" max="745" width="9.140625" style="16"/>
    <col min="746" max="746" width="11.7109375" style="16" bestFit="1" customWidth="1"/>
    <col min="747" max="747" width="12.28515625" style="16" bestFit="1" customWidth="1"/>
    <col min="748" max="992" width="9.140625" style="16"/>
    <col min="993" max="994" width="15.5703125" style="16" customWidth="1"/>
    <col min="995" max="995" width="59.42578125" style="16" customWidth="1"/>
    <col min="996" max="997" width="15.5703125" style="16" customWidth="1"/>
    <col min="998" max="998" width="9.5703125" style="16" bestFit="1" customWidth="1"/>
    <col min="999" max="999" width="15.42578125" style="16" customWidth="1"/>
    <col min="1000" max="1000" width="16.42578125" style="16" customWidth="1"/>
    <col min="1001" max="1001" width="9.140625" style="16"/>
    <col min="1002" max="1002" width="11.7109375" style="16" bestFit="1" customWidth="1"/>
    <col min="1003" max="1003" width="12.28515625" style="16" bestFit="1" customWidth="1"/>
    <col min="1004" max="1248" width="9.140625" style="16"/>
    <col min="1249" max="1250" width="15.5703125" style="16" customWidth="1"/>
    <col min="1251" max="1251" width="59.42578125" style="16" customWidth="1"/>
    <col min="1252" max="1253" width="15.5703125" style="16" customWidth="1"/>
    <col min="1254" max="1254" width="9.5703125" style="16" bestFit="1" customWidth="1"/>
    <col min="1255" max="1255" width="15.42578125" style="16" customWidth="1"/>
    <col min="1256" max="1256" width="16.42578125" style="16" customWidth="1"/>
    <col min="1257" max="1257" width="9.140625" style="16"/>
    <col min="1258" max="1258" width="11.7109375" style="16" bestFit="1" customWidth="1"/>
    <col min="1259" max="1259" width="12.28515625" style="16" bestFit="1" customWidth="1"/>
    <col min="1260" max="1504" width="9.140625" style="16"/>
    <col min="1505" max="1506" width="15.5703125" style="16" customWidth="1"/>
    <col min="1507" max="1507" width="59.42578125" style="16" customWidth="1"/>
    <col min="1508" max="1509" width="15.5703125" style="16" customWidth="1"/>
    <col min="1510" max="1510" width="9.5703125" style="16" bestFit="1" customWidth="1"/>
    <col min="1511" max="1511" width="15.42578125" style="16" customWidth="1"/>
    <col min="1512" max="1512" width="16.42578125" style="16" customWidth="1"/>
    <col min="1513" max="1513" width="9.140625" style="16"/>
    <col min="1514" max="1514" width="11.7109375" style="16" bestFit="1" customWidth="1"/>
    <col min="1515" max="1515" width="12.28515625" style="16" bestFit="1" customWidth="1"/>
    <col min="1516" max="1760" width="9.140625" style="16"/>
    <col min="1761" max="1762" width="15.5703125" style="16" customWidth="1"/>
    <col min="1763" max="1763" width="59.42578125" style="16" customWidth="1"/>
    <col min="1764" max="1765" width="15.5703125" style="16" customWidth="1"/>
    <col min="1766" max="1766" width="9.5703125" style="16" bestFit="1" customWidth="1"/>
    <col min="1767" max="1767" width="15.42578125" style="16" customWidth="1"/>
    <col min="1768" max="1768" width="16.42578125" style="16" customWidth="1"/>
    <col min="1769" max="1769" width="9.140625" style="16"/>
    <col min="1770" max="1770" width="11.7109375" style="16" bestFit="1" customWidth="1"/>
    <col min="1771" max="1771" width="12.28515625" style="16" bestFit="1" customWidth="1"/>
    <col min="1772" max="2016" width="9.140625" style="16"/>
    <col min="2017" max="2018" width="15.5703125" style="16" customWidth="1"/>
    <col min="2019" max="2019" width="59.42578125" style="16" customWidth="1"/>
    <col min="2020" max="2021" width="15.5703125" style="16" customWidth="1"/>
    <col min="2022" max="2022" width="9.5703125" style="16" bestFit="1" customWidth="1"/>
    <col min="2023" max="2023" width="15.42578125" style="16" customWidth="1"/>
    <col min="2024" max="2024" width="16.42578125" style="16" customWidth="1"/>
    <col min="2025" max="2025" width="9.140625" style="16"/>
    <col min="2026" max="2026" width="11.7109375" style="16" bestFit="1" customWidth="1"/>
    <col min="2027" max="2027" width="12.28515625" style="16" bestFit="1" customWidth="1"/>
    <col min="2028" max="2272" width="9.140625" style="16"/>
    <col min="2273" max="2274" width="15.5703125" style="16" customWidth="1"/>
    <col min="2275" max="2275" width="59.42578125" style="16" customWidth="1"/>
    <col min="2276" max="2277" width="15.5703125" style="16" customWidth="1"/>
    <col min="2278" max="2278" width="9.5703125" style="16" bestFit="1" customWidth="1"/>
    <col min="2279" max="2279" width="15.42578125" style="16" customWidth="1"/>
    <col min="2280" max="2280" width="16.42578125" style="16" customWidth="1"/>
    <col min="2281" max="2281" width="9.140625" style="16"/>
    <col min="2282" max="2282" width="11.7109375" style="16" bestFit="1" customWidth="1"/>
    <col min="2283" max="2283" width="12.28515625" style="16" bestFit="1" customWidth="1"/>
    <col min="2284" max="2528" width="9.140625" style="16"/>
    <col min="2529" max="2530" width="15.5703125" style="16" customWidth="1"/>
    <col min="2531" max="2531" width="59.42578125" style="16" customWidth="1"/>
    <col min="2532" max="2533" width="15.5703125" style="16" customWidth="1"/>
    <col min="2534" max="2534" width="9.5703125" style="16" bestFit="1" customWidth="1"/>
    <col min="2535" max="2535" width="15.42578125" style="16" customWidth="1"/>
    <col min="2536" max="2536" width="16.42578125" style="16" customWidth="1"/>
    <col min="2537" max="2537" width="9.140625" style="16"/>
    <col min="2538" max="2538" width="11.7109375" style="16" bestFit="1" customWidth="1"/>
    <col min="2539" max="2539" width="12.28515625" style="16" bestFit="1" customWidth="1"/>
    <col min="2540" max="2784" width="9.140625" style="16"/>
    <col min="2785" max="2786" width="15.5703125" style="16" customWidth="1"/>
    <col min="2787" max="2787" width="59.42578125" style="16" customWidth="1"/>
    <col min="2788" max="2789" width="15.5703125" style="16" customWidth="1"/>
    <col min="2790" max="2790" width="9.5703125" style="16" bestFit="1" customWidth="1"/>
    <col min="2791" max="2791" width="15.42578125" style="16" customWidth="1"/>
    <col min="2792" max="2792" width="16.42578125" style="16" customWidth="1"/>
    <col min="2793" max="2793" width="9.140625" style="16"/>
    <col min="2794" max="2794" width="11.7109375" style="16" bestFit="1" customWidth="1"/>
    <col min="2795" max="2795" width="12.28515625" style="16" bestFit="1" customWidth="1"/>
    <col min="2796" max="3040" width="9.140625" style="16"/>
    <col min="3041" max="3042" width="15.5703125" style="16" customWidth="1"/>
    <col min="3043" max="3043" width="59.42578125" style="16" customWidth="1"/>
    <col min="3044" max="3045" width="15.5703125" style="16" customWidth="1"/>
    <col min="3046" max="3046" width="9.5703125" style="16" bestFit="1" customWidth="1"/>
    <col min="3047" max="3047" width="15.42578125" style="16" customWidth="1"/>
    <col min="3048" max="3048" width="16.42578125" style="16" customWidth="1"/>
    <col min="3049" max="3049" width="9.140625" style="16"/>
    <col min="3050" max="3050" width="11.7109375" style="16" bestFit="1" customWidth="1"/>
    <col min="3051" max="3051" width="12.28515625" style="16" bestFit="1" customWidth="1"/>
    <col min="3052" max="3296" width="9.140625" style="16"/>
    <col min="3297" max="3298" width="15.5703125" style="16" customWidth="1"/>
    <col min="3299" max="3299" width="59.42578125" style="16" customWidth="1"/>
    <col min="3300" max="3301" width="15.5703125" style="16" customWidth="1"/>
    <col min="3302" max="3302" width="9.5703125" style="16" bestFit="1" customWidth="1"/>
    <col min="3303" max="3303" width="15.42578125" style="16" customWidth="1"/>
    <col min="3304" max="3304" width="16.42578125" style="16" customWidth="1"/>
    <col min="3305" max="3305" width="9.140625" style="16"/>
    <col min="3306" max="3306" width="11.7109375" style="16" bestFit="1" customWidth="1"/>
    <col min="3307" max="3307" width="12.28515625" style="16" bestFit="1" customWidth="1"/>
    <col min="3308" max="3552" width="9.140625" style="16"/>
    <col min="3553" max="3554" width="15.5703125" style="16" customWidth="1"/>
    <col min="3555" max="3555" width="59.42578125" style="16" customWidth="1"/>
    <col min="3556" max="3557" width="15.5703125" style="16" customWidth="1"/>
    <col min="3558" max="3558" width="9.5703125" style="16" bestFit="1" customWidth="1"/>
    <col min="3559" max="3559" width="15.42578125" style="16" customWidth="1"/>
    <col min="3560" max="3560" width="16.42578125" style="16" customWidth="1"/>
    <col min="3561" max="3561" width="9.140625" style="16"/>
    <col min="3562" max="3562" width="11.7109375" style="16" bestFit="1" customWidth="1"/>
    <col min="3563" max="3563" width="12.28515625" style="16" bestFit="1" customWidth="1"/>
    <col min="3564" max="3808" width="9.140625" style="16"/>
    <col min="3809" max="3810" width="15.5703125" style="16" customWidth="1"/>
    <col min="3811" max="3811" width="59.42578125" style="16" customWidth="1"/>
    <col min="3812" max="3813" width="15.5703125" style="16" customWidth="1"/>
    <col min="3814" max="3814" width="9.5703125" style="16" bestFit="1" customWidth="1"/>
    <col min="3815" max="3815" width="15.42578125" style="16" customWidth="1"/>
    <col min="3816" max="3816" width="16.42578125" style="16" customWidth="1"/>
    <col min="3817" max="3817" width="9.140625" style="16"/>
    <col min="3818" max="3818" width="11.7109375" style="16" bestFit="1" customWidth="1"/>
    <col min="3819" max="3819" width="12.28515625" style="16" bestFit="1" customWidth="1"/>
    <col min="3820" max="4064" width="9.140625" style="16"/>
    <col min="4065" max="4066" width="15.5703125" style="16" customWidth="1"/>
    <col min="4067" max="4067" width="59.42578125" style="16" customWidth="1"/>
    <col min="4068" max="4069" width="15.5703125" style="16" customWidth="1"/>
    <col min="4070" max="4070" width="9.5703125" style="16" bestFit="1" customWidth="1"/>
    <col min="4071" max="4071" width="15.42578125" style="16" customWidth="1"/>
    <col min="4072" max="4072" width="16.42578125" style="16" customWidth="1"/>
    <col min="4073" max="4073" width="9.140625" style="16"/>
    <col min="4074" max="4074" width="11.7109375" style="16" bestFit="1" customWidth="1"/>
    <col min="4075" max="4075" width="12.28515625" style="16" bestFit="1" customWidth="1"/>
    <col min="4076" max="4320" width="9.140625" style="16"/>
    <col min="4321" max="4322" width="15.5703125" style="16" customWidth="1"/>
    <col min="4323" max="4323" width="59.42578125" style="16" customWidth="1"/>
    <col min="4324" max="4325" width="15.5703125" style="16" customWidth="1"/>
    <col min="4326" max="4326" width="9.5703125" style="16" bestFit="1" customWidth="1"/>
    <col min="4327" max="4327" width="15.42578125" style="16" customWidth="1"/>
    <col min="4328" max="4328" width="16.42578125" style="16" customWidth="1"/>
    <col min="4329" max="4329" width="9.140625" style="16"/>
    <col min="4330" max="4330" width="11.7109375" style="16" bestFit="1" customWidth="1"/>
    <col min="4331" max="4331" width="12.28515625" style="16" bestFit="1" customWidth="1"/>
    <col min="4332" max="4576" width="9.140625" style="16"/>
    <col min="4577" max="4578" width="15.5703125" style="16" customWidth="1"/>
    <col min="4579" max="4579" width="59.42578125" style="16" customWidth="1"/>
    <col min="4580" max="4581" width="15.5703125" style="16" customWidth="1"/>
    <col min="4582" max="4582" width="9.5703125" style="16" bestFit="1" customWidth="1"/>
    <col min="4583" max="4583" width="15.42578125" style="16" customWidth="1"/>
    <col min="4584" max="4584" width="16.42578125" style="16" customWidth="1"/>
    <col min="4585" max="4585" width="9.140625" style="16"/>
    <col min="4586" max="4586" width="11.7109375" style="16" bestFit="1" customWidth="1"/>
    <col min="4587" max="4587" width="12.28515625" style="16" bestFit="1" customWidth="1"/>
    <col min="4588" max="4832" width="9.140625" style="16"/>
    <col min="4833" max="4834" width="15.5703125" style="16" customWidth="1"/>
    <col min="4835" max="4835" width="59.42578125" style="16" customWidth="1"/>
    <col min="4836" max="4837" width="15.5703125" style="16" customWidth="1"/>
    <col min="4838" max="4838" width="9.5703125" style="16" bestFit="1" customWidth="1"/>
    <col min="4839" max="4839" width="15.42578125" style="16" customWidth="1"/>
    <col min="4840" max="4840" width="16.42578125" style="16" customWidth="1"/>
    <col min="4841" max="4841" width="9.140625" style="16"/>
    <col min="4842" max="4842" width="11.7109375" style="16" bestFit="1" customWidth="1"/>
    <col min="4843" max="4843" width="12.28515625" style="16" bestFit="1" customWidth="1"/>
    <col min="4844" max="5088" width="9.140625" style="16"/>
    <col min="5089" max="5090" width="15.5703125" style="16" customWidth="1"/>
    <col min="5091" max="5091" width="59.42578125" style="16" customWidth="1"/>
    <col min="5092" max="5093" width="15.5703125" style="16" customWidth="1"/>
    <col min="5094" max="5094" width="9.5703125" style="16" bestFit="1" customWidth="1"/>
    <col min="5095" max="5095" width="15.42578125" style="16" customWidth="1"/>
    <col min="5096" max="5096" width="16.42578125" style="16" customWidth="1"/>
    <col min="5097" max="5097" width="9.140625" style="16"/>
    <col min="5098" max="5098" width="11.7109375" style="16" bestFit="1" customWidth="1"/>
    <col min="5099" max="5099" width="12.28515625" style="16" bestFit="1" customWidth="1"/>
    <col min="5100" max="5344" width="9.140625" style="16"/>
    <col min="5345" max="5346" width="15.5703125" style="16" customWidth="1"/>
    <col min="5347" max="5347" width="59.42578125" style="16" customWidth="1"/>
    <col min="5348" max="5349" width="15.5703125" style="16" customWidth="1"/>
    <col min="5350" max="5350" width="9.5703125" style="16" bestFit="1" customWidth="1"/>
    <col min="5351" max="5351" width="15.42578125" style="16" customWidth="1"/>
    <col min="5352" max="5352" width="16.42578125" style="16" customWidth="1"/>
    <col min="5353" max="5353" width="9.140625" style="16"/>
    <col min="5354" max="5354" width="11.7109375" style="16" bestFit="1" customWidth="1"/>
    <col min="5355" max="5355" width="12.28515625" style="16" bestFit="1" customWidth="1"/>
    <col min="5356" max="5600" width="9.140625" style="16"/>
    <col min="5601" max="5602" width="15.5703125" style="16" customWidth="1"/>
    <col min="5603" max="5603" width="59.42578125" style="16" customWidth="1"/>
    <col min="5604" max="5605" width="15.5703125" style="16" customWidth="1"/>
    <col min="5606" max="5606" width="9.5703125" style="16" bestFit="1" customWidth="1"/>
    <col min="5607" max="5607" width="15.42578125" style="16" customWidth="1"/>
    <col min="5608" max="5608" width="16.42578125" style="16" customWidth="1"/>
    <col min="5609" max="5609" width="9.140625" style="16"/>
    <col min="5610" max="5610" width="11.7109375" style="16" bestFit="1" customWidth="1"/>
    <col min="5611" max="5611" width="12.28515625" style="16" bestFit="1" customWidth="1"/>
    <col min="5612" max="5856" width="9.140625" style="16"/>
    <col min="5857" max="5858" width="15.5703125" style="16" customWidth="1"/>
    <col min="5859" max="5859" width="59.42578125" style="16" customWidth="1"/>
    <col min="5860" max="5861" width="15.5703125" style="16" customWidth="1"/>
    <col min="5862" max="5862" width="9.5703125" style="16" bestFit="1" customWidth="1"/>
    <col min="5863" max="5863" width="15.42578125" style="16" customWidth="1"/>
    <col min="5864" max="5864" width="16.42578125" style="16" customWidth="1"/>
    <col min="5865" max="5865" width="9.140625" style="16"/>
    <col min="5866" max="5866" width="11.7109375" style="16" bestFit="1" customWidth="1"/>
    <col min="5867" max="5867" width="12.28515625" style="16" bestFit="1" customWidth="1"/>
    <col min="5868" max="6112" width="9.140625" style="16"/>
    <col min="6113" max="6114" width="15.5703125" style="16" customWidth="1"/>
    <col min="6115" max="6115" width="59.42578125" style="16" customWidth="1"/>
    <col min="6116" max="6117" width="15.5703125" style="16" customWidth="1"/>
    <col min="6118" max="6118" width="9.5703125" style="16" bestFit="1" customWidth="1"/>
    <col min="6119" max="6119" width="15.42578125" style="16" customWidth="1"/>
    <col min="6120" max="6120" width="16.42578125" style="16" customWidth="1"/>
    <col min="6121" max="6121" width="9.140625" style="16"/>
    <col min="6122" max="6122" width="11.7109375" style="16" bestFit="1" customWidth="1"/>
    <col min="6123" max="6123" width="12.28515625" style="16" bestFit="1" customWidth="1"/>
    <col min="6124" max="6368" width="9.140625" style="16"/>
    <col min="6369" max="6370" width="15.5703125" style="16" customWidth="1"/>
    <col min="6371" max="6371" width="59.42578125" style="16" customWidth="1"/>
    <col min="6372" max="6373" width="15.5703125" style="16" customWidth="1"/>
    <col min="6374" max="6374" width="9.5703125" style="16" bestFit="1" customWidth="1"/>
    <col min="6375" max="6375" width="15.42578125" style="16" customWidth="1"/>
    <col min="6376" max="6376" width="16.42578125" style="16" customWidth="1"/>
    <col min="6377" max="6377" width="9.140625" style="16"/>
    <col min="6378" max="6378" width="11.7109375" style="16" bestFit="1" customWidth="1"/>
    <col min="6379" max="6379" width="12.28515625" style="16" bestFit="1" customWidth="1"/>
    <col min="6380" max="6624" width="9.140625" style="16"/>
    <col min="6625" max="6626" width="15.5703125" style="16" customWidth="1"/>
    <col min="6627" max="6627" width="59.42578125" style="16" customWidth="1"/>
    <col min="6628" max="6629" width="15.5703125" style="16" customWidth="1"/>
    <col min="6630" max="6630" width="9.5703125" style="16" bestFit="1" customWidth="1"/>
    <col min="6631" max="6631" width="15.42578125" style="16" customWidth="1"/>
    <col min="6632" max="6632" width="16.42578125" style="16" customWidth="1"/>
    <col min="6633" max="6633" width="9.140625" style="16"/>
    <col min="6634" max="6634" width="11.7109375" style="16" bestFit="1" customWidth="1"/>
    <col min="6635" max="6635" width="12.28515625" style="16" bestFit="1" customWidth="1"/>
    <col min="6636" max="6880" width="9.140625" style="16"/>
    <col min="6881" max="6882" width="15.5703125" style="16" customWidth="1"/>
    <col min="6883" max="6883" width="59.42578125" style="16" customWidth="1"/>
    <col min="6884" max="6885" width="15.5703125" style="16" customWidth="1"/>
    <col min="6886" max="6886" width="9.5703125" style="16" bestFit="1" customWidth="1"/>
    <col min="6887" max="6887" width="15.42578125" style="16" customWidth="1"/>
    <col min="6888" max="6888" width="16.42578125" style="16" customWidth="1"/>
    <col min="6889" max="6889" width="9.140625" style="16"/>
    <col min="6890" max="6890" width="11.7109375" style="16" bestFit="1" customWidth="1"/>
    <col min="6891" max="6891" width="12.28515625" style="16" bestFit="1" customWidth="1"/>
    <col min="6892" max="7136" width="9.140625" style="16"/>
    <col min="7137" max="7138" width="15.5703125" style="16" customWidth="1"/>
    <col min="7139" max="7139" width="59.42578125" style="16" customWidth="1"/>
    <col min="7140" max="7141" width="15.5703125" style="16" customWidth="1"/>
    <col min="7142" max="7142" width="9.5703125" style="16" bestFit="1" customWidth="1"/>
    <col min="7143" max="7143" width="15.42578125" style="16" customWidth="1"/>
    <col min="7144" max="7144" width="16.42578125" style="16" customWidth="1"/>
    <col min="7145" max="7145" width="9.140625" style="16"/>
    <col min="7146" max="7146" width="11.7109375" style="16" bestFit="1" customWidth="1"/>
    <col min="7147" max="7147" width="12.28515625" style="16" bestFit="1" customWidth="1"/>
    <col min="7148" max="7392" width="9.140625" style="16"/>
    <col min="7393" max="7394" width="15.5703125" style="16" customWidth="1"/>
    <col min="7395" max="7395" width="59.42578125" style="16" customWidth="1"/>
    <col min="7396" max="7397" width="15.5703125" style="16" customWidth="1"/>
    <col min="7398" max="7398" width="9.5703125" style="16" bestFit="1" customWidth="1"/>
    <col min="7399" max="7399" width="15.42578125" style="16" customWidth="1"/>
    <col min="7400" max="7400" width="16.42578125" style="16" customWidth="1"/>
    <col min="7401" max="7401" width="9.140625" style="16"/>
    <col min="7402" max="7402" width="11.7109375" style="16" bestFit="1" customWidth="1"/>
    <col min="7403" max="7403" width="12.28515625" style="16" bestFit="1" customWidth="1"/>
    <col min="7404" max="7648" width="9.140625" style="16"/>
    <col min="7649" max="7650" width="15.5703125" style="16" customWidth="1"/>
    <col min="7651" max="7651" width="59.42578125" style="16" customWidth="1"/>
    <col min="7652" max="7653" width="15.5703125" style="16" customWidth="1"/>
    <col min="7654" max="7654" width="9.5703125" style="16" bestFit="1" customWidth="1"/>
    <col min="7655" max="7655" width="15.42578125" style="16" customWidth="1"/>
    <col min="7656" max="7656" width="16.42578125" style="16" customWidth="1"/>
    <col min="7657" max="7657" width="9.140625" style="16"/>
    <col min="7658" max="7658" width="11.7109375" style="16" bestFit="1" customWidth="1"/>
    <col min="7659" max="7659" width="12.28515625" style="16" bestFit="1" customWidth="1"/>
    <col min="7660" max="7904" width="9.140625" style="16"/>
    <col min="7905" max="7906" width="15.5703125" style="16" customWidth="1"/>
    <col min="7907" max="7907" width="59.42578125" style="16" customWidth="1"/>
    <col min="7908" max="7909" width="15.5703125" style="16" customWidth="1"/>
    <col min="7910" max="7910" width="9.5703125" style="16" bestFit="1" customWidth="1"/>
    <col min="7911" max="7911" width="15.42578125" style="16" customWidth="1"/>
    <col min="7912" max="7912" width="16.42578125" style="16" customWidth="1"/>
    <col min="7913" max="7913" width="9.140625" style="16"/>
    <col min="7914" max="7914" width="11.7109375" style="16" bestFit="1" customWidth="1"/>
    <col min="7915" max="7915" width="12.28515625" style="16" bestFit="1" customWidth="1"/>
    <col min="7916" max="8160" width="9.140625" style="16"/>
    <col min="8161" max="8162" width="15.5703125" style="16" customWidth="1"/>
    <col min="8163" max="8163" width="59.42578125" style="16" customWidth="1"/>
    <col min="8164" max="8165" width="15.5703125" style="16" customWidth="1"/>
    <col min="8166" max="8166" width="9.5703125" style="16" bestFit="1" customWidth="1"/>
    <col min="8167" max="8167" width="15.42578125" style="16" customWidth="1"/>
    <col min="8168" max="8168" width="16.42578125" style="16" customWidth="1"/>
    <col min="8169" max="8169" width="9.140625" style="16"/>
    <col min="8170" max="8170" width="11.7109375" style="16" bestFit="1" customWidth="1"/>
    <col min="8171" max="8171" width="12.28515625" style="16" bestFit="1" customWidth="1"/>
    <col min="8172" max="8416" width="9.140625" style="16"/>
    <col min="8417" max="8418" width="15.5703125" style="16" customWidth="1"/>
    <col min="8419" max="8419" width="59.42578125" style="16" customWidth="1"/>
    <col min="8420" max="8421" width="15.5703125" style="16" customWidth="1"/>
    <col min="8422" max="8422" width="9.5703125" style="16" bestFit="1" customWidth="1"/>
    <col min="8423" max="8423" width="15.42578125" style="16" customWidth="1"/>
    <col min="8424" max="8424" width="16.42578125" style="16" customWidth="1"/>
    <col min="8425" max="8425" width="9.140625" style="16"/>
    <col min="8426" max="8426" width="11.7109375" style="16" bestFit="1" customWidth="1"/>
    <col min="8427" max="8427" width="12.28515625" style="16" bestFit="1" customWidth="1"/>
    <col min="8428" max="8672" width="9.140625" style="16"/>
    <col min="8673" max="8674" width="15.5703125" style="16" customWidth="1"/>
    <col min="8675" max="8675" width="59.42578125" style="16" customWidth="1"/>
    <col min="8676" max="8677" width="15.5703125" style="16" customWidth="1"/>
    <col min="8678" max="8678" width="9.5703125" style="16" bestFit="1" customWidth="1"/>
    <col min="8679" max="8679" width="15.42578125" style="16" customWidth="1"/>
    <col min="8680" max="8680" width="16.42578125" style="16" customWidth="1"/>
    <col min="8681" max="8681" width="9.140625" style="16"/>
    <col min="8682" max="8682" width="11.7109375" style="16" bestFit="1" customWidth="1"/>
    <col min="8683" max="8683" width="12.28515625" style="16" bestFit="1" customWidth="1"/>
    <col min="8684" max="8928" width="9.140625" style="16"/>
    <col min="8929" max="8930" width="15.5703125" style="16" customWidth="1"/>
    <col min="8931" max="8931" width="59.42578125" style="16" customWidth="1"/>
    <col min="8932" max="8933" width="15.5703125" style="16" customWidth="1"/>
    <col min="8934" max="8934" width="9.5703125" style="16" bestFit="1" customWidth="1"/>
    <col min="8935" max="8935" width="15.42578125" style="16" customWidth="1"/>
    <col min="8936" max="8936" width="16.42578125" style="16" customWidth="1"/>
    <col min="8937" max="8937" width="9.140625" style="16"/>
    <col min="8938" max="8938" width="11.7109375" style="16" bestFit="1" customWidth="1"/>
    <col min="8939" max="8939" width="12.28515625" style="16" bestFit="1" customWidth="1"/>
    <col min="8940" max="9184" width="9.140625" style="16"/>
    <col min="9185" max="9186" width="15.5703125" style="16" customWidth="1"/>
    <col min="9187" max="9187" width="59.42578125" style="16" customWidth="1"/>
    <col min="9188" max="9189" width="15.5703125" style="16" customWidth="1"/>
    <col min="9190" max="9190" width="9.5703125" style="16" bestFit="1" customWidth="1"/>
    <col min="9191" max="9191" width="15.42578125" style="16" customWidth="1"/>
    <col min="9192" max="9192" width="16.42578125" style="16" customWidth="1"/>
    <col min="9193" max="9193" width="9.140625" style="16"/>
    <col min="9194" max="9194" width="11.7109375" style="16" bestFit="1" customWidth="1"/>
    <col min="9195" max="9195" width="12.28515625" style="16" bestFit="1" customWidth="1"/>
    <col min="9196" max="9440" width="9.140625" style="16"/>
    <col min="9441" max="9442" width="15.5703125" style="16" customWidth="1"/>
    <col min="9443" max="9443" width="59.42578125" style="16" customWidth="1"/>
    <col min="9444" max="9445" width="15.5703125" style="16" customWidth="1"/>
    <col min="9446" max="9446" width="9.5703125" style="16" bestFit="1" customWidth="1"/>
    <col min="9447" max="9447" width="15.42578125" style="16" customWidth="1"/>
    <col min="9448" max="9448" width="16.42578125" style="16" customWidth="1"/>
    <col min="9449" max="9449" width="9.140625" style="16"/>
    <col min="9450" max="9450" width="11.7109375" style="16" bestFit="1" customWidth="1"/>
    <col min="9451" max="9451" width="12.28515625" style="16" bestFit="1" customWidth="1"/>
    <col min="9452" max="9696" width="9.140625" style="16"/>
    <col min="9697" max="9698" width="15.5703125" style="16" customWidth="1"/>
    <col min="9699" max="9699" width="59.42578125" style="16" customWidth="1"/>
    <col min="9700" max="9701" width="15.5703125" style="16" customWidth="1"/>
    <col min="9702" max="9702" width="9.5703125" style="16" bestFit="1" customWidth="1"/>
    <col min="9703" max="9703" width="15.42578125" style="16" customWidth="1"/>
    <col min="9704" max="9704" width="16.42578125" style="16" customWidth="1"/>
    <col min="9705" max="9705" width="9.140625" style="16"/>
    <col min="9706" max="9706" width="11.7109375" style="16" bestFit="1" customWidth="1"/>
    <col min="9707" max="9707" width="12.28515625" style="16" bestFit="1" customWidth="1"/>
    <col min="9708" max="9952" width="9.140625" style="16"/>
    <col min="9953" max="9954" width="15.5703125" style="16" customWidth="1"/>
    <col min="9955" max="9955" width="59.42578125" style="16" customWidth="1"/>
    <col min="9956" max="9957" width="15.5703125" style="16" customWidth="1"/>
    <col min="9958" max="9958" width="9.5703125" style="16" bestFit="1" customWidth="1"/>
    <col min="9959" max="9959" width="15.42578125" style="16" customWidth="1"/>
    <col min="9960" max="9960" width="16.42578125" style="16" customWidth="1"/>
    <col min="9961" max="9961" width="9.140625" style="16"/>
    <col min="9962" max="9962" width="11.7109375" style="16" bestFit="1" customWidth="1"/>
    <col min="9963" max="9963" width="12.28515625" style="16" bestFit="1" customWidth="1"/>
    <col min="9964" max="10208" width="9.140625" style="16"/>
    <col min="10209" max="10210" width="15.5703125" style="16" customWidth="1"/>
    <col min="10211" max="10211" width="59.42578125" style="16" customWidth="1"/>
    <col min="10212" max="10213" width="15.5703125" style="16" customWidth="1"/>
    <col min="10214" max="10214" width="9.5703125" style="16" bestFit="1" customWidth="1"/>
    <col min="10215" max="10215" width="15.42578125" style="16" customWidth="1"/>
    <col min="10216" max="10216" width="16.42578125" style="16" customWidth="1"/>
    <col min="10217" max="10217" width="9.140625" style="16"/>
    <col min="10218" max="10218" width="11.7109375" style="16" bestFit="1" customWidth="1"/>
    <col min="10219" max="10219" width="12.28515625" style="16" bestFit="1" customWidth="1"/>
    <col min="10220" max="10464" width="9.140625" style="16"/>
    <col min="10465" max="10466" width="15.5703125" style="16" customWidth="1"/>
    <col min="10467" max="10467" width="59.42578125" style="16" customWidth="1"/>
    <col min="10468" max="10469" width="15.5703125" style="16" customWidth="1"/>
    <col min="10470" max="10470" width="9.5703125" style="16" bestFit="1" customWidth="1"/>
    <col min="10471" max="10471" width="15.42578125" style="16" customWidth="1"/>
    <col min="10472" max="10472" width="16.42578125" style="16" customWidth="1"/>
    <col min="10473" max="10473" width="9.140625" style="16"/>
    <col min="10474" max="10474" width="11.7109375" style="16" bestFit="1" customWidth="1"/>
    <col min="10475" max="10475" width="12.28515625" style="16" bestFit="1" customWidth="1"/>
    <col min="10476" max="10720" width="9.140625" style="16"/>
    <col min="10721" max="10722" width="15.5703125" style="16" customWidth="1"/>
    <col min="10723" max="10723" width="59.42578125" style="16" customWidth="1"/>
    <col min="10724" max="10725" width="15.5703125" style="16" customWidth="1"/>
    <col min="10726" max="10726" width="9.5703125" style="16" bestFit="1" customWidth="1"/>
    <col min="10727" max="10727" width="15.42578125" style="16" customWidth="1"/>
    <col min="10728" max="10728" width="16.42578125" style="16" customWidth="1"/>
    <col min="10729" max="10729" width="9.140625" style="16"/>
    <col min="10730" max="10730" width="11.7109375" style="16" bestFit="1" customWidth="1"/>
    <col min="10731" max="10731" width="12.28515625" style="16" bestFit="1" customWidth="1"/>
    <col min="10732" max="10976" width="9.140625" style="16"/>
    <col min="10977" max="10978" width="15.5703125" style="16" customWidth="1"/>
    <col min="10979" max="10979" width="59.42578125" style="16" customWidth="1"/>
    <col min="10980" max="10981" width="15.5703125" style="16" customWidth="1"/>
    <col min="10982" max="10982" width="9.5703125" style="16" bestFit="1" customWidth="1"/>
    <col min="10983" max="10983" width="15.42578125" style="16" customWidth="1"/>
    <col min="10984" max="10984" width="16.42578125" style="16" customWidth="1"/>
    <col min="10985" max="10985" width="9.140625" style="16"/>
    <col min="10986" max="10986" width="11.7109375" style="16" bestFit="1" customWidth="1"/>
    <col min="10987" max="10987" width="12.28515625" style="16" bestFit="1" customWidth="1"/>
    <col min="10988" max="11232" width="9.140625" style="16"/>
    <col min="11233" max="11234" width="15.5703125" style="16" customWidth="1"/>
    <col min="11235" max="11235" width="59.42578125" style="16" customWidth="1"/>
    <col min="11236" max="11237" width="15.5703125" style="16" customWidth="1"/>
    <col min="11238" max="11238" width="9.5703125" style="16" bestFit="1" customWidth="1"/>
    <col min="11239" max="11239" width="15.42578125" style="16" customWidth="1"/>
    <col min="11240" max="11240" width="16.42578125" style="16" customWidth="1"/>
    <col min="11241" max="11241" width="9.140625" style="16"/>
    <col min="11242" max="11242" width="11.7109375" style="16" bestFit="1" customWidth="1"/>
    <col min="11243" max="11243" width="12.28515625" style="16" bestFit="1" customWidth="1"/>
    <col min="11244" max="11488" width="9.140625" style="16"/>
    <col min="11489" max="11490" width="15.5703125" style="16" customWidth="1"/>
    <col min="11491" max="11491" width="59.42578125" style="16" customWidth="1"/>
    <col min="11492" max="11493" width="15.5703125" style="16" customWidth="1"/>
    <col min="11494" max="11494" width="9.5703125" style="16" bestFit="1" customWidth="1"/>
    <col min="11495" max="11495" width="15.42578125" style="16" customWidth="1"/>
    <col min="11496" max="11496" width="16.42578125" style="16" customWidth="1"/>
    <col min="11497" max="11497" width="9.140625" style="16"/>
    <col min="11498" max="11498" width="11.7109375" style="16" bestFit="1" customWidth="1"/>
    <col min="11499" max="11499" width="12.28515625" style="16" bestFit="1" customWidth="1"/>
    <col min="11500" max="11744" width="9.140625" style="16"/>
    <col min="11745" max="11746" width="15.5703125" style="16" customWidth="1"/>
    <col min="11747" max="11747" width="59.42578125" style="16" customWidth="1"/>
    <col min="11748" max="11749" width="15.5703125" style="16" customWidth="1"/>
    <col min="11750" max="11750" width="9.5703125" style="16" bestFit="1" customWidth="1"/>
    <col min="11751" max="11751" width="15.42578125" style="16" customWidth="1"/>
    <col min="11752" max="11752" width="16.42578125" style="16" customWidth="1"/>
    <col min="11753" max="11753" width="9.140625" style="16"/>
    <col min="11754" max="11754" width="11.7109375" style="16" bestFit="1" customWidth="1"/>
    <col min="11755" max="11755" width="12.28515625" style="16" bestFit="1" customWidth="1"/>
    <col min="11756" max="12000" width="9.140625" style="16"/>
    <col min="12001" max="12002" width="15.5703125" style="16" customWidth="1"/>
    <col min="12003" max="12003" width="59.42578125" style="16" customWidth="1"/>
    <col min="12004" max="12005" width="15.5703125" style="16" customWidth="1"/>
    <col min="12006" max="12006" width="9.5703125" style="16" bestFit="1" customWidth="1"/>
    <col min="12007" max="12007" width="15.42578125" style="16" customWidth="1"/>
    <col min="12008" max="12008" width="16.42578125" style="16" customWidth="1"/>
    <col min="12009" max="12009" width="9.140625" style="16"/>
    <col min="12010" max="12010" width="11.7109375" style="16" bestFit="1" customWidth="1"/>
    <col min="12011" max="12011" width="12.28515625" style="16" bestFit="1" customWidth="1"/>
    <col min="12012" max="12256" width="9.140625" style="16"/>
    <col min="12257" max="12258" width="15.5703125" style="16" customWidth="1"/>
    <col min="12259" max="12259" width="59.42578125" style="16" customWidth="1"/>
    <col min="12260" max="12261" width="15.5703125" style="16" customWidth="1"/>
    <col min="12262" max="12262" width="9.5703125" style="16" bestFit="1" customWidth="1"/>
    <col min="12263" max="12263" width="15.42578125" style="16" customWidth="1"/>
    <col min="12264" max="12264" width="16.42578125" style="16" customWidth="1"/>
    <col min="12265" max="12265" width="9.140625" style="16"/>
    <col min="12266" max="12266" width="11.7109375" style="16" bestFit="1" customWidth="1"/>
    <col min="12267" max="12267" width="12.28515625" style="16" bestFit="1" customWidth="1"/>
    <col min="12268" max="12512" width="9.140625" style="16"/>
    <col min="12513" max="12514" width="15.5703125" style="16" customWidth="1"/>
    <col min="12515" max="12515" width="59.42578125" style="16" customWidth="1"/>
    <col min="12516" max="12517" width="15.5703125" style="16" customWidth="1"/>
    <col min="12518" max="12518" width="9.5703125" style="16" bestFit="1" customWidth="1"/>
    <col min="12519" max="12519" width="15.42578125" style="16" customWidth="1"/>
    <col min="12520" max="12520" width="16.42578125" style="16" customWidth="1"/>
    <col min="12521" max="12521" width="9.140625" style="16"/>
    <col min="12522" max="12522" width="11.7109375" style="16" bestFit="1" customWidth="1"/>
    <col min="12523" max="12523" width="12.28515625" style="16" bestFit="1" customWidth="1"/>
    <col min="12524" max="12768" width="9.140625" style="16"/>
    <col min="12769" max="12770" width="15.5703125" style="16" customWidth="1"/>
    <col min="12771" max="12771" width="59.42578125" style="16" customWidth="1"/>
    <col min="12772" max="12773" width="15.5703125" style="16" customWidth="1"/>
    <col min="12774" max="12774" width="9.5703125" style="16" bestFit="1" customWidth="1"/>
    <col min="12775" max="12775" width="15.42578125" style="16" customWidth="1"/>
    <col min="12776" max="12776" width="16.42578125" style="16" customWidth="1"/>
    <col min="12777" max="12777" width="9.140625" style="16"/>
    <col min="12778" max="12778" width="11.7109375" style="16" bestFit="1" customWidth="1"/>
    <col min="12779" max="12779" width="12.28515625" style="16" bestFit="1" customWidth="1"/>
    <col min="12780" max="13024" width="9.140625" style="16"/>
    <col min="13025" max="13026" width="15.5703125" style="16" customWidth="1"/>
    <col min="13027" max="13027" width="59.42578125" style="16" customWidth="1"/>
    <col min="13028" max="13029" width="15.5703125" style="16" customWidth="1"/>
    <col min="13030" max="13030" width="9.5703125" style="16" bestFit="1" customWidth="1"/>
    <col min="13031" max="13031" width="15.42578125" style="16" customWidth="1"/>
    <col min="13032" max="13032" width="16.42578125" style="16" customWidth="1"/>
    <col min="13033" max="13033" width="9.140625" style="16"/>
    <col min="13034" max="13034" width="11.7109375" style="16" bestFit="1" customWidth="1"/>
    <col min="13035" max="13035" width="12.28515625" style="16" bestFit="1" customWidth="1"/>
    <col min="13036" max="13280" width="9.140625" style="16"/>
    <col min="13281" max="13282" width="15.5703125" style="16" customWidth="1"/>
    <col min="13283" max="13283" width="59.42578125" style="16" customWidth="1"/>
    <col min="13284" max="13285" width="15.5703125" style="16" customWidth="1"/>
    <col min="13286" max="13286" width="9.5703125" style="16" bestFit="1" customWidth="1"/>
    <col min="13287" max="13287" width="15.42578125" style="16" customWidth="1"/>
    <col min="13288" max="13288" width="16.42578125" style="16" customWidth="1"/>
    <col min="13289" max="13289" width="9.140625" style="16"/>
    <col min="13290" max="13290" width="11.7109375" style="16" bestFit="1" customWidth="1"/>
    <col min="13291" max="13291" width="12.28515625" style="16" bestFit="1" customWidth="1"/>
    <col min="13292" max="13536" width="9.140625" style="16"/>
    <col min="13537" max="13538" width="15.5703125" style="16" customWidth="1"/>
    <col min="13539" max="13539" width="59.42578125" style="16" customWidth="1"/>
    <col min="13540" max="13541" width="15.5703125" style="16" customWidth="1"/>
    <col min="13542" max="13542" width="9.5703125" style="16" bestFit="1" customWidth="1"/>
    <col min="13543" max="13543" width="15.42578125" style="16" customWidth="1"/>
    <col min="13544" max="13544" width="16.42578125" style="16" customWidth="1"/>
    <col min="13545" max="13545" width="9.140625" style="16"/>
    <col min="13546" max="13546" width="11.7109375" style="16" bestFit="1" customWidth="1"/>
    <col min="13547" max="13547" width="12.28515625" style="16" bestFit="1" customWidth="1"/>
    <col min="13548" max="13792" width="9.140625" style="16"/>
    <col min="13793" max="13794" width="15.5703125" style="16" customWidth="1"/>
    <col min="13795" max="13795" width="59.42578125" style="16" customWidth="1"/>
    <col min="13796" max="13797" width="15.5703125" style="16" customWidth="1"/>
    <col min="13798" max="13798" width="9.5703125" style="16" bestFit="1" customWidth="1"/>
    <col min="13799" max="13799" width="15.42578125" style="16" customWidth="1"/>
    <col min="13800" max="13800" width="16.42578125" style="16" customWidth="1"/>
    <col min="13801" max="13801" width="9.140625" style="16"/>
    <col min="13802" max="13802" width="11.7109375" style="16" bestFit="1" customWidth="1"/>
    <col min="13803" max="13803" width="12.28515625" style="16" bestFit="1" customWidth="1"/>
    <col min="13804" max="14048" width="9.140625" style="16"/>
    <col min="14049" max="14050" width="15.5703125" style="16" customWidth="1"/>
    <col min="14051" max="14051" width="59.42578125" style="16" customWidth="1"/>
    <col min="14052" max="14053" width="15.5703125" style="16" customWidth="1"/>
    <col min="14054" max="14054" width="9.5703125" style="16" bestFit="1" customWidth="1"/>
    <col min="14055" max="14055" width="15.42578125" style="16" customWidth="1"/>
    <col min="14056" max="14056" width="16.42578125" style="16" customWidth="1"/>
    <col min="14057" max="14057" width="9.140625" style="16"/>
    <col min="14058" max="14058" width="11.7109375" style="16" bestFit="1" customWidth="1"/>
    <col min="14059" max="14059" width="12.28515625" style="16" bestFit="1" customWidth="1"/>
    <col min="14060" max="14304" width="9.140625" style="16"/>
    <col min="14305" max="14306" width="15.5703125" style="16" customWidth="1"/>
    <col min="14307" max="14307" width="59.42578125" style="16" customWidth="1"/>
    <col min="14308" max="14309" width="15.5703125" style="16" customWidth="1"/>
    <col min="14310" max="14310" width="9.5703125" style="16" bestFit="1" customWidth="1"/>
    <col min="14311" max="14311" width="15.42578125" style="16" customWidth="1"/>
    <col min="14312" max="14312" width="16.42578125" style="16" customWidth="1"/>
    <col min="14313" max="14313" width="9.140625" style="16"/>
    <col min="14314" max="14314" width="11.7109375" style="16" bestFit="1" customWidth="1"/>
    <col min="14315" max="14315" width="12.28515625" style="16" bestFit="1" customWidth="1"/>
    <col min="14316" max="14560" width="9.140625" style="16"/>
    <col min="14561" max="14562" width="15.5703125" style="16" customWidth="1"/>
    <col min="14563" max="14563" width="59.42578125" style="16" customWidth="1"/>
    <col min="14564" max="14565" width="15.5703125" style="16" customWidth="1"/>
    <col min="14566" max="14566" width="9.5703125" style="16" bestFit="1" customWidth="1"/>
    <col min="14567" max="14567" width="15.42578125" style="16" customWidth="1"/>
    <col min="14568" max="14568" width="16.42578125" style="16" customWidth="1"/>
    <col min="14569" max="14569" width="9.140625" style="16"/>
    <col min="14570" max="14570" width="11.7109375" style="16" bestFit="1" customWidth="1"/>
    <col min="14571" max="14571" width="12.28515625" style="16" bestFit="1" customWidth="1"/>
    <col min="14572" max="14816" width="9.140625" style="16"/>
    <col min="14817" max="14818" width="15.5703125" style="16" customWidth="1"/>
    <col min="14819" max="14819" width="59.42578125" style="16" customWidth="1"/>
    <col min="14820" max="14821" width="15.5703125" style="16" customWidth="1"/>
    <col min="14822" max="14822" width="9.5703125" style="16" bestFit="1" customWidth="1"/>
    <col min="14823" max="14823" width="15.42578125" style="16" customWidth="1"/>
    <col min="14824" max="14824" width="16.42578125" style="16" customWidth="1"/>
    <col min="14825" max="14825" width="9.140625" style="16"/>
    <col min="14826" max="14826" width="11.7109375" style="16" bestFit="1" customWidth="1"/>
    <col min="14827" max="14827" width="12.28515625" style="16" bestFit="1" customWidth="1"/>
    <col min="14828" max="15072" width="9.140625" style="16"/>
    <col min="15073" max="15074" width="15.5703125" style="16" customWidth="1"/>
    <col min="15075" max="15075" width="59.42578125" style="16" customWidth="1"/>
    <col min="15076" max="15077" width="15.5703125" style="16" customWidth="1"/>
    <col min="15078" max="15078" width="9.5703125" style="16" bestFit="1" customWidth="1"/>
    <col min="15079" max="15079" width="15.42578125" style="16" customWidth="1"/>
    <col min="15080" max="15080" width="16.42578125" style="16" customWidth="1"/>
    <col min="15081" max="15081" width="9.140625" style="16"/>
    <col min="15082" max="15082" width="11.7109375" style="16" bestFit="1" customWidth="1"/>
    <col min="15083" max="15083" width="12.28515625" style="16" bestFit="1" customWidth="1"/>
    <col min="15084" max="15328" width="9.140625" style="16"/>
    <col min="15329" max="15330" width="15.5703125" style="16" customWidth="1"/>
    <col min="15331" max="15331" width="59.42578125" style="16" customWidth="1"/>
    <col min="15332" max="15333" width="15.5703125" style="16" customWidth="1"/>
    <col min="15334" max="15334" width="9.5703125" style="16" bestFit="1" customWidth="1"/>
    <col min="15335" max="15335" width="15.42578125" style="16" customWidth="1"/>
    <col min="15336" max="15336" width="16.42578125" style="16" customWidth="1"/>
    <col min="15337" max="15337" width="9.140625" style="16"/>
    <col min="15338" max="15338" width="11.7109375" style="16" bestFit="1" customWidth="1"/>
    <col min="15339" max="15339" width="12.28515625" style="16" bestFit="1" customWidth="1"/>
    <col min="15340" max="15584" width="9.140625" style="16"/>
    <col min="15585" max="15586" width="15.5703125" style="16" customWidth="1"/>
    <col min="15587" max="15587" width="59.42578125" style="16" customWidth="1"/>
    <col min="15588" max="15589" width="15.5703125" style="16" customWidth="1"/>
    <col min="15590" max="15590" width="9.5703125" style="16" bestFit="1" customWidth="1"/>
    <col min="15591" max="15591" width="15.42578125" style="16" customWidth="1"/>
    <col min="15592" max="15592" width="16.42578125" style="16" customWidth="1"/>
    <col min="15593" max="15593" width="9.140625" style="16"/>
    <col min="15594" max="15594" width="11.7109375" style="16" bestFit="1" customWidth="1"/>
    <col min="15595" max="15595" width="12.28515625" style="16" bestFit="1" customWidth="1"/>
    <col min="15596" max="15840" width="9.140625" style="16"/>
    <col min="15841" max="15842" width="15.5703125" style="16" customWidth="1"/>
    <col min="15843" max="15843" width="59.42578125" style="16" customWidth="1"/>
    <col min="15844" max="15845" width="15.5703125" style="16" customWidth="1"/>
    <col min="15846" max="15846" width="9.5703125" style="16" bestFit="1" customWidth="1"/>
    <col min="15847" max="15847" width="15.42578125" style="16" customWidth="1"/>
    <col min="15848" max="15848" width="16.42578125" style="16" customWidth="1"/>
    <col min="15849" max="15849" width="9.140625" style="16"/>
    <col min="15850" max="15850" width="11.7109375" style="16" bestFit="1" customWidth="1"/>
    <col min="15851" max="15851" width="12.28515625" style="16" bestFit="1" customWidth="1"/>
    <col min="15852" max="16096" width="9.140625" style="16"/>
    <col min="16097" max="16098" width="15.5703125" style="16" customWidth="1"/>
    <col min="16099" max="16099" width="59.42578125" style="16" customWidth="1"/>
    <col min="16100" max="16101" width="15.5703125" style="16" customWidth="1"/>
    <col min="16102" max="16102" width="9.5703125" style="16" bestFit="1" customWidth="1"/>
    <col min="16103" max="16103" width="15.42578125" style="16" customWidth="1"/>
    <col min="16104" max="16104" width="16.42578125" style="16" customWidth="1"/>
    <col min="16105" max="16105" width="9.140625" style="16"/>
    <col min="16106" max="16106" width="11.7109375" style="16" bestFit="1" customWidth="1"/>
    <col min="16107" max="16107" width="12.28515625" style="16" bestFit="1" customWidth="1"/>
    <col min="16108" max="16384" width="9.140625" style="16"/>
  </cols>
  <sheetData>
    <row r="1" spans="1:10" x14ac:dyDescent="0.2">
      <c r="A1" s="15" t="s">
        <v>530</v>
      </c>
    </row>
    <row r="2" spans="1:10" x14ac:dyDescent="0.2">
      <c r="A2" s="15"/>
    </row>
    <row r="3" spans="1:10" x14ac:dyDescent="0.2">
      <c r="A3" s="16" t="s">
        <v>531</v>
      </c>
      <c r="D3" s="17">
        <v>2019</v>
      </c>
      <c r="E3" s="17">
        <v>2020</v>
      </c>
    </row>
    <row r="4" spans="1:10" x14ac:dyDescent="0.2">
      <c r="A4" s="117" t="s">
        <v>532</v>
      </c>
      <c r="B4" s="117"/>
      <c r="C4" s="117"/>
      <c r="D4" s="18" t="s">
        <v>533</v>
      </c>
      <c r="E4" s="18" t="s">
        <v>533</v>
      </c>
      <c r="F4" s="18" t="s">
        <v>2011</v>
      </c>
      <c r="G4" s="65" t="s">
        <v>2116</v>
      </c>
    </row>
    <row r="5" spans="1:10" x14ac:dyDescent="0.2">
      <c r="A5" s="118" t="s">
        <v>534</v>
      </c>
      <c r="B5" s="117" t="s">
        <v>161</v>
      </c>
      <c r="C5" s="19" t="s">
        <v>78</v>
      </c>
      <c r="D5" s="109">
        <v>5238779</v>
      </c>
      <c r="E5" s="109">
        <f>(VLOOKUP(C5,Sheet8!$A$5:$B$33,2,FALSE))</f>
        <v>5500717.9500000002</v>
      </c>
      <c r="F5" s="109">
        <f>E5-D5</f>
        <v>261938.95000000019</v>
      </c>
      <c r="G5" s="66">
        <f>(E5-D5)/D5</f>
        <v>5.0000000000000037E-2</v>
      </c>
    </row>
    <row r="6" spans="1:10" x14ac:dyDescent="0.2">
      <c r="A6" s="119"/>
      <c r="B6" s="117"/>
      <c r="C6" s="19" t="s">
        <v>79</v>
      </c>
      <c r="D6" s="109">
        <v>512000</v>
      </c>
      <c r="E6" s="109">
        <f>(VLOOKUP(C6,Sheet1!$A$11:$B$33,2,FALSE))*-1</f>
        <v>512000</v>
      </c>
      <c r="F6" s="109">
        <f>E6-D6</f>
        <v>0</v>
      </c>
      <c r="G6" s="66">
        <f>(E6-D6)/D6</f>
        <v>0</v>
      </c>
      <c r="J6" s="20"/>
    </row>
    <row r="7" spans="1:10" x14ac:dyDescent="0.2">
      <c r="A7" s="119"/>
      <c r="B7" s="117"/>
      <c r="C7" s="55" t="s">
        <v>535</v>
      </c>
      <c r="D7" s="110">
        <f>D5+D6</f>
        <v>5750779</v>
      </c>
      <c r="E7" s="110">
        <f>E5+E6</f>
        <v>6012717.9500000002</v>
      </c>
      <c r="F7" s="110">
        <f>E7-D7</f>
        <v>261938.95000000019</v>
      </c>
      <c r="G7" s="67">
        <f>(E7-D7)/D7</f>
        <v>4.5548429178029655E-2</v>
      </c>
      <c r="H7" s="21"/>
      <c r="I7" s="21"/>
      <c r="J7" s="20"/>
    </row>
    <row r="8" spans="1:10" x14ac:dyDescent="0.2">
      <c r="A8" s="119"/>
      <c r="B8" s="121" t="s">
        <v>80</v>
      </c>
      <c r="C8" s="121"/>
      <c r="D8" s="110">
        <v>1250580</v>
      </c>
      <c r="E8" s="110">
        <f>(VLOOKUP(B8,Sheet1!$A$10:$B$34,2,FALSE)*-1)+(VLOOKUP(B8,Sheet8!$A$4:$B$14,2,FALSE))</f>
        <v>1322021.152</v>
      </c>
      <c r="F8" s="110">
        <f t="shared" ref="F8:F72" si="0">E8-D8</f>
        <v>71441.152000000002</v>
      </c>
      <c r="G8" s="72">
        <f>(E8-D8)/D8</f>
        <v>5.7126414943466236E-2</v>
      </c>
      <c r="H8" s="21"/>
      <c r="I8" s="21"/>
      <c r="J8" s="20"/>
    </row>
    <row r="9" spans="1:10" x14ac:dyDescent="0.2">
      <c r="A9" s="119"/>
      <c r="B9" s="122" t="s">
        <v>536</v>
      </c>
      <c r="C9" s="19" t="s">
        <v>81</v>
      </c>
      <c r="D9" s="109">
        <v>933202</v>
      </c>
      <c r="E9" s="111">
        <f>(VLOOKUP(C9,Sheet1!$A$11:$B$33,2,FALSE))*-1</f>
        <v>1188323</v>
      </c>
      <c r="F9" s="109">
        <f t="shared" si="0"/>
        <v>255121</v>
      </c>
      <c r="G9" s="66">
        <f t="shared" ref="G9:G72" si="1">(E9-D9)/D9</f>
        <v>0.27338239738020281</v>
      </c>
      <c r="H9" s="21"/>
      <c r="I9" s="21"/>
      <c r="J9" s="20"/>
    </row>
    <row r="10" spans="1:10" x14ac:dyDescent="0.2">
      <c r="A10" s="119"/>
      <c r="B10" s="122"/>
      <c r="C10" s="19" t="s">
        <v>82</v>
      </c>
      <c r="D10" s="109">
        <v>2951189</v>
      </c>
      <c r="E10" s="111">
        <f>(VLOOKUP(C10,Sheet1!$A$11:$B$33,2,FALSE))*-1</f>
        <v>2877808</v>
      </c>
      <c r="F10" s="109">
        <f t="shared" si="0"/>
        <v>-73381</v>
      </c>
      <c r="G10" s="66">
        <f t="shared" si="1"/>
        <v>-2.4864893437865212E-2</v>
      </c>
      <c r="H10" s="21"/>
      <c r="I10" s="21"/>
      <c r="J10" s="20"/>
    </row>
    <row r="11" spans="1:10" x14ac:dyDescent="0.2">
      <c r="A11" s="119"/>
      <c r="B11" s="122"/>
      <c r="C11" s="19" t="s">
        <v>537</v>
      </c>
      <c r="D11" s="109">
        <v>190580</v>
      </c>
      <c r="E11" s="111">
        <f>(VLOOKUP(C11,Sheet8!$A$5:$B$33,2,FALSE))</f>
        <v>52333.413799999995</v>
      </c>
      <c r="F11" s="109">
        <f t="shared" si="0"/>
        <v>-138246.58620000002</v>
      </c>
      <c r="G11" s="66">
        <f t="shared" si="1"/>
        <v>-0.72539923496694314</v>
      </c>
      <c r="H11" s="23"/>
      <c r="I11" s="23"/>
      <c r="J11" s="24"/>
    </row>
    <row r="12" spans="1:10" x14ac:dyDescent="0.2">
      <c r="A12" s="119"/>
      <c r="B12" s="122"/>
      <c r="C12" s="55" t="s">
        <v>538</v>
      </c>
      <c r="D12" s="110">
        <f>SUM(D9:D11)</f>
        <v>4074971</v>
      </c>
      <c r="E12" s="110">
        <f>SUM(E9:E11)</f>
        <v>4118464.4138000002</v>
      </c>
      <c r="F12" s="110">
        <f t="shared" si="0"/>
        <v>43493.413800000213</v>
      </c>
      <c r="G12" s="67">
        <f t="shared" si="1"/>
        <v>1.0673306337640246E-2</v>
      </c>
    </row>
    <row r="13" spans="1:10" x14ac:dyDescent="0.2">
      <c r="A13" s="119"/>
      <c r="B13" s="117" t="s">
        <v>163</v>
      </c>
      <c r="C13" s="19" t="s">
        <v>83</v>
      </c>
      <c r="D13" s="109">
        <v>72630</v>
      </c>
      <c r="E13" s="109">
        <f>(VLOOKUP(C13,Sheet8!$A$5:$B$15,2,FALSE))</f>
        <v>87300</v>
      </c>
      <c r="F13" s="109">
        <f t="shared" si="0"/>
        <v>14670</v>
      </c>
      <c r="G13" s="66">
        <f t="shared" si="1"/>
        <v>0.20198265179677818</v>
      </c>
    </row>
    <row r="14" spans="1:10" x14ac:dyDescent="0.2">
      <c r="A14" s="119"/>
      <c r="B14" s="117"/>
      <c r="C14" s="19" t="s">
        <v>539</v>
      </c>
      <c r="D14" s="109">
        <v>13500</v>
      </c>
      <c r="E14" s="109">
        <f>(VLOOKUP(C14,Sheet8!$A$5:$B$15,2,FALSE))</f>
        <v>13300</v>
      </c>
      <c r="F14" s="109">
        <f t="shared" si="0"/>
        <v>-200</v>
      </c>
      <c r="G14" s="66">
        <f t="shared" si="1"/>
        <v>-1.4814814814814815E-2</v>
      </c>
      <c r="H14" s="21"/>
    </row>
    <row r="15" spans="1:10" x14ac:dyDescent="0.2">
      <c r="A15" s="119"/>
      <c r="B15" s="117"/>
      <c r="C15" s="19" t="s">
        <v>540</v>
      </c>
      <c r="D15" s="109"/>
      <c r="E15" s="109">
        <f>(VLOOKUP(C15,Sheet8!$A$5:$B$15,2,FALSE))</f>
        <v>0</v>
      </c>
      <c r="F15" s="109">
        <f t="shared" si="0"/>
        <v>0</v>
      </c>
      <c r="G15" s="66">
        <v>0</v>
      </c>
      <c r="H15" s="21"/>
    </row>
    <row r="16" spans="1:10" x14ac:dyDescent="0.2">
      <c r="A16" s="119"/>
      <c r="B16" s="117"/>
      <c r="C16" s="19" t="s">
        <v>163</v>
      </c>
      <c r="D16" s="109">
        <v>1372</v>
      </c>
      <c r="E16" s="109">
        <v>0</v>
      </c>
      <c r="F16" s="109">
        <f t="shared" si="0"/>
        <v>-1372</v>
      </c>
      <c r="G16" s="66">
        <v>-1</v>
      </c>
    </row>
    <row r="17" spans="1:9" x14ac:dyDescent="0.2">
      <c r="A17" s="119"/>
      <c r="B17" s="117"/>
      <c r="C17" s="55" t="s">
        <v>541</v>
      </c>
      <c r="D17" s="110">
        <f>SUM(D13:D16)</f>
        <v>87502</v>
      </c>
      <c r="E17" s="110">
        <f>SUM(E13:E16)</f>
        <v>100600</v>
      </c>
      <c r="F17" s="110">
        <f t="shared" si="0"/>
        <v>13098</v>
      </c>
      <c r="G17" s="67">
        <f t="shared" si="1"/>
        <v>0.14968800713126557</v>
      </c>
    </row>
    <row r="18" spans="1:9" x14ac:dyDescent="0.2">
      <c r="A18" s="120"/>
      <c r="B18" s="121" t="s">
        <v>542</v>
      </c>
      <c r="C18" s="121"/>
      <c r="D18" s="112">
        <f>D7+D8+D12+D17</f>
        <v>11163832</v>
      </c>
      <c r="E18" s="112">
        <f>E7+E8+E12+E17</f>
        <v>11553803.515799999</v>
      </c>
      <c r="F18" s="112">
        <f t="shared" si="0"/>
        <v>389971.51579999924</v>
      </c>
      <c r="G18" s="68">
        <f t="shared" si="1"/>
        <v>3.493168974595813E-2</v>
      </c>
    </row>
    <row r="19" spans="1:9" x14ac:dyDescent="0.2">
      <c r="A19" s="118" t="s">
        <v>543</v>
      </c>
      <c r="B19" s="122" t="s">
        <v>544</v>
      </c>
      <c r="C19" s="19" t="s">
        <v>545</v>
      </c>
      <c r="D19" s="109">
        <v>-832820</v>
      </c>
      <c r="E19" s="109">
        <f>(VLOOKUP(C19,Sheet1!$A$11:$B$27,2,FALSE))*-1</f>
        <v>-716846</v>
      </c>
      <c r="F19" s="109">
        <f t="shared" si="0"/>
        <v>115974</v>
      </c>
      <c r="G19" s="66">
        <f t="shared" si="1"/>
        <v>-0.13925458082178621</v>
      </c>
    </row>
    <row r="20" spans="1:9" x14ac:dyDescent="0.2">
      <c r="A20" s="119"/>
      <c r="B20" s="122"/>
      <c r="C20" s="19" t="s">
        <v>546</v>
      </c>
      <c r="D20" s="109">
        <v>-179599</v>
      </c>
      <c r="E20" s="109">
        <f>(VLOOKUP(C20,Sheet1!$A$11:$B$27,2,FALSE))*-1</f>
        <v>-305912</v>
      </c>
      <c r="F20" s="109">
        <f t="shared" si="0"/>
        <v>-126313</v>
      </c>
      <c r="G20" s="66">
        <f t="shared" si="1"/>
        <v>0.70330569769319429</v>
      </c>
    </row>
    <row r="21" spans="1:9" x14ac:dyDescent="0.2">
      <c r="A21" s="119"/>
      <c r="B21" s="122"/>
      <c r="C21" s="19" t="s">
        <v>155</v>
      </c>
      <c r="D21" s="109">
        <v>-37168</v>
      </c>
      <c r="E21" s="109">
        <f>(VLOOKUP(C21,Sheet1!$A$11:$B$27,2,FALSE))*-1</f>
        <v>-31198</v>
      </c>
      <c r="F21" s="109">
        <f t="shared" si="0"/>
        <v>5970</v>
      </c>
      <c r="G21" s="66">
        <f t="shared" si="1"/>
        <v>-0.16062204046491604</v>
      </c>
    </row>
    <row r="22" spans="1:9" x14ac:dyDescent="0.2">
      <c r="A22" s="119"/>
      <c r="B22" s="122"/>
      <c r="C22" s="25" t="s">
        <v>547</v>
      </c>
      <c r="D22" s="113">
        <f>SUM(D19:D21)</f>
        <v>-1049587</v>
      </c>
      <c r="E22" s="113">
        <f>SUM(E19:E21)</f>
        <v>-1053956</v>
      </c>
      <c r="F22" s="113">
        <f t="shared" si="0"/>
        <v>-4369</v>
      </c>
      <c r="G22" s="69">
        <f t="shared" si="1"/>
        <v>4.1625896662210943E-3</v>
      </c>
      <c r="I22" s="21"/>
    </row>
    <row r="23" spans="1:9" x14ac:dyDescent="0.2">
      <c r="A23" s="119"/>
      <c r="B23" s="117" t="s">
        <v>131</v>
      </c>
      <c r="C23" s="19" t="s">
        <v>548</v>
      </c>
      <c r="D23" s="109">
        <v>-5967585</v>
      </c>
      <c r="E23" s="111">
        <f>((VLOOKUP(C23,Sheet3!A3:C153,2,FALSE)+VLOOKUP(C23,Sheet3!A3:C153,3,FALSE))*-1)-(VLOOKUP(C23,Sheet1!$A$9:$B$33,2,FALSE))</f>
        <v>-6347110.4315245049</v>
      </c>
      <c r="F23" s="109">
        <f t="shared" si="0"/>
        <v>-379525.43152450491</v>
      </c>
      <c r="G23" s="66">
        <f t="shared" si="1"/>
        <v>6.3597825841526331E-2</v>
      </c>
      <c r="I23" s="100"/>
    </row>
    <row r="24" spans="1:9" x14ac:dyDescent="0.2">
      <c r="A24" s="119"/>
      <c r="B24" s="117"/>
      <c r="C24" s="19" t="s">
        <v>549</v>
      </c>
      <c r="D24" s="109">
        <v>-3620374</v>
      </c>
      <c r="E24" s="111">
        <f>(VLOOKUP(C24,Sheet1!$A$11:$B$27,2,FALSE))*-1</f>
        <v>-3690168.3799999994</v>
      </c>
      <c r="F24" s="109">
        <f t="shared" si="0"/>
        <v>-69794.379999999423</v>
      </c>
      <c r="G24" s="66">
        <f t="shared" si="1"/>
        <v>1.9278223741524887E-2</v>
      </c>
      <c r="I24" s="75"/>
    </row>
    <row r="25" spans="1:9" x14ac:dyDescent="0.2">
      <c r="A25" s="119"/>
      <c r="B25" s="117"/>
      <c r="C25" s="19" t="s">
        <v>550</v>
      </c>
      <c r="D25" s="109">
        <v>-52237</v>
      </c>
      <c r="E25" s="111">
        <f>(VLOOKUP(C25,Sheet1!$A$11:$B$27,2,FALSE))*-1</f>
        <v>-59019.017578999999</v>
      </c>
      <c r="F25" s="109">
        <f t="shared" si="0"/>
        <v>-6782.0175789999994</v>
      </c>
      <c r="G25" s="66">
        <f t="shared" si="1"/>
        <v>0.12983168212186763</v>
      </c>
    </row>
    <row r="26" spans="1:9" x14ac:dyDescent="0.2">
      <c r="A26" s="119"/>
      <c r="B26" s="117"/>
      <c r="C26" s="55" t="s">
        <v>551</v>
      </c>
      <c r="D26" s="113">
        <f>SUM(D23:D25)</f>
        <v>-9640196</v>
      </c>
      <c r="E26" s="113">
        <f>SUM(E23:E25)</f>
        <v>-10096297.829103505</v>
      </c>
      <c r="F26" s="113">
        <f t="shared" si="0"/>
        <v>-456101.82910350524</v>
      </c>
      <c r="G26" s="69">
        <f t="shared" si="1"/>
        <v>4.7312505793814276E-2</v>
      </c>
      <c r="H26" s="21"/>
    </row>
    <row r="27" spans="1:9" x14ac:dyDescent="0.2">
      <c r="A27" s="120"/>
      <c r="B27" s="123" t="s">
        <v>552</v>
      </c>
      <c r="C27" s="123"/>
      <c r="D27" s="114">
        <f>D22+D26</f>
        <v>-10689783</v>
      </c>
      <c r="E27" s="114">
        <f>E22+E26</f>
        <v>-11150253.829103505</v>
      </c>
      <c r="F27" s="114">
        <f t="shared" si="0"/>
        <v>-460470.82910350524</v>
      </c>
      <c r="G27" s="70">
        <f t="shared" si="1"/>
        <v>4.3075788264692112E-2</v>
      </c>
    </row>
    <row r="28" spans="1:9" x14ac:dyDescent="0.2">
      <c r="A28" s="121" t="s">
        <v>553</v>
      </c>
      <c r="B28" s="121"/>
      <c r="C28" s="121"/>
      <c r="D28" s="112">
        <f>D18+D27</f>
        <v>474049</v>
      </c>
      <c r="E28" s="112">
        <f>E18+E27</f>
        <v>403549.686696494</v>
      </c>
      <c r="F28" s="112">
        <f t="shared" si="0"/>
        <v>-70499.313303506002</v>
      </c>
      <c r="G28" s="68">
        <f t="shared" si="1"/>
        <v>-0.14871735475342424</v>
      </c>
    </row>
    <row r="29" spans="1:9" x14ac:dyDescent="0.2">
      <c r="A29" s="124" t="s">
        <v>87</v>
      </c>
      <c r="B29" s="117" t="s">
        <v>86</v>
      </c>
      <c r="C29" s="117"/>
      <c r="D29" s="109">
        <v>50000</v>
      </c>
      <c r="E29" s="109">
        <v>0</v>
      </c>
      <c r="F29" s="109">
        <f t="shared" si="0"/>
        <v>-50000</v>
      </c>
      <c r="G29" s="66">
        <f t="shared" si="1"/>
        <v>-1</v>
      </c>
    </row>
    <row r="30" spans="1:9" x14ac:dyDescent="0.2">
      <c r="A30" s="124"/>
      <c r="B30" s="117" t="s">
        <v>4</v>
      </c>
      <c r="C30" s="117"/>
      <c r="D30" s="109">
        <v>-768808.53</v>
      </c>
      <c r="E30" s="109">
        <f>(VLOOKUP(B30,Sheet1!$A$11:$B$33,2,FALSE))*-1</f>
        <v>-2699820</v>
      </c>
      <c r="F30" s="109">
        <f t="shared" si="0"/>
        <v>-1931011.47</v>
      </c>
      <c r="G30" s="66">
        <f t="shared" si="1"/>
        <v>2.511693607249649</v>
      </c>
    </row>
    <row r="31" spans="1:9" x14ac:dyDescent="0.2">
      <c r="A31" s="124"/>
      <c r="B31" s="117" t="s">
        <v>2024</v>
      </c>
      <c r="C31" s="117"/>
      <c r="D31" s="109">
        <v>336833.8</v>
      </c>
      <c r="E31" s="111">
        <f>(VLOOKUP(B31,Sheet1!$A$11:$B$33,2,FALSE))*-1</f>
        <v>725000</v>
      </c>
      <c r="F31" s="109">
        <f t="shared" si="0"/>
        <v>388166.2</v>
      </c>
      <c r="G31" s="66">
        <f t="shared" si="1"/>
        <v>1.1523968200340939</v>
      </c>
    </row>
    <row r="32" spans="1:9" x14ac:dyDescent="0.2">
      <c r="A32" s="124"/>
      <c r="B32" s="117" t="s">
        <v>2023</v>
      </c>
      <c r="C32" s="117"/>
      <c r="D32" s="109">
        <v>-886077</v>
      </c>
      <c r="E32" s="111">
        <f>(VLOOKUP(B32,Sheet1!$A$11:$B$33,2,FALSE))*-1</f>
        <v>-149761.28</v>
      </c>
      <c r="F32" s="109">
        <f t="shared" si="0"/>
        <v>736315.72</v>
      </c>
      <c r="G32" s="66">
        <f t="shared" si="1"/>
        <v>-0.83098389869052014</v>
      </c>
    </row>
    <row r="33" spans="1:10" x14ac:dyDescent="0.2">
      <c r="A33" s="124"/>
      <c r="B33" s="117" t="s">
        <v>88</v>
      </c>
      <c r="C33" s="117"/>
      <c r="D33" s="109">
        <v>122</v>
      </c>
      <c r="E33" s="109">
        <f>(VLOOKUP(B33,Sheet1!$A$11:$B$37,2,FALSE))*-1</f>
        <v>130</v>
      </c>
      <c r="F33" s="109">
        <f t="shared" si="0"/>
        <v>8</v>
      </c>
      <c r="G33" s="66">
        <f t="shared" si="1"/>
        <v>6.5573770491803282E-2</v>
      </c>
    </row>
    <row r="34" spans="1:10" x14ac:dyDescent="0.2">
      <c r="A34" s="124"/>
      <c r="B34" s="117" t="s">
        <v>89</v>
      </c>
      <c r="C34" s="117"/>
      <c r="D34" s="109">
        <v>-40966</v>
      </c>
      <c r="E34" s="109">
        <f>(VLOOKUP(B34,Sheet1!$A$11:$B$33,2,FALSE))*-1</f>
        <v>-27847.13</v>
      </c>
      <c r="F34" s="109">
        <f t="shared" si="0"/>
        <v>13118.869999999999</v>
      </c>
      <c r="G34" s="66">
        <f t="shared" si="1"/>
        <v>-0.32023800224576476</v>
      </c>
    </row>
    <row r="35" spans="1:10" x14ac:dyDescent="0.2">
      <c r="A35" s="124"/>
      <c r="B35" s="123" t="s">
        <v>554</v>
      </c>
      <c r="C35" s="123"/>
      <c r="D35" s="113">
        <f>SUM(D29:D34)</f>
        <v>-1308895.73</v>
      </c>
      <c r="E35" s="113">
        <f>SUM(E29:E34)</f>
        <v>-2152298.4099999997</v>
      </c>
      <c r="F35" s="113">
        <f t="shared" si="0"/>
        <v>-843402.6799999997</v>
      </c>
      <c r="G35" s="69">
        <f t="shared" si="1"/>
        <v>0.6443620073540921</v>
      </c>
      <c r="I35" s="26"/>
    </row>
    <row r="36" spans="1:10" x14ac:dyDescent="0.2">
      <c r="A36" s="121" t="s">
        <v>555</v>
      </c>
      <c r="B36" s="121"/>
      <c r="C36" s="121"/>
      <c r="D36" s="110">
        <f>D28+D35</f>
        <v>-834846.73</v>
      </c>
      <c r="E36" s="110">
        <f>E28+E35</f>
        <v>-1748748.7233035057</v>
      </c>
      <c r="F36" s="110">
        <f t="shared" si="0"/>
        <v>-913901.9933035057</v>
      </c>
      <c r="G36" s="67">
        <f t="shared" si="1"/>
        <v>1.0946943438390251</v>
      </c>
      <c r="H36" s="21"/>
      <c r="I36" s="21"/>
      <c r="J36" s="27"/>
    </row>
    <row r="37" spans="1:10" x14ac:dyDescent="0.2">
      <c r="A37" s="124" t="s">
        <v>104</v>
      </c>
      <c r="B37" s="117" t="s">
        <v>103</v>
      </c>
      <c r="C37" s="117"/>
      <c r="D37" s="109">
        <v>400000</v>
      </c>
      <c r="E37" s="111">
        <v>2100000</v>
      </c>
      <c r="F37" s="109">
        <f t="shared" si="0"/>
        <v>1700000</v>
      </c>
      <c r="G37" s="66">
        <f t="shared" si="1"/>
        <v>4.25</v>
      </c>
      <c r="H37" s="21"/>
      <c r="I37" s="21"/>
      <c r="J37" s="27"/>
    </row>
    <row r="38" spans="1:10" x14ac:dyDescent="0.2">
      <c r="A38" s="124"/>
      <c r="B38" s="117" t="s">
        <v>105</v>
      </c>
      <c r="C38" s="117"/>
      <c r="D38" s="109">
        <v>-455090</v>
      </c>
      <c r="E38" s="109">
        <f>(VLOOKUP(B38,Sheet1!$A$11:$B$33,2,FALSE))*-1</f>
        <v>-686724.05</v>
      </c>
      <c r="F38" s="109">
        <f t="shared" si="0"/>
        <v>-231634.05000000005</v>
      </c>
      <c r="G38" s="66">
        <f t="shared" si="1"/>
        <v>0.50898514579533727</v>
      </c>
      <c r="H38" s="21"/>
      <c r="I38" s="21"/>
      <c r="J38" s="27"/>
    </row>
    <row r="39" spans="1:10" x14ac:dyDescent="0.2">
      <c r="A39" s="124"/>
      <c r="B39" s="123" t="s">
        <v>556</v>
      </c>
      <c r="C39" s="123"/>
      <c r="D39" s="113">
        <f>D37+D38</f>
        <v>-55090</v>
      </c>
      <c r="E39" s="113">
        <f>E37+E38</f>
        <v>1413275.95</v>
      </c>
      <c r="F39" s="113">
        <f t="shared" si="0"/>
        <v>1468365.95</v>
      </c>
      <c r="G39" s="69">
        <f t="shared" si="1"/>
        <v>-26.653947177346161</v>
      </c>
      <c r="H39" s="21"/>
      <c r="I39" s="21"/>
      <c r="J39" s="27"/>
    </row>
    <row r="40" spans="1:10" x14ac:dyDescent="0.2">
      <c r="A40" s="121" t="s">
        <v>557</v>
      </c>
      <c r="B40" s="121"/>
      <c r="C40" s="121"/>
      <c r="D40" s="110">
        <f>D36+D39</f>
        <v>-889936.73</v>
      </c>
      <c r="E40" s="110">
        <f>E36+E39</f>
        <v>-335472.77330350573</v>
      </c>
      <c r="F40" s="110">
        <f t="shared" si="0"/>
        <v>554463.95669649425</v>
      </c>
      <c r="G40" s="67">
        <f t="shared" si="1"/>
        <v>-0.62303750143731484</v>
      </c>
      <c r="H40" s="23"/>
      <c r="I40" s="23"/>
      <c r="J40" s="22"/>
    </row>
    <row r="41" spans="1:10" x14ac:dyDescent="0.2">
      <c r="A41" s="55" t="s">
        <v>558</v>
      </c>
      <c r="B41" s="55"/>
      <c r="C41" s="55"/>
      <c r="D41" s="110">
        <v>0</v>
      </c>
      <c r="E41" s="110">
        <v>0</v>
      </c>
      <c r="F41" s="110">
        <f t="shared" si="0"/>
        <v>0</v>
      </c>
      <c r="G41" s="67"/>
    </row>
    <row r="42" spans="1:10" x14ac:dyDescent="0.2">
      <c r="A42" s="117"/>
      <c r="B42" s="122" t="s">
        <v>68</v>
      </c>
      <c r="C42" s="19" t="s">
        <v>559</v>
      </c>
      <c r="D42" s="109">
        <v>47453</v>
      </c>
      <c r="E42" s="109">
        <f>(VLOOKUP(C42,Sheet2!$A$4:$B$47,2,FALSE))+VLOOKUP(C42,Sheet3!$A$3:$C$143,2,FALSE)+VLOOKUP(C42,Sheet3!$A$3:$C$143,3,FALSE)</f>
        <v>49283.040000000001</v>
      </c>
      <c r="F42" s="109">
        <f t="shared" si="0"/>
        <v>1830.0400000000009</v>
      </c>
      <c r="G42" s="66">
        <f t="shared" si="1"/>
        <v>3.8565317261290137E-2</v>
      </c>
    </row>
    <row r="43" spans="1:10" x14ac:dyDescent="0.2">
      <c r="A43" s="117"/>
      <c r="B43" s="122"/>
      <c r="C43" s="19" t="s">
        <v>560</v>
      </c>
      <c r="D43" s="109">
        <v>556677</v>
      </c>
      <c r="E43" s="109">
        <f>(VLOOKUP(C43,Sheet2!$A$4:$B$47,2,FALSE))+VLOOKUP(C43,Sheet3!$A$3:$C$143,2,FALSE)+VLOOKUP(C43,Sheet3!$A$3:$C$143,3,FALSE)</f>
        <v>697623.68</v>
      </c>
      <c r="F43" s="109">
        <f t="shared" si="0"/>
        <v>140946.68000000005</v>
      </c>
      <c r="G43" s="66">
        <f t="shared" si="1"/>
        <v>0.25319292875401722</v>
      </c>
      <c r="H43" s="61"/>
    </row>
    <row r="44" spans="1:10" x14ac:dyDescent="0.2">
      <c r="A44" s="117"/>
      <c r="B44" s="122"/>
      <c r="C44" s="19" t="s">
        <v>1104</v>
      </c>
      <c r="D44" s="109">
        <v>105500</v>
      </c>
      <c r="E44" s="109">
        <f>(VLOOKUP(C44,Sheet2!$A$4:$B$47,2,FALSE))</f>
        <v>82769.017579000007</v>
      </c>
      <c r="F44" s="109">
        <f t="shared" si="0"/>
        <v>-22730.982420999993</v>
      </c>
      <c r="G44" s="66">
        <f t="shared" si="1"/>
        <v>-0.21545954901421793</v>
      </c>
    </row>
    <row r="45" spans="1:10" x14ac:dyDescent="0.2">
      <c r="A45" s="117"/>
      <c r="B45" s="122"/>
      <c r="C45" s="19" t="s">
        <v>562</v>
      </c>
      <c r="D45" s="109">
        <v>42767</v>
      </c>
      <c r="E45" s="109">
        <f>VLOOKUP(C45,Sheet3!$A$3:$C$143,2,FALSE)+VLOOKUP(C45,Sheet3!$A$3:$C$143,3,FALSE)</f>
        <v>341.19</v>
      </c>
      <c r="F45" s="109">
        <f t="shared" si="0"/>
        <v>-42425.81</v>
      </c>
      <c r="G45" s="66">
        <f t="shared" si="1"/>
        <v>-0.99202211985876954</v>
      </c>
    </row>
    <row r="46" spans="1:10" x14ac:dyDescent="0.2">
      <c r="A46" s="117"/>
      <c r="B46" s="122"/>
      <c r="C46" s="19" t="s">
        <v>563</v>
      </c>
      <c r="D46" s="109">
        <v>40966</v>
      </c>
      <c r="E46" s="109">
        <f>VLOOKUP(C46,Sheet2!$A$4:$B$47,2,FALSE)</f>
        <v>27717.13</v>
      </c>
      <c r="F46" s="109">
        <f t="shared" si="0"/>
        <v>-13248.869999999999</v>
      </c>
      <c r="G46" s="66">
        <f t="shared" si="1"/>
        <v>-0.3234113655226285</v>
      </c>
    </row>
    <row r="47" spans="1:10" x14ac:dyDescent="0.2">
      <c r="A47" s="117"/>
      <c r="B47" s="122"/>
      <c r="C47" s="19" t="s">
        <v>1105</v>
      </c>
      <c r="D47" s="109">
        <v>34668</v>
      </c>
      <c r="E47" s="109">
        <f>VLOOKUP(C47,Sheet2!$A$4:$B$47,2,FALSE)</f>
        <v>28548</v>
      </c>
      <c r="F47" s="109">
        <f t="shared" si="0"/>
        <v>-6120</v>
      </c>
      <c r="G47" s="66">
        <f t="shared" si="1"/>
        <v>-0.17653167185877466</v>
      </c>
      <c r="H47" s="61"/>
    </row>
    <row r="48" spans="1:10" x14ac:dyDescent="0.2">
      <c r="A48" s="117"/>
      <c r="B48" s="122"/>
      <c r="C48" s="25" t="s">
        <v>564</v>
      </c>
      <c r="D48" s="113">
        <f>SUM(D42:D47)</f>
        <v>828031</v>
      </c>
      <c r="E48" s="113">
        <f>SUM(E42:E47)</f>
        <v>886282.05757900001</v>
      </c>
      <c r="F48" s="113">
        <f t="shared" si="0"/>
        <v>58251.057579000015</v>
      </c>
      <c r="G48" s="69">
        <f t="shared" si="1"/>
        <v>7.0348884980151724E-2</v>
      </c>
    </row>
    <row r="49" spans="1:10" x14ac:dyDescent="0.2">
      <c r="A49" s="117"/>
      <c r="B49" s="134" t="s">
        <v>70</v>
      </c>
      <c r="C49" s="57" t="s">
        <v>1106</v>
      </c>
      <c r="D49" s="111">
        <v>1000</v>
      </c>
      <c r="E49" s="111">
        <f>VLOOKUP(C49,Sheet2!$A$4:$B$47,2,FALSE)</f>
        <v>1000</v>
      </c>
      <c r="F49" s="111">
        <f t="shared" si="0"/>
        <v>0</v>
      </c>
      <c r="G49" s="71">
        <f t="shared" si="1"/>
        <v>0</v>
      </c>
      <c r="H49" s="61"/>
    </row>
    <row r="50" spans="1:10" x14ac:dyDescent="0.2">
      <c r="A50" s="117"/>
      <c r="B50" s="135"/>
      <c r="C50" s="56" t="s">
        <v>2029</v>
      </c>
      <c r="D50" s="113">
        <f>D49</f>
        <v>1000</v>
      </c>
      <c r="E50" s="113">
        <f>E49</f>
        <v>1000</v>
      </c>
      <c r="F50" s="113">
        <f t="shared" si="0"/>
        <v>0</v>
      </c>
      <c r="G50" s="69">
        <f t="shared" si="1"/>
        <v>0</v>
      </c>
    </row>
    <row r="51" spans="1:10" x14ac:dyDescent="0.2">
      <c r="A51" s="117"/>
      <c r="B51" s="122" t="s">
        <v>69</v>
      </c>
      <c r="C51" s="19" t="s">
        <v>565</v>
      </c>
      <c r="D51" s="109">
        <v>17887</v>
      </c>
      <c r="E51" s="109">
        <f>(VLOOKUP(C51,Sheet2!$A$4:$B$47,2,FALSE))+VLOOKUP(C51,Sheet3!$A$3:$C$143,2,FALSE)+VLOOKUP(C51,Sheet3!$A$3:$C$143,3,FALSE)</f>
        <v>19133.917831999999</v>
      </c>
      <c r="F51" s="109">
        <f t="shared" si="0"/>
        <v>1246.9178319999992</v>
      </c>
      <c r="G51" s="66">
        <f t="shared" si="1"/>
        <v>6.9710842064068829E-2</v>
      </c>
      <c r="H51" s="61"/>
    </row>
    <row r="52" spans="1:10" x14ac:dyDescent="0.2">
      <c r="A52" s="117"/>
      <c r="B52" s="122"/>
      <c r="C52" s="25" t="s">
        <v>566</v>
      </c>
      <c r="D52" s="113">
        <f>SUM(D51:D51)</f>
        <v>17887</v>
      </c>
      <c r="E52" s="113">
        <f>SUM(E51:E51)</f>
        <v>19133.917831999999</v>
      </c>
      <c r="F52" s="113">
        <f t="shared" si="0"/>
        <v>1246.9178319999992</v>
      </c>
      <c r="G52" s="69">
        <f t="shared" si="1"/>
        <v>6.9710842064068829E-2</v>
      </c>
      <c r="H52" s="21"/>
    </row>
    <row r="53" spans="1:10" x14ac:dyDescent="0.2">
      <c r="A53" s="117"/>
      <c r="B53" s="125" t="s">
        <v>71</v>
      </c>
      <c r="C53" s="19" t="s">
        <v>853</v>
      </c>
      <c r="D53" s="109">
        <v>500000</v>
      </c>
      <c r="E53" s="109">
        <f>(VLOOKUP(C53,Sheet2!$A$4:$B$47,2,FALSE))</f>
        <v>496305</v>
      </c>
      <c r="F53" s="109">
        <f t="shared" si="0"/>
        <v>-3695</v>
      </c>
      <c r="G53" s="66">
        <f t="shared" si="1"/>
        <v>-7.3899999999999999E-3</v>
      </c>
    </row>
    <row r="54" spans="1:10" x14ac:dyDescent="0.2">
      <c r="A54" s="117"/>
      <c r="B54" s="126"/>
      <c r="C54" s="19" t="s">
        <v>567</v>
      </c>
      <c r="D54" s="109">
        <v>63536</v>
      </c>
      <c r="E54" s="109">
        <f>(VLOOKUP(C54,Sheet2!$A$4:$B$47,2,FALSE))+VLOOKUP(C54,Sheet3!$A$3:$C$143,2,FALSE)+VLOOKUP(C54,Sheet3!$A$3:$C$143,3,FALSE)</f>
        <v>66846</v>
      </c>
      <c r="F54" s="109">
        <f t="shared" si="0"/>
        <v>3310</v>
      </c>
      <c r="G54" s="66">
        <f t="shared" si="1"/>
        <v>5.2096449257114076E-2</v>
      </c>
    </row>
    <row r="55" spans="1:10" x14ac:dyDescent="0.2">
      <c r="A55" s="117"/>
      <c r="B55" s="126"/>
      <c r="C55" s="19" t="s">
        <v>1108</v>
      </c>
      <c r="D55" s="109">
        <v>175870</v>
      </c>
      <c r="E55" s="109">
        <f>(VLOOKUP(C55,Sheet2!$A$4:$B$47,2,FALSE))+VLOOKUP(C55,Sheet3!$A$3:$C$143,2,FALSE)+VLOOKUP(C55,Sheet3!$A$3:$C$143,3,FALSE)</f>
        <v>196224.72</v>
      </c>
      <c r="F55" s="109">
        <f t="shared" si="0"/>
        <v>20354.72</v>
      </c>
      <c r="G55" s="66">
        <f t="shared" si="1"/>
        <v>0.11573730596463297</v>
      </c>
      <c r="H55" s="61"/>
    </row>
    <row r="56" spans="1:10" x14ac:dyDescent="0.2">
      <c r="A56" s="117"/>
      <c r="B56" s="127"/>
      <c r="C56" s="25" t="s">
        <v>568</v>
      </c>
      <c r="D56" s="113">
        <f>SUM(D53:D55)</f>
        <v>739406</v>
      </c>
      <c r="E56" s="113">
        <f>SUM(E53:E55)</f>
        <v>759375.72</v>
      </c>
      <c r="F56" s="113">
        <f t="shared" si="0"/>
        <v>19969.719999999972</v>
      </c>
      <c r="G56" s="69">
        <f t="shared" si="1"/>
        <v>2.700778733199348E-2</v>
      </c>
    </row>
    <row r="57" spans="1:10" x14ac:dyDescent="0.2">
      <c r="A57" s="117"/>
      <c r="B57" s="125" t="s">
        <v>72</v>
      </c>
      <c r="C57" s="19" t="s">
        <v>569</v>
      </c>
      <c r="D57" s="109">
        <v>1500</v>
      </c>
      <c r="E57" s="109">
        <f>VLOOKUP(C57,Sheet2!$A$4:$B$47,2,FALSE)</f>
        <v>2446.4</v>
      </c>
      <c r="F57" s="109">
        <f t="shared" si="0"/>
        <v>946.40000000000009</v>
      </c>
      <c r="G57" s="66">
        <f t="shared" si="1"/>
        <v>0.63093333333333335</v>
      </c>
    </row>
    <row r="58" spans="1:10" x14ac:dyDescent="0.2">
      <c r="A58" s="117"/>
      <c r="B58" s="126"/>
      <c r="C58" s="19" t="s">
        <v>1109</v>
      </c>
      <c r="D58" s="109">
        <v>11500</v>
      </c>
      <c r="E58" s="109">
        <f>VLOOKUP(C58,Sheet2!$A$4:$B$47,2,FALSE)</f>
        <v>10553.6</v>
      </c>
      <c r="F58" s="109">
        <f t="shared" si="0"/>
        <v>-946.39999999999964</v>
      </c>
      <c r="G58" s="66">
        <f t="shared" si="1"/>
        <v>-8.2295652173913006E-2</v>
      </c>
    </row>
    <row r="59" spans="1:10" x14ac:dyDescent="0.2">
      <c r="A59" s="117"/>
      <c r="B59" s="127"/>
      <c r="C59" s="25" t="s">
        <v>570</v>
      </c>
      <c r="D59" s="113">
        <f>D57+D58</f>
        <v>13000</v>
      </c>
      <c r="E59" s="113">
        <f>E57+E58</f>
        <v>13000</v>
      </c>
      <c r="F59" s="113">
        <f t="shared" si="0"/>
        <v>0</v>
      </c>
      <c r="G59" s="69">
        <f t="shared" si="1"/>
        <v>0</v>
      </c>
    </row>
    <row r="60" spans="1:10" x14ac:dyDescent="0.2">
      <c r="A60" s="117"/>
      <c r="B60" s="122" t="s">
        <v>73</v>
      </c>
      <c r="C60" s="19" t="s">
        <v>571</v>
      </c>
      <c r="D60" s="109">
        <v>68000</v>
      </c>
      <c r="E60" s="111">
        <f>VLOOKUP(C60,Sheet2!$A$4:$B$47,2,FALSE)</f>
        <v>268000</v>
      </c>
      <c r="F60" s="109">
        <f t="shared" si="0"/>
        <v>200000</v>
      </c>
      <c r="G60" s="66">
        <f t="shared" si="1"/>
        <v>2.9411764705882355</v>
      </c>
    </row>
    <row r="61" spans="1:10" x14ac:dyDescent="0.2">
      <c r="A61" s="117"/>
      <c r="B61" s="122"/>
      <c r="C61" s="19" t="s">
        <v>572</v>
      </c>
      <c r="D61" s="109">
        <v>113000</v>
      </c>
      <c r="E61" s="109">
        <f>VLOOKUP(C61,Sheet2!$A$4:$B$47,2,FALSE)</f>
        <v>283000</v>
      </c>
      <c r="F61" s="109">
        <f t="shared" si="0"/>
        <v>170000</v>
      </c>
      <c r="G61" s="66">
        <f t="shared" si="1"/>
        <v>1.5044247787610618</v>
      </c>
    </row>
    <row r="62" spans="1:10" x14ac:dyDescent="0.2">
      <c r="A62" s="117"/>
      <c r="B62" s="122"/>
      <c r="C62" s="19" t="s">
        <v>573</v>
      </c>
      <c r="D62" s="109">
        <v>880301</v>
      </c>
      <c r="E62" s="109">
        <f>(VLOOKUP(C62,Sheet2!$A$4:$B$47,2,FALSE))+VLOOKUP(C62,Sheet3!$A$3:$C$143,2,FALSE)+VLOOKUP(C62,Sheet3!$A$3:$C$143,3,FALSE)</f>
        <v>724997.24839999992</v>
      </c>
      <c r="F62" s="109">
        <f t="shared" si="0"/>
        <v>-155303.75160000008</v>
      </c>
      <c r="G62" s="66">
        <f t="shared" si="1"/>
        <v>-0.17642119184233584</v>
      </c>
      <c r="H62" s="61"/>
    </row>
    <row r="63" spans="1:10" x14ac:dyDescent="0.2">
      <c r="A63" s="117"/>
      <c r="B63" s="122"/>
      <c r="C63" s="25" t="s">
        <v>574</v>
      </c>
      <c r="D63" s="113">
        <f>SUM(D60:D62)</f>
        <v>1061301</v>
      </c>
      <c r="E63" s="113">
        <f>SUM(E60:E62)</f>
        <v>1275997.2483999999</v>
      </c>
      <c r="F63" s="113">
        <f t="shared" si="0"/>
        <v>214696.24839999992</v>
      </c>
      <c r="G63" s="69">
        <f t="shared" si="1"/>
        <v>0.20229534166084825</v>
      </c>
    </row>
    <row r="64" spans="1:10" x14ac:dyDescent="0.2">
      <c r="A64" s="117"/>
      <c r="B64" s="128" t="s">
        <v>90</v>
      </c>
      <c r="C64" s="19" t="s">
        <v>2039</v>
      </c>
      <c r="D64" s="109">
        <v>38727</v>
      </c>
      <c r="E64" s="109">
        <f>VLOOKUP(C64,Sheet2!$A$4:$B$47,2,FALSE)</f>
        <v>42977</v>
      </c>
      <c r="F64" s="109">
        <f t="shared" si="0"/>
        <v>4250</v>
      </c>
      <c r="G64" s="66">
        <f t="shared" si="1"/>
        <v>0.10974255687246624</v>
      </c>
      <c r="J64" s="22"/>
    </row>
    <row r="65" spans="1:10" x14ac:dyDescent="0.2">
      <c r="A65" s="117"/>
      <c r="B65" s="129"/>
      <c r="C65" s="25" t="s">
        <v>575</v>
      </c>
      <c r="D65" s="113">
        <f>D64</f>
        <v>38727</v>
      </c>
      <c r="E65" s="113">
        <f>E64</f>
        <v>42977</v>
      </c>
      <c r="F65" s="113">
        <f t="shared" si="0"/>
        <v>4250</v>
      </c>
      <c r="G65" s="69">
        <f t="shared" si="1"/>
        <v>0.10974255687246624</v>
      </c>
      <c r="H65" s="21"/>
      <c r="I65" s="21"/>
      <c r="J65" s="27"/>
    </row>
    <row r="66" spans="1:10" x14ac:dyDescent="0.2">
      <c r="A66" s="117"/>
      <c r="B66" s="130" t="s">
        <v>576</v>
      </c>
      <c r="C66" s="19" t="s">
        <v>769</v>
      </c>
      <c r="D66" s="109">
        <v>935099</v>
      </c>
      <c r="E66" s="109">
        <f>(VLOOKUP(C66,Sheet2!$A$4:$B$47,2,FALSE))+VLOOKUP(C66,Sheet3!$A$3:$C$143,2,FALSE)+VLOOKUP(C66,Sheet3!$A$3:$C$143,3,FALSE)</f>
        <v>284074.45399999997</v>
      </c>
      <c r="F66" s="109">
        <f t="shared" si="0"/>
        <v>-651024.54600000009</v>
      </c>
      <c r="G66" s="66">
        <f t="shared" si="1"/>
        <v>-0.69620922062797641</v>
      </c>
      <c r="H66" s="21"/>
      <c r="I66" s="21"/>
      <c r="J66" s="27"/>
    </row>
    <row r="67" spans="1:10" x14ac:dyDescent="0.2">
      <c r="A67" s="117"/>
      <c r="B67" s="131"/>
      <c r="C67" s="19" t="s">
        <v>577</v>
      </c>
      <c r="D67" s="109">
        <v>124386</v>
      </c>
      <c r="E67" s="109">
        <f>(VLOOKUP(C67,Sheet2!$A$4:$B$47,2,FALSE))+VLOOKUP(C67,Sheet3!$A$3:$C$143,2,FALSE)+VLOOKUP(C67,Sheet3!$A$3:$C$143,3,FALSE)</f>
        <v>139804.35542000001</v>
      </c>
      <c r="F67" s="109">
        <f t="shared" si="0"/>
        <v>15418.355420000007</v>
      </c>
      <c r="G67" s="66">
        <f t="shared" si="1"/>
        <v>0.12395571382631491</v>
      </c>
      <c r="H67" s="21"/>
      <c r="I67" s="21"/>
      <c r="J67" s="27"/>
    </row>
    <row r="68" spans="1:10" x14ac:dyDescent="0.2">
      <c r="A68" s="117"/>
      <c r="B68" s="131"/>
      <c r="C68" s="19" t="s">
        <v>789</v>
      </c>
      <c r="D68" s="109">
        <v>482561</v>
      </c>
      <c r="E68" s="109">
        <f>VLOOKUP(C68,Sheet2!$A$4:$B$47,2,FALSE)</f>
        <v>335110</v>
      </c>
      <c r="F68" s="109">
        <f t="shared" si="0"/>
        <v>-147451</v>
      </c>
      <c r="G68" s="66">
        <f t="shared" si="1"/>
        <v>-0.30555929716657582</v>
      </c>
      <c r="H68" s="62"/>
      <c r="I68" s="21"/>
      <c r="J68" s="27"/>
    </row>
    <row r="69" spans="1:10" x14ac:dyDescent="0.2">
      <c r="A69" s="117"/>
      <c r="B69" s="131"/>
      <c r="C69" s="19" t="s">
        <v>460</v>
      </c>
      <c r="D69" s="109">
        <v>202916</v>
      </c>
      <c r="E69" s="109">
        <f>(VLOOKUP(C69,Sheet2!$A$4:$B$47,2,FALSE))+VLOOKUP(C69,Sheet3!$A$3:$C$143,2,FALSE)+VLOOKUP(C69,Sheet3!$A$3:$C$143,3,FALSE)</f>
        <v>331979.39</v>
      </c>
      <c r="F69" s="109">
        <f t="shared" si="0"/>
        <v>129063.39000000001</v>
      </c>
      <c r="G69" s="66">
        <f t="shared" si="1"/>
        <v>0.63604343669301588</v>
      </c>
      <c r="H69" s="21"/>
      <c r="I69" s="21"/>
      <c r="J69" s="27"/>
    </row>
    <row r="70" spans="1:10" x14ac:dyDescent="0.2">
      <c r="A70" s="117"/>
      <c r="B70" s="131"/>
      <c r="C70" s="19" t="s">
        <v>578</v>
      </c>
      <c r="D70" s="109">
        <v>491026</v>
      </c>
      <c r="E70" s="109">
        <f>(VLOOKUP(C70,Sheet2!$A$4:$B$47,2,FALSE))+VLOOKUP(C70,Sheet3!$A$3:$C$143,2,FALSE)+VLOOKUP(C70,Sheet3!$A$3:$C$143,3,FALSE)</f>
        <v>465199.93718000001</v>
      </c>
      <c r="F70" s="109">
        <f t="shared" si="0"/>
        <v>-25826.062819999992</v>
      </c>
      <c r="G70" s="66">
        <f t="shared" si="1"/>
        <v>-5.2596120816412961E-2</v>
      </c>
      <c r="H70" s="62"/>
      <c r="I70" s="21"/>
      <c r="J70" s="27"/>
    </row>
    <row r="71" spans="1:10" x14ac:dyDescent="0.2">
      <c r="A71" s="117"/>
      <c r="B71" s="131"/>
      <c r="C71" s="59" t="s">
        <v>2077</v>
      </c>
      <c r="D71" s="109">
        <v>0</v>
      </c>
      <c r="E71" s="109">
        <f>(VLOOKUP(C71,Sheet2!$A$4:$B$47,2,FALSE))+VLOOKUP(C71,Sheet3!$A$3:$C$143,2,FALSE)+VLOOKUP(C71,Sheet3!$A$3:$C$143,3,FALSE)</f>
        <v>53207.196255999996</v>
      </c>
      <c r="F71" s="109">
        <f t="shared" si="0"/>
        <v>53207.196255999996</v>
      </c>
      <c r="G71" s="66">
        <v>1</v>
      </c>
      <c r="H71" s="62"/>
      <c r="I71" s="21"/>
      <c r="J71" s="27"/>
    </row>
    <row r="72" spans="1:10" x14ac:dyDescent="0.2">
      <c r="A72" s="117"/>
      <c r="B72" s="131"/>
      <c r="C72" s="19" t="s">
        <v>579</v>
      </c>
      <c r="D72" s="109">
        <v>18000</v>
      </c>
      <c r="E72" s="109">
        <f>VLOOKUP(C72,Sheet2!$A$4:$B$47,2,FALSE)</f>
        <v>14000</v>
      </c>
      <c r="F72" s="109">
        <f t="shared" si="0"/>
        <v>-4000</v>
      </c>
      <c r="G72" s="66">
        <f t="shared" si="1"/>
        <v>-0.22222222222222221</v>
      </c>
      <c r="H72" s="21"/>
      <c r="I72" s="21"/>
      <c r="J72" s="27"/>
    </row>
    <row r="73" spans="1:10" x14ac:dyDescent="0.2">
      <c r="A73" s="117"/>
      <c r="B73" s="131"/>
      <c r="C73" s="19" t="s">
        <v>643</v>
      </c>
      <c r="D73" s="109">
        <v>34666</v>
      </c>
      <c r="E73" s="109">
        <f>(VLOOKUP(C73,Sheet2!$A$4:$B$47,2,FALSE))+VLOOKUP(C73,Sheet3!$A$3:$C$143,2,FALSE)+VLOOKUP(C73,Sheet3!$A$3:$C$143,3,FALSE)</f>
        <v>47317.36</v>
      </c>
      <c r="F73" s="109">
        <f t="shared" ref="F73:F100" si="2">E73-D73</f>
        <v>12651.36</v>
      </c>
      <c r="G73" s="66">
        <f t="shared" ref="G73:G96" si="3">(E73-D73)/D73</f>
        <v>0.36495009519413835</v>
      </c>
      <c r="H73" s="62"/>
      <c r="I73" s="62"/>
      <c r="J73" s="27"/>
    </row>
    <row r="74" spans="1:10" x14ac:dyDescent="0.2">
      <c r="A74" s="117"/>
      <c r="B74" s="132"/>
      <c r="C74" s="25" t="s">
        <v>580</v>
      </c>
      <c r="D74" s="113">
        <f>SUM(D66:D73)</f>
        <v>2288654</v>
      </c>
      <c r="E74" s="113">
        <f>SUM(E66:E73)</f>
        <v>1670692.692856</v>
      </c>
      <c r="F74" s="113">
        <f t="shared" si="2"/>
        <v>-617961.30714399996</v>
      </c>
      <c r="G74" s="69">
        <f t="shared" si="3"/>
        <v>-0.27001080422990981</v>
      </c>
      <c r="H74" s="21"/>
      <c r="I74" s="21"/>
      <c r="J74" s="27"/>
    </row>
    <row r="75" spans="1:10" x14ac:dyDescent="0.2">
      <c r="A75" s="117"/>
      <c r="B75" s="128" t="s">
        <v>74</v>
      </c>
      <c r="C75" s="19" t="s">
        <v>581</v>
      </c>
      <c r="D75" s="109">
        <v>1471635</v>
      </c>
      <c r="E75" s="109">
        <f>(VLOOKUP(C75,Sheet2!$A$4:$B$47,2,FALSE))+VLOOKUP(C75,Sheet3!$A$3:$C$143,2,FALSE)+VLOOKUP(C75,Sheet3!$A$3:$C$143,3,FALSE)</f>
        <v>1624045.2095026718</v>
      </c>
      <c r="F75" s="109">
        <f t="shared" si="2"/>
        <v>152410.20950267185</v>
      </c>
      <c r="G75" s="66">
        <f t="shared" si="3"/>
        <v>0.10356522473485059</v>
      </c>
      <c r="I75" s="21"/>
      <c r="J75" s="27"/>
    </row>
    <row r="76" spans="1:10" x14ac:dyDescent="0.2">
      <c r="A76" s="117"/>
      <c r="B76" s="133"/>
      <c r="C76" s="19" t="s">
        <v>582</v>
      </c>
      <c r="D76" s="109">
        <v>3411170</v>
      </c>
      <c r="E76" s="111">
        <f>(VLOOKUP(C76,Sheet2!$A$4:$B$47,2,FALSE))+VLOOKUP(C76,Sheet3!$A$3:$C$143,2,FALSE)+VLOOKUP(C76,Sheet3!$A$3:$C$143,3,FALSE)</f>
        <v>3817559.2711302321</v>
      </c>
      <c r="F76" s="109">
        <f t="shared" si="2"/>
        <v>406389.27113023214</v>
      </c>
      <c r="G76" s="66">
        <f t="shared" si="3"/>
        <v>0.11913486314966189</v>
      </c>
      <c r="H76" s="61"/>
    </row>
    <row r="77" spans="1:10" x14ac:dyDescent="0.2">
      <c r="A77" s="117"/>
      <c r="B77" s="133"/>
      <c r="C77" s="19" t="s">
        <v>583</v>
      </c>
      <c r="D77" s="109">
        <v>212638</v>
      </c>
      <c r="E77" s="111">
        <f>(VLOOKUP(C77,Sheet2!$A$4:$B$47,2,FALSE))+VLOOKUP(C77,Sheet3!$A$3:$C$143,2,FALSE)+VLOOKUP(C77,Sheet3!$A$3:$C$143,3,FALSE)</f>
        <v>174504.40031799997</v>
      </c>
      <c r="F77" s="109">
        <f t="shared" si="2"/>
        <v>-38133.599682000029</v>
      </c>
      <c r="G77" s="66">
        <f t="shared" si="3"/>
        <v>-0.17933577103810244</v>
      </c>
      <c r="H77" s="61"/>
    </row>
    <row r="78" spans="1:10" x14ac:dyDescent="0.2">
      <c r="A78" s="117"/>
      <c r="B78" s="133"/>
      <c r="C78" s="19" t="s">
        <v>584</v>
      </c>
      <c r="D78" s="109">
        <v>208972</v>
      </c>
      <c r="E78" s="109">
        <f>(VLOOKUP(C78,Sheet2!$A$4:$B$47,2,FALSE))+VLOOKUP(C78,Sheet3!$A$3:$C$143,2,FALSE)+VLOOKUP(C78,Sheet3!$A$3:$C$143,3,FALSE)</f>
        <v>226973.43660000002</v>
      </c>
      <c r="F78" s="109">
        <f t="shared" si="2"/>
        <v>18001.436600000015</v>
      </c>
      <c r="G78" s="66">
        <f t="shared" si="3"/>
        <v>8.6142816262465866E-2</v>
      </c>
    </row>
    <row r="79" spans="1:10" x14ac:dyDescent="0.2">
      <c r="A79" s="117"/>
      <c r="B79" s="133"/>
      <c r="C79" s="19" t="s">
        <v>585</v>
      </c>
      <c r="D79" s="109">
        <v>209172</v>
      </c>
      <c r="E79" s="109">
        <f>(VLOOKUP(C79,Sheet2!$A$4:$B$47,2,FALSE))+VLOOKUP(C79,Sheet3!$A$3:$C$143,2,FALSE)+VLOOKUP(C79,Sheet3!$A$3:$C$143,3,FALSE)</f>
        <v>210128</v>
      </c>
      <c r="F79" s="109">
        <f t="shared" si="2"/>
        <v>956</v>
      </c>
      <c r="G79" s="66">
        <f t="shared" si="3"/>
        <v>4.5704013921557375E-3</v>
      </c>
    </row>
    <row r="80" spans="1:10" x14ac:dyDescent="0.2">
      <c r="A80" s="117"/>
      <c r="B80" s="133"/>
      <c r="C80" s="19" t="s">
        <v>586</v>
      </c>
      <c r="D80" s="109">
        <v>43183</v>
      </c>
      <c r="E80" s="109">
        <f>(VLOOKUP(C80,Sheet2!$A$4:$B$47,2,FALSE))+VLOOKUP(C80,Sheet3!$A$3:$C$143,2,FALSE)+VLOOKUP(C80,Sheet3!$A$3:$C$143,3,FALSE)</f>
        <v>41910.400000000001</v>
      </c>
      <c r="F80" s="109">
        <f t="shared" si="2"/>
        <v>-1272.5999999999985</v>
      </c>
      <c r="G80" s="66">
        <f t="shared" si="3"/>
        <v>-2.9469930296644478E-2</v>
      </c>
    </row>
    <row r="81" spans="1:8" x14ac:dyDescent="0.2">
      <c r="A81" s="117"/>
      <c r="B81" s="133"/>
      <c r="C81" s="19" t="s">
        <v>1543</v>
      </c>
      <c r="D81" s="109">
        <v>243818</v>
      </c>
      <c r="E81" s="111">
        <f>(VLOOKUP(C81,Sheet2!$A$4:$B$47,2,FALSE))+VLOOKUP(C81,Sheet3!$A$3:$C$143,2,FALSE)+VLOOKUP(C81,Sheet3!$A$3:$C$143,3,FALSE)</f>
        <v>225695.76128000001</v>
      </c>
      <c r="F81" s="109">
        <f t="shared" si="2"/>
        <v>-18122.238719999994</v>
      </c>
      <c r="G81" s="66">
        <f t="shared" si="3"/>
        <v>-7.4326910728494178E-2</v>
      </c>
      <c r="H81" s="61"/>
    </row>
    <row r="82" spans="1:8" x14ac:dyDescent="0.2">
      <c r="A82" s="117"/>
      <c r="B82" s="129"/>
      <c r="C82" s="25" t="s">
        <v>587</v>
      </c>
      <c r="D82" s="113">
        <f>SUM(D75:D81)</f>
        <v>5800588</v>
      </c>
      <c r="E82" s="113">
        <f>SUM(E75:E81)</f>
        <v>6320816.4788309038</v>
      </c>
      <c r="F82" s="113">
        <f t="shared" si="2"/>
        <v>520228.47883090377</v>
      </c>
      <c r="G82" s="69">
        <f t="shared" si="3"/>
        <v>8.9685473064265858E-2</v>
      </c>
    </row>
    <row r="83" spans="1:8" x14ac:dyDescent="0.2">
      <c r="A83" s="117"/>
      <c r="B83" s="128" t="s">
        <v>75</v>
      </c>
      <c r="C83" s="60" t="s">
        <v>2037</v>
      </c>
      <c r="D83" s="111">
        <v>0</v>
      </c>
      <c r="E83" s="109">
        <f>VLOOKUP(C83,Sheet2!$A$4:$B$47,2,FALSE)</f>
        <v>8250</v>
      </c>
      <c r="F83" s="109">
        <f t="shared" si="2"/>
        <v>8250</v>
      </c>
      <c r="G83" s="66">
        <v>1</v>
      </c>
    </row>
    <row r="84" spans="1:8" x14ac:dyDescent="0.2">
      <c r="A84" s="117"/>
      <c r="B84" s="133"/>
      <c r="C84" s="60" t="s">
        <v>733</v>
      </c>
      <c r="D84" s="111">
        <v>0</v>
      </c>
      <c r="E84" s="109">
        <f>VLOOKUP(C84,Sheet2!$A$4:$B$47,2,FALSE)</f>
        <v>24900</v>
      </c>
      <c r="F84" s="109">
        <f t="shared" si="2"/>
        <v>24900</v>
      </c>
      <c r="G84" s="66">
        <v>1</v>
      </c>
    </row>
    <row r="85" spans="1:8" x14ac:dyDescent="0.2">
      <c r="A85" s="117"/>
      <c r="B85" s="133"/>
      <c r="C85" s="19" t="s">
        <v>588</v>
      </c>
      <c r="D85" s="109">
        <v>247345</v>
      </c>
      <c r="E85" s="109">
        <f>VLOOKUP(C85,Sheet2!$A$4:$B$47,2,FALSE)</f>
        <v>264723</v>
      </c>
      <c r="F85" s="109">
        <f t="shared" si="2"/>
        <v>17378</v>
      </c>
      <c r="G85" s="66">
        <f t="shared" si="3"/>
        <v>7.0258141462329948E-2</v>
      </c>
      <c r="H85" s="61"/>
    </row>
    <row r="86" spans="1:8" x14ac:dyDescent="0.2">
      <c r="A86" s="117"/>
      <c r="B86" s="133"/>
      <c r="C86" s="19" t="s">
        <v>589</v>
      </c>
      <c r="D86" s="109">
        <v>539978</v>
      </c>
      <c r="E86" s="111">
        <f>(VLOOKUP(C86,Sheet2!$A$4:$B$47,2,FALSE))+VLOOKUP(C86,Sheet3!$A$3:$C$143,2,FALSE)+VLOOKUP(C86,Sheet3!$A$3:$C$143,3,FALSE)</f>
        <v>700532.00560560008</v>
      </c>
      <c r="F86" s="109">
        <f t="shared" si="2"/>
        <v>160554.00560560008</v>
      </c>
      <c r="G86" s="66">
        <f t="shared" si="3"/>
        <v>0.29733434622447596</v>
      </c>
      <c r="H86" s="61"/>
    </row>
    <row r="87" spans="1:8" x14ac:dyDescent="0.2">
      <c r="A87" s="117"/>
      <c r="B87" s="133"/>
      <c r="C87" s="19" t="s">
        <v>590</v>
      </c>
      <c r="D87" s="109">
        <v>101304</v>
      </c>
      <c r="E87" s="109">
        <f>(VLOOKUP(C87,Sheet2!$A$4:$B$47,2,FALSE))+VLOOKUP(C87,Sheet3!$A$3:$C$143,2,FALSE)+VLOOKUP(C87,Sheet3!$A$3:$C$143,3,FALSE)</f>
        <v>82974.597999999998</v>
      </c>
      <c r="F87" s="109">
        <f t="shared" si="2"/>
        <v>-18329.402000000002</v>
      </c>
      <c r="G87" s="66">
        <f t="shared" si="3"/>
        <v>-0.18093463239358765</v>
      </c>
      <c r="H87" s="61"/>
    </row>
    <row r="88" spans="1:8" x14ac:dyDescent="0.2">
      <c r="A88" s="117"/>
      <c r="B88" s="133"/>
      <c r="C88" s="19" t="s">
        <v>591</v>
      </c>
      <c r="D88" s="109">
        <v>698999</v>
      </c>
      <c r="E88" s="109">
        <f>(VLOOKUP(C88,Sheet2!$A$4:$B$47,2,FALSE))+VLOOKUP(C88,Sheet3!$A$3:$C$143,2,FALSE)+VLOOKUP(C88,Sheet3!$A$3:$C$143,3,FALSE)</f>
        <v>748207.4</v>
      </c>
      <c r="F88" s="109">
        <f t="shared" si="2"/>
        <v>49208.400000000023</v>
      </c>
      <c r="G88" s="66">
        <f t="shared" si="3"/>
        <v>7.0398383974798279E-2</v>
      </c>
      <c r="H88" s="61"/>
    </row>
    <row r="89" spans="1:8" x14ac:dyDescent="0.2">
      <c r="A89" s="117"/>
      <c r="B89" s="133"/>
      <c r="C89" s="19" t="s">
        <v>592</v>
      </c>
      <c r="D89" s="109">
        <v>104416</v>
      </c>
      <c r="E89" s="109">
        <f>VLOOKUP(C89,Sheet2!$A$4:$B$47,2,FALSE)</f>
        <v>178684</v>
      </c>
      <c r="F89" s="109">
        <f t="shared" si="2"/>
        <v>74268</v>
      </c>
      <c r="G89" s="66">
        <f t="shared" si="3"/>
        <v>0.71127030340177755</v>
      </c>
      <c r="H89" s="61"/>
    </row>
    <row r="90" spans="1:8" x14ac:dyDescent="0.2">
      <c r="A90" s="117"/>
      <c r="B90" s="133"/>
      <c r="C90" s="19" t="s">
        <v>593</v>
      </c>
      <c r="D90" s="109">
        <v>1000</v>
      </c>
      <c r="E90" s="109">
        <f>VLOOKUP(C90,Sheet2!$A$4:$B$47,2,FALSE)</f>
        <v>5400</v>
      </c>
      <c r="F90" s="109">
        <f t="shared" si="2"/>
        <v>4400</v>
      </c>
      <c r="G90" s="66">
        <f t="shared" si="3"/>
        <v>4.4000000000000004</v>
      </c>
    </row>
    <row r="91" spans="1:8" x14ac:dyDescent="0.2">
      <c r="A91" s="117"/>
      <c r="B91" s="133"/>
      <c r="C91" s="19" t="s">
        <v>594</v>
      </c>
      <c r="D91" s="109">
        <v>39000</v>
      </c>
      <c r="E91" s="109">
        <f>VLOOKUP(C91,Sheet2!$A$4:$B$47,2,FALSE)</f>
        <v>46000</v>
      </c>
      <c r="F91" s="109">
        <f t="shared" si="2"/>
        <v>7000</v>
      </c>
      <c r="G91" s="66">
        <f t="shared" si="3"/>
        <v>0.17948717948717949</v>
      </c>
    </row>
    <row r="92" spans="1:8" x14ac:dyDescent="0.2">
      <c r="A92" s="117"/>
      <c r="B92" s="133"/>
      <c r="C92" s="19" t="s">
        <v>595</v>
      </c>
      <c r="D92" s="109">
        <v>80465</v>
      </c>
      <c r="E92" s="109">
        <f>VLOOKUP(C92,Sheet2!$A$4:$B$47,2,FALSE)</f>
        <v>67609</v>
      </c>
      <c r="F92" s="109">
        <f t="shared" si="2"/>
        <v>-12856</v>
      </c>
      <c r="G92" s="66">
        <f t="shared" si="3"/>
        <v>-0.15977132914931957</v>
      </c>
    </row>
    <row r="93" spans="1:8" x14ac:dyDescent="0.2">
      <c r="A93" s="117"/>
      <c r="B93" s="133"/>
      <c r="C93" s="19" t="s">
        <v>596</v>
      </c>
      <c r="D93" s="109">
        <v>38400</v>
      </c>
      <c r="E93" s="109">
        <f>VLOOKUP(C93,Sheet2!$A$4:$B$47,2,FALSE)</f>
        <v>38240</v>
      </c>
      <c r="F93" s="109">
        <f t="shared" si="2"/>
        <v>-160</v>
      </c>
      <c r="G93" s="66">
        <f t="shared" si="3"/>
        <v>-4.1666666666666666E-3</v>
      </c>
    </row>
    <row r="94" spans="1:8" x14ac:dyDescent="0.2">
      <c r="A94" s="117"/>
      <c r="B94" s="133"/>
      <c r="C94" s="19" t="s">
        <v>686</v>
      </c>
      <c r="D94" s="109">
        <v>160102</v>
      </c>
      <c r="E94" s="109">
        <f>(VLOOKUP(C94,Sheet2!$A$4:$B$47,2,FALSE))+VLOOKUP(C94,Sheet3!$A$3:$C$143,2,FALSE)+VLOOKUP(C94,Sheet3!$A$3:$C$143,3,FALSE)</f>
        <v>147757.12</v>
      </c>
      <c r="F94" s="109">
        <f t="shared" si="2"/>
        <v>-12344.880000000005</v>
      </c>
      <c r="G94" s="66">
        <f t="shared" si="3"/>
        <v>-7.7106344705250435E-2</v>
      </c>
    </row>
    <row r="95" spans="1:8" x14ac:dyDescent="0.2">
      <c r="A95" s="117"/>
      <c r="B95" s="129"/>
      <c r="C95" s="25" t="s">
        <v>597</v>
      </c>
      <c r="D95" s="113">
        <f>SUM(D83:D94)</f>
        <v>2011009</v>
      </c>
      <c r="E95" s="113">
        <f>SUM(E83:E94)</f>
        <v>2313277.1236056001</v>
      </c>
      <c r="F95" s="113">
        <f t="shared" si="2"/>
        <v>302268.12360560009</v>
      </c>
      <c r="G95" s="69">
        <f t="shared" si="3"/>
        <v>0.15030669858046389</v>
      </c>
    </row>
    <row r="96" spans="1:8" x14ac:dyDescent="0.2">
      <c r="A96" s="117"/>
      <c r="B96" s="25" t="s">
        <v>598</v>
      </c>
      <c r="C96" s="25"/>
      <c r="D96" s="114">
        <f>D95+D82+D74+D65+D63+D59+D56+D52+D49+D48</f>
        <v>12799603</v>
      </c>
      <c r="E96" s="114">
        <f>E95+E82+E74+E65+E63+E59+E56+E52+E49+E48</f>
        <v>13302552.239103504</v>
      </c>
      <c r="F96" s="114">
        <f t="shared" si="2"/>
        <v>502949.23910350353</v>
      </c>
      <c r="G96" s="70">
        <f t="shared" si="3"/>
        <v>3.9294128036901105E-2</v>
      </c>
    </row>
    <row r="97" spans="1:7" x14ac:dyDescent="0.2">
      <c r="A97" s="117" t="s">
        <v>599</v>
      </c>
      <c r="B97" s="117" t="s">
        <v>600</v>
      </c>
      <c r="C97" s="19" t="s">
        <v>601</v>
      </c>
      <c r="D97" s="109">
        <v>3401400.75</v>
      </c>
      <c r="E97" s="109">
        <f>D99</f>
        <v>3346310.75</v>
      </c>
      <c r="F97" s="109">
        <f t="shared" si="2"/>
        <v>-55090</v>
      </c>
      <c r="G97" s="66"/>
    </row>
    <row r="98" spans="1:7" x14ac:dyDescent="0.2">
      <c r="A98" s="117"/>
      <c r="B98" s="117"/>
      <c r="C98" s="19" t="s">
        <v>602</v>
      </c>
      <c r="D98" s="109">
        <v>1349408.02</v>
      </c>
      <c r="E98" s="109">
        <f>D100</f>
        <v>459471.29000000004</v>
      </c>
      <c r="F98" s="109">
        <f t="shared" si="2"/>
        <v>-889936.73</v>
      </c>
      <c r="G98" s="66"/>
    </row>
    <row r="99" spans="1:7" x14ac:dyDescent="0.2">
      <c r="A99" s="117"/>
      <c r="B99" s="117" t="s">
        <v>603</v>
      </c>
      <c r="C99" s="19" t="s">
        <v>601</v>
      </c>
      <c r="D99" s="109">
        <f>D97+D39</f>
        <v>3346310.75</v>
      </c>
      <c r="E99" s="111">
        <f>E97+E39</f>
        <v>4759586.7</v>
      </c>
      <c r="F99" s="109">
        <f t="shared" si="2"/>
        <v>1413275.9500000002</v>
      </c>
      <c r="G99" s="66"/>
    </row>
    <row r="100" spans="1:7" x14ac:dyDescent="0.2">
      <c r="A100" s="117"/>
      <c r="B100" s="117"/>
      <c r="C100" s="19" t="s">
        <v>602</v>
      </c>
      <c r="D100" s="109">
        <f>D98+D40</f>
        <v>459471.29000000004</v>
      </c>
      <c r="E100" s="111">
        <f>E98+E40</f>
        <v>123998.51669649431</v>
      </c>
      <c r="F100" s="109">
        <f t="shared" si="2"/>
        <v>-335472.77330350573</v>
      </c>
      <c r="G100" s="66"/>
    </row>
    <row r="103" spans="1:7" hidden="1" x14ac:dyDescent="0.2">
      <c r="E103" s="115">
        <f>IF(E99-E100&lt;0,0,E99-E100)/E18</f>
        <v>0.40121750183515498</v>
      </c>
    </row>
  </sheetData>
  <mergeCells count="40">
    <mergeCell ref="A97:A100"/>
    <mergeCell ref="B97:B98"/>
    <mergeCell ref="B99:B100"/>
    <mergeCell ref="A40:C40"/>
    <mergeCell ref="A42:A96"/>
    <mergeCell ref="B42:B48"/>
    <mergeCell ref="B51:B52"/>
    <mergeCell ref="B53:B56"/>
    <mergeCell ref="B57:B59"/>
    <mergeCell ref="B60:B63"/>
    <mergeCell ref="B64:B65"/>
    <mergeCell ref="B66:B74"/>
    <mergeCell ref="B75:B82"/>
    <mergeCell ref="B49:B50"/>
    <mergeCell ref="B83:B95"/>
    <mergeCell ref="B33:C33"/>
    <mergeCell ref="B34:C34"/>
    <mergeCell ref="B35:C35"/>
    <mergeCell ref="A36:C36"/>
    <mergeCell ref="A37:A39"/>
    <mergeCell ref="B37:C37"/>
    <mergeCell ref="B38:C38"/>
    <mergeCell ref="B39:C39"/>
    <mergeCell ref="A29:A35"/>
    <mergeCell ref="B29:C29"/>
    <mergeCell ref="B30:C30"/>
    <mergeCell ref="B31:C31"/>
    <mergeCell ref="B32:C32"/>
    <mergeCell ref="A19:A27"/>
    <mergeCell ref="B19:B22"/>
    <mergeCell ref="B23:B26"/>
    <mergeCell ref="B27:C27"/>
    <mergeCell ref="A28:C28"/>
    <mergeCell ref="A4:C4"/>
    <mergeCell ref="A5:A18"/>
    <mergeCell ref="B5:B7"/>
    <mergeCell ref="B8:C8"/>
    <mergeCell ref="B9:B12"/>
    <mergeCell ref="B13:B17"/>
    <mergeCell ref="B18:C18"/>
  </mergeCells>
  <pageMargins left="0.31496062992125984" right="0.11811023622047245" top="0.74803149606299213" bottom="0.74803149606299213" header="0.31496062992125984" footer="0.31496062992125984"/>
  <pageSetup paperSize="9" orientation="landscape" verticalDpi="0" r:id="rId1"/>
  <ignoredErrors>
    <ignoredError sqref="D12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2"/>
  <sheetViews>
    <sheetView workbookViewId="0">
      <selection activeCell="F4" sqref="F4:G9"/>
    </sheetView>
  </sheetViews>
  <sheetFormatPr defaultRowHeight="15" x14ac:dyDescent="0.25"/>
  <cols>
    <col min="1" max="1" width="25.28515625" bestFit="1" customWidth="1"/>
    <col min="2" max="2" width="15.42578125" hidden="1" customWidth="1"/>
    <col min="3" max="3" width="0" style="7" hidden="1" customWidth="1"/>
    <col min="4" max="4" width="9.140625" style="7"/>
    <col min="5" max="5" width="25.28515625" bestFit="1" customWidth="1"/>
  </cols>
  <sheetData>
    <row r="3" spans="1:7" x14ac:dyDescent="0.25">
      <c r="A3" s="4" t="s">
        <v>531</v>
      </c>
      <c r="B3" t="s">
        <v>399</v>
      </c>
      <c r="C3" s="7" t="s">
        <v>2221</v>
      </c>
      <c r="D3" s="7">
        <v>2020</v>
      </c>
    </row>
    <row r="4" spans="1:7" x14ac:dyDescent="0.25">
      <c r="A4" s="5" t="s">
        <v>307</v>
      </c>
      <c r="B4" s="7">
        <v>15219</v>
      </c>
      <c r="C4" s="7">
        <f>SUM(F4:G4)</f>
        <v>27327.312000000002</v>
      </c>
      <c r="D4" s="7">
        <f>SUM(B4:C4)</f>
        <v>42546.312000000005</v>
      </c>
      <c r="E4" t="s">
        <v>307</v>
      </c>
      <c r="F4">
        <v>20424</v>
      </c>
      <c r="G4">
        <v>6903.3120000000008</v>
      </c>
    </row>
    <row r="5" spans="1:7" x14ac:dyDescent="0.25">
      <c r="A5" s="5" t="s">
        <v>309</v>
      </c>
      <c r="B5" s="7">
        <v>9250</v>
      </c>
      <c r="D5" s="7">
        <f t="shared" ref="D5:D11" si="0">SUM(B5:C5)</f>
        <v>9250</v>
      </c>
      <c r="E5" t="s">
        <v>301</v>
      </c>
      <c r="F5">
        <v>9144</v>
      </c>
      <c r="G5">
        <v>3090.672</v>
      </c>
    </row>
    <row r="6" spans="1:7" x14ac:dyDescent="0.25">
      <c r="A6" s="5" t="s">
        <v>301</v>
      </c>
      <c r="B6" s="7">
        <v>7200</v>
      </c>
      <c r="C6" s="7">
        <f>SUM(F5:G5)</f>
        <v>12234.672</v>
      </c>
      <c r="D6" s="7">
        <f t="shared" si="0"/>
        <v>19434.671999999999</v>
      </c>
      <c r="E6" t="s">
        <v>303</v>
      </c>
      <c r="F6">
        <v>7092</v>
      </c>
      <c r="G6">
        <v>2397.096</v>
      </c>
    </row>
    <row r="7" spans="1:7" x14ac:dyDescent="0.25">
      <c r="A7" s="5" t="s">
        <v>303</v>
      </c>
      <c r="B7" s="7">
        <v>4165</v>
      </c>
      <c r="C7" s="7">
        <f>SUM(F6:G6)</f>
        <v>9489.0959999999995</v>
      </c>
      <c r="D7" s="7">
        <f t="shared" si="0"/>
        <v>13654.096</v>
      </c>
      <c r="E7" t="s">
        <v>297</v>
      </c>
      <c r="F7">
        <v>28272</v>
      </c>
      <c r="G7">
        <v>9555.9360000000015</v>
      </c>
    </row>
    <row r="8" spans="1:7" x14ac:dyDescent="0.25">
      <c r="A8" s="5" t="s">
        <v>305</v>
      </c>
      <c r="B8" s="7">
        <v>7880</v>
      </c>
      <c r="C8" s="7">
        <f>SUM(F9:G9)</f>
        <v>15606.432000000001</v>
      </c>
      <c r="D8" s="7">
        <f t="shared" si="0"/>
        <v>23486.432000000001</v>
      </c>
      <c r="E8" t="s">
        <v>299</v>
      </c>
      <c r="F8">
        <v>11364</v>
      </c>
      <c r="G8">
        <v>3841.0320000000002</v>
      </c>
    </row>
    <row r="9" spans="1:7" x14ac:dyDescent="0.25">
      <c r="A9" s="5" t="s">
        <v>311</v>
      </c>
      <c r="B9" s="7">
        <v>4850</v>
      </c>
      <c r="D9" s="7">
        <f t="shared" si="0"/>
        <v>4850</v>
      </c>
      <c r="E9" t="s">
        <v>305</v>
      </c>
      <c r="F9">
        <v>11664</v>
      </c>
      <c r="G9">
        <v>3942.4320000000002</v>
      </c>
    </row>
    <row r="10" spans="1:7" x14ac:dyDescent="0.25">
      <c r="A10" s="5" t="s">
        <v>297</v>
      </c>
      <c r="B10" s="7">
        <v>31174.91</v>
      </c>
      <c r="C10" s="7">
        <f>SUM(F7:G7)</f>
        <v>37827.936000000002</v>
      </c>
      <c r="D10" s="7">
        <f t="shared" si="0"/>
        <v>69002.846000000005</v>
      </c>
    </row>
    <row r="11" spans="1:7" x14ac:dyDescent="0.25">
      <c r="A11" s="5" t="s">
        <v>299</v>
      </c>
      <c r="B11" s="7">
        <v>152550</v>
      </c>
      <c r="C11" s="7">
        <f>SUM(F8:G8)</f>
        <v>15205.031999999999</v>
      </c>
      <c r="D11" s="7">
        <f t="shared" si="0"/>
        <v>167755.03200000001</v>
      </c>
    </row>
    <row r="12" spans="1:7" x14ac:dyDescent="0.25">
      <c r="A12" s="5" t="s">
        <v>397</v>
      </c>
      <c r="B12" s="7">
        <v>232288.91</v>
      </c>
      <c r="D12" s="7">
        <f>SUM(D4:D11)</f>
        <v>349979.39</v>
      </c>
    </row>
  </sheetData>
  <pageMargins left="0.7" right="0.7" top="0.75" bottom="0.75" header="0.3" footer="0.3"/>
  <pageSetup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workbookViewId="0">
      <selection activeCell="G74" sqref="G74"/>
    </sheetView>
  </sheetViews>
  <sheetFormatPr defaultRowHeight="15" x14ac:dyDescent="0.25"/>
  <cols>
    <col min="1" max="1" width="11.5703125" customWidth="1"/>
    <col min="2" max="2" width="13" customWidth="1"/>
    <col min="3" max="3" width="21.7109375" customWidth="1"/>
    <col min="4" max="4" width="23.28515625" customWidth="1"/>
    <col min="5" max="5" width="26.28515625" customWidth="1"/>
    <col min="6" max="6" width="21.85546875" customWidth="1"/>
    <col min="7" max="7" width="19.7109375" customWidth="1"/>
    <col min="8" max="8" width="10.85546875" customWidth="1"/>
    <col min="9" max="9" width="12" customWidth="1"/>
    <col min="11" max="11" width="16.140625" customWidth="1"/>
    <col min="12" max="12" width="15.85546875" customWidth="1"/>
    <col min="13" max="13" width="14" customWidth="1"/>
    <col min="14" max="14" width="24" customWidth="1"/>
    <col min="15" max="16" width="21" customWidth="1"/>
  </cols>
  <sheetData>
    <row r="1" spans="1:16" x14ac:dyDescent="0.25">
      <c r="A1" t="s">
        <v>7</v>
      </c>
      <c r="B1" t="s">
        <v>1</v>
      </c>
      <c r="C1" t="s">
        <v>246</v>
      </c>
      <c r="D1" t="s">
        <v>490</v>
      </c>
      <c r="E1" t="s">
        <v>67</v>
      </c>
      <c r="F1" t="s">
        <v>5</v>
      </c>
      <c r="G1" t="s">
        <v>6</v>
      </c>
      <c r="H1" t="s">
        <v>398</v>
      </c>
      <c r="I1" t="s">
        <v>165</v>
      </c>
      <c r="J1" t="s">
        <v>2</v>
      </c>
      <c r="K1" t="s">
        <v>91</v>
      </c>
      <c r="L1" t="s">
        <v>77</v>
      </c>
      <c r="M1" t="s">
        <v>9</v>
      </c>
      <c r="N1" t="s">
        <v>160</v>
      </c>
      <c r="O1" t="s">
        <v>2009</v>
      </c>
      <c r="P1" t="s">
        <v>135</v>
      </c>
    </row>
    <row r="2" spans="1:16" hidden="1" x14ac:dyDescent="0.25">
      <c r="A2" t="s">
        <v>799</v>
      </c>
      <c r="B2" t="s">
        <v>310</v>
      </c>
      <c r="C2" t="s">
        <v>311</v>
      </c>
      <c r="D2" t="s">
        <v>460</v>
      </c>
      <c r="E2" t="s">
        <v>76</v>
      </c>
      <c r="F2" t="s">
        <v>529</v>
      </c>
      <c r="G2" t="s">
        <v>751</v>
      </c>
      <c r="H2">
        <v>300</v>
      </c>
      <c r="J2">
        <v>5500</v>
      </c>
      <c r="K2" t="s">
        <v>100</v>
      </c>
      <c r="L2">
        <v>55</v>
      </c>
      <c r="M2" t="s">
        <v>2219</v>
      </c>
      <c r="N2" t="s">
        <v>131</v>
      </c>
      <c r="O2" t="s">
        <v>549</v>
      </c>
      <c r="P2" t="s">
        <v>85</v>
      </c>
    </row>
    <row r="3" spans="1:16" hidden="1" x14ac:dyDescent="0.25">
      <c r="A3" t="s">
        <v>799</v>
      </c>
      <c r="B3" t="s">
        <v>310</v>
      </c>
      <c r="C3" t="s">
        <v>311</v>
      </c>
      <c r="D3" t="s">
        <v>460</v>
      </c>
      <c r="E3" t="s">
        <v>76</v>
      </c>
      <c r="F3" t="s">
        <v>529</v>
      </c>
      <c r="G3" t="s">
        <v>756</v>
      </c>
      <c r="H3">
        <v>250</v>
      </c>
      <c r="J3">
        <v>5514</v>
      </c>
      <c r="K3" t="s">
        <v>110</v>
      </c>
      <c r="L3">
        <v>55</v>
      </c>
      <c r="M3" t="s">
        <v>2219</v>
      </c>
      <c r="N3" t="s">
        <v>131</v>
      </c>
      <c r="O3" t="s">
        <v>549</v>
      </c>
      <c r="P3" t="s">
        <v>85</v>
      </c>
    </row>
    <row r="4" spans="1:16" hidden="1" x14ac:dyDescent="0.25">
      <c r="A4" t="s">
        <v>799</v>
      </c>
      <c r="B4" t="s">
        <v>310</v>
      </c>
      <c r="C4" t="s">
        <v>311</v>
      </c>
      <c r="D4" t="s">
        <v>460</v>
      </c>
      <c r="E4" t="s">
        <v>76</v>
      </c>
      <c r="F4" t="s">
        <v>529</v>
      </c>
      <c r="G4" t="s">
        <v>754</v>
      </c>
      <c r="H4">
        <v>200</v>
      </c>
      <c r="J4">
        <v>5511</v>
      </c>
      <c r="K4" t="s">
        <v>106</v>
      </c>
      <c r="L4">
        <v>55</v>
      </c>
      <c r="M4" t="s">
        <v>2219</v>
      </c>
      <c r="N4" t="s">
        <v>131</v>
      </c>
      <c r="O4" t="s">
        <v>549</v>
      </c>
      <c r="P4" t="s">
        <v>85</v>
      </c>
    </row>
    <row r="5" spans="1:16" hidden="1" x14ac:dyDescent="0.25">
      <c r="A5" t="s">
        <v>799</v>
      </c>
      <c r="B5" t="s">
        <v>310</v>
      </c>
      <c r="C5" t="s">
        <v>311</v>
      </c>
      <c r="D5" t="s">
        <v>460</v>
      </c>
      <c r="E5" t="s">
        <v>76</v>
      </c>
      <c r="F5" t="s">
        <v>529</v>
      </c>
      <c r="G5" t="s">
        <v>753</v>
      </c>
      <c r="H5">
        <v>100</v>
      </c>
      <c r="J5">
        <v>5511</v>
      </c>
      <c r="K5" t="s">
        <v>106</v>
      </c>
      <c r="L5">
        <v>55</v>
      </c>
      <c r="M5" t="s">
        <v>2219</v>
      </c>
      <c r="N5" t="s">
        <v>131</v>
      </c>
      <c r="O5" t="s">
        <v>549</v>
      </c>
      <c r="P5" t="s">
        <v>85</v>
      </c>
    </row>
    <row r="6" spans="1:16" hidden="1" x14ac:dyDescent="0.25">
      <c r="A6" t="s">
        <v>799</v>
      </c>
      <c r="B6" t="s">
        <v>310</v>
      </c>
      <c r="C6" t="s">
        <v>311</v>
      </c>
      <c r="D6" t="s">
        <v>460</v>
      </c>
      <c r="E6" t="s">
        <v>76</v>
      </c>
      <c r="F6" t="s">
        <v>529</v>
      </c>
      <c r="G6" t="s">
        <v>765</v>
      </c>
      <c r="H6">
        <v>200</v>
      </c>
      <c r="J6">
        <v>5525</v>
      </c>
      <c r="K6" t="s">
        <v>118</v>
      </c>
      <c r="L6">
        <v>55</v>
      </c>
      <c r="M6" t="s">
        <v>2219</v>
      </c>
      <c r="N6" t="s">
        <v>131</v>
      </c>
      <c r="O6" t="s">
        <v>549</v>
      </c>
      <c r="P6" t="s">
        <v>85</v>
      </c>
    </row>
    <row r="7" spans="1:16" hidden="1" x14ac:dyDescent="0.25">
      <c r="A7" t="s">
        <v>799</v>
      </c>
      <c r="B7" t="s">
        <v>310</v>
      </c>
      <c r="C7" t="s">
        <v>311</v>
      </c>
      <c r="D7" t="s">
        <v>460</v>
      </c>
      <c r="E7" t="s">
        <v>76</v>
      </c>
      <c r="F7" t="s">
        <v>529</v>
      </c>
      <c r="G7" t="s">
        <v>761</v>
      </c>
      <c r="H7">
        <v>2500</v>
      </c>
      <c r="J7">
        <v>5523</v>
      </c>
      <c r="K7" t="s">
        <v>116</v>
      </c>
      <c r="L7">
        <v>55</v>
      </c>
      <c r="M7" t="s">
        <v>2219</v>
      </c>
      <c r="N7" t="s">
        <v>131</v>
      </c>
      <c r="O7" t="s">
        <v>549</v>
      </c>
      <c r="P7" t="s">
        <v>85</v>
      </c>
    </row>
    <row r="8" spans="1:16" hidden="1" x14ac:dyDescent="0.25">
      <c r="A8" t="s">
        <v>799</v>
      </c>
      <c r="B8" t="s">
        <v>310</v>
      </c>
      <c r="C8" t="s">
        <v>311</v>
      </c>
      <c r="D8" t="s">
        <v>460</v>
      </c>
      <c r="E8" t="s">
        <v>76</v>
      </c>
      <c r="F8" t="s">
        <v>529</v>
      </c>
      <c r="G8" t="s">
        <v>752</v>
      </c>
      <c r="H8">
        <v>1300</v>
      </c>
      <c r="J8">
        <v>5500</v>
      </c>
      <c r="K8" t="s">
        <v>100</v>
      </c>
      <c r="L8">
        <v>55</v>
      </c>
      <c r="M8" t="s">
        <v>2219</v>
      </c>
      <c r="N8" t="s">
        <v>131</v>
      </c>
      <c r="O8" t="s">
        <v>549</v>
      </c>
      <c r="P8" t="s">
        <v>85</v>
      </c>
    </row>
    <row r="9" spans="1:16" hidden="1" x14ac:dyDescent="0.25">
      <c r="A9" t="s">
        <v>799</v>
      </c>
      <c r="B9" t="s">
        <v>308</v>
      </c>
      <c r="C9" t="s">
        <v>309</v>
      </c>
      <c r="D9" t="s">
        <v>460</v>
      </c>
      <c r="E9" t="s">
        <v>76</v>
      </c>
      <c r="F9" t="s">
        <v>529</v>
      </c>
      <c r="G9" t="s">
        <v>751</v>
      </c>
      <c r="H9">
        <v>500</v>
      </c>
      <c r="J9">
        <v>5500</v>
      </c>
      <c r="K9" t="s">
        <v>100</v>
      </c>
      <c r="L9">
        <v>55</v>
      </c>
      <c r="M9" t="s">
        <v>2219</v>
      </c>
      <c r="N9" t="s">
        <v>131</v>
      </c>
      <c r="O9" t="s">
        <v>549</v>
      </c>
      <c r="P9" t="s">
        <v>85</v>
      </c>
    </row>
    <row r="10" spans="1:16" hidden="1" x14ac:dyDescent="0.25">
      <c r="A10" t="s">
        <v>799</v>
      </c>
      <c r="B10" t="s">
        <v>308</v>
      </c>
      <c r="C10" t="s">
        <v>309</v>
      </c>
      <c r="D10" t="s">
        <v>460</v>
      </c>
      <c r="E10" t="s">
        <v>76</v>
      </c>
      <c r="F10" t="s">
        <v>529</v>
      </c>
      <c r="G10" t="s">
        <v>758</v>
      </c>
      <c r="H10">
        <v>1200</v>
      </c>
      <c r="J10">
        <v>5514</v>
      </c>
      <c r="K10" t="s">
        <v>110</v>
      </c>
      <c r="L10">
        <v>55</v>
      </c>
      <c r="M10" t="s">
        <v>2219</v>
      </c>
      <c r="N10" t="s">
        <v>131</v>
      </c>
      <c r="O10" t="s">
        <v>549</v>
      </c>
      <c r="P10" t="s">
        <v>85</v>
      </c>
    </row>
    <row r="11" spans="1:16" hidden="1" x14ac:dyDescent="0.25">
      <c r="A11" t="s">
        <v>799</v>
      </c>
      <c r="B11" t="s">
        <v>308</v>
      </c>
      <c r="C11" t="s">
        <v>309</v>
      </c>
      <c r="D11" t="s">
        <v>460</v>
      </c>
      <c r="E11" t="s">
        <v>76</v>
      </c>
      <c r="F11" t="s">
        <v>529</v>
      </c>
      <c r="G11" t="s">
        <v>756</v>
      </c>
      <c r="H11">
        <v>250</v>
      </c>
      <c r="J11">
        <v>5514</v>
      </c>
      <c r="K11" t="s">
        <v>110</v>
      </c>
      <c r="L11">
        <v>55</v>
      </c>
      <c r="M11" t="s">
        <v>2219</v>
      </c>
      <c r="N11" t="s">
        <v>131</v>
      </c>
      <c r="O11" t="s">
        <v>549</v>
      </c>
      <c r="P11" t="s">
        <v>85</v>
      </c>
    </row>
    <row r="12" spans="1:16" hidden="1" x14ac:dyDescent="0.25">
      <c r="A12" t="s">
        <v>799</v>
      </c>
      <c r="B12" t="s">
        <v>308</v>
      </c>
      <c r="C12" t="s">
        <v>309</v>
      </c>
      <c r="D12" t="s">
        <v>460</v>
      </c>
      <c r="E12" t="s">
        <v>76</v>
      </c>
      <c r="F12" t="s">
        <v>529</v>
      </c>
      <c r="G12" t="s">
        <v>754</v>
      </c>
      <c r="H12">
        <v>200</v>
      </c>
      <c r="J12">
        <v>5511</v>
      </c>
      <c r="K12" t="s">
        <v>106</v>
      </c>
      <c r="L12">
        <v>55</v>
      </c>
      <c r="M12" t="s">
        <v>2219</v>
      </c>
      <c r="N12" t="s">
        <v>131</v>
      </c>
      <c r="O12" t="s">
        <v>549</v>
      </c>
      <c r="P12" t="s">
        <v>85</v>
      </c>
    </row>
    <row r="13" spans="1:16" hidden="1" x14ac:dyDescent="0.25">
      <c r="A13" t="s">
        <v>799</v>
      </c>
      <c r="B13" t="s">
        <v>308</v>
      </c>
      <c r="C13" t="s">
        <v>309</v>
      </c>
      <c r="D13" t="s">
        <v>460</v>
      </c>
      <c r="E13" t="s">
        <v>76</v>
      </c>
      <c r="F13" t="s">
        <v>529</v>
      </c>
      <c r="G13" t="s">
        <v>753</v>
      </c>
      <c r="H13">
        <v>250</v>
      </c>
      <c r="J13">
        <v>5511</v>
      </c>
      <c r="K13" t="s">
        <v>106</v>
      </c>
      <c r="L13">
        <v>55</v>
      </c>
      <c r="M13" t="s">
        <v>2219</v>
      </c>
      <c r="N13" t="s">
        <v>131</v>
      </c>
      <c r="O13" t="s">
        <v>549</v>
      </c>
      <c r="P13" t="s">
        <v>85</v>
      </c>
    </row>
    <row r="14" spans="1:16" hidden="1" x14ac:dyDescent="0.25">
      <c r="A14" t="s">
        <v>799</v>
      </c>
      <c r="B14" t="s">
        <v>308</v>
      </c>
      <c r="C14" t="s">
        <v>309</v>
      </c>
      <c r="D14" t="s">
        <v>460</v>
      </c>
      <c r="E14" t="s">
        <v>76</v>
      </c>
      <c r="F14" t="s">
        <v>529</v>
      </c>
      <c r="G14" t="s">
        <v>765</v>
      </c>
      <c r="H14">
        <v>150</v>
      </c>
      <c r="J14">
        <v>5525</v>
      </c>
      <c r="K14" t="s">
        <v>118</v>
      </c>
      <c r="L14">
        <v>55</v>
      </c>
      <c r="M14" t="s">
        <v>2219</v>
      </c>
      <c r="N14" t="s">
        <v>131</v>
      </c>
      <c r="O14" t="s">
        <v>549</v>
      </c>
      <c r="P14" t="s">
        <v>85</v>
      </c>
    </row>
    <row r="15" spans="1:16" hidden="1" x14ac:dyDescent="0.25">
      <c r="A15" t="s">
        <v>799</v>
      </c>
      <c r="B15" t="s">
        <v>308</v>
      </c>
      <c r="C15" t="s">
        <v>309</v>
      </c>
      <c r="D15" t="s">
        <v>460</v>
      </c>
      <c r="E15" t="s">
        <v>76</v>
      </c>
      <c r="F15" t="s">
        <v>529</v>
      </c>
      <c r="G15" t="s">
        <v>763</v>
      </c>
      <c r="H15">
        <v>250</v>
      </c>
      <c r="J15">
        <v>5525</v>
      </c>
      <c r="K15" t="s">
        <v>118</v>
      </c>
      <c r="L15">
        <v>55</v>
      </c>
      <c r="M15" t="s">
        <v>2219</v>
      </c>
      <c r="N15" t="s">
        <v>131</v>
      </c>
      <c r="O15" t="s">
        <v>549</v>
      </c>
      <c r="P15" t="s">
        <v>85</v>
      </c>
    </row>
    <row r="16" spans="1:16" hidden="1" x14ac:dyDescent="0.25">
      <c r="A16" t="s">
        <v>799</v>
      </c>
      <c r="B16" t="s">
        <v>308</v>
      </c>
      <c r="C16" t="s">
        <v>309</v>
      </c>
      <c r="D16" t="s">
        <v>460</v>
      </c>
      <c r="E16" t="s">
        <v>76</v>
      </c>
      <c r="F16" t="s">
        <v>529</v>
      </c>
      <c r="G16" t="s">
        <v>762</v>
      </c>
      <c r="H16">
        <v>250</v>
      </c>
      <c r="J16">
        <v>5525</v>
      </c>
      <c r="K16" t="s">
        <v>118</v>
      </c>
      <c r="L16">
        <v>55</v>
      </c>
      <c r="M16" t="s">
        <v>2219</v>
      </c>
      <c r="N16" t="s">
        <v>131</v>
      </c>
      <c r="O16" t="s">
        <v>549</v>
      </c>
      <c r="P16" t="s">
        <v>85</v>
      </c>
    </row>
    <row r="17" spans="1:16" hidden="1" x14ac:dyDescent="0.25">
      <c r="A17" t="s">
        <v>799</v>
      </c>
      <c r="B17" t="s">
        <v>308</v>
      </c>
      <c r="C17" t="s">
        <v>309</v>
      </c>
      <c r="D17" t="s">
        <v>460</v>
      </c>
      <c r="E17" t="s">
        <v>76</v>
      </c>
      <c r="F17" t="s">
        <v>529</v>
      </c>
      <c r="G17" t="s">
        <v>761</v>
      </c>
      <c r="H17">
        <v>4500</v>
      </c>
      <c r="J17">
        <v>5523</v>
      </c>
      <c r="K17" t="s">
        <v>116</v>
      </c>
      <c r="L17">
        <v>55</v>
      </c>
      <c r="M17" t="s">
        <v>2219</v>
      </c>
      <c r="N17" t="s">
        <v>131</v>
      </c>
      <c r="O17" t="s">
        <v>549</v>
      </c>
      <c r="P17" t="s">
        <v>85</v>
      </c>
    </row>
    <row r="18" spans="1:16" hidden="1" x14ac:dyDescent="0.25">
      <c r="A18" t="s">
        <v>799</v>
      </c>
      <c r="B18" t="s">
        <v>308</v>
      </c>
      <c r="C18" t="s">
        <v>309</v>
      </c>
      <c r="D18" t="s">
        <v>460</v>
      </c>
      <c r="E18" t="s">
        <v>76</v>
      </c>
      <c r="F18" t="s">
        <v>529</v>
      </c>
      <c r="G18" t="s">
        <v>752</v>
      </c>
      <c r="H18">
        <v>1700</v>
      </c>
      <c r="J18">
        <v>5500</v>
      </c>
      <c r="K18" t="s">
        <v>100</v>
      </c>
      <c r="L18">
        <v>55</v>
      </c>
      <c r="M18" t="s">
        <v>2219</v>
      </c>
      <c r="N18" t="s">
        <v>131</v>
      </c>
      <c r="O18" t="s">
        <v>549</v>
      </c>
      <c r="P18" t="s">
        <v>85</v>
      </c>
    </row>
    <row r="19" spans="1:16" hidden="1" x14ac:dyDescent="0.25">
      <c r="A19" t="s">
        <v>799</v>
      </c>
      <c r="B19" t="s">
        <v>306</v>
      </c>
      <c r="C19" t="s">
        <v>307</v>
      </c>
      <c r="D19" t="s">
        <v>460</v>
      </c>
      <c r="E19" t="s">
        <v>76</v>
      </c>
      <c r="F19" t="s">
        <v>529</v>
      </c>
      <c r="G19" t="s">
        <v>757</v>
      </c>
      <c r="H19">
        <v>1050</v>
      </c>
      <c r="J19">
        <v>5514</v>
      </c>
      <c r="K19" t="s">
        <v>110</v>
      </c>
      <c r="L19">
        <v>55</v>
      </c>
      <c r="M19" t="s">
        <v>2219</v>
      </c>
      <c r="N19" t="s">
        <v>131</v>
      </c>
      <c r="O19" t="s">
        <v>549</v>
      </c>
      <c r="P19" t="s">
        <v>85</v>
      </c>
    </row>
    <row r="20" spans="1:16" hidden="1" x14ac:dyDescent="0.25">
      <c r="A20" t="s">
        <v>799</v>
      </c>
      <c r="B20" t="s">
        <v>306</v>
      </c>
      <c r="C20" t="s">
        <v>307</v>
      </c>
      <c r="D20" t="s">
        <v>460</v>
      </c>
      <c r="E20" t="s">
        <v>76</v>
      </c>
      <c r="F20" t="s">
        <v>529</v>
      </c>
      <c r="G20" t="s">
        <v>756</v>
      </c>
      <c r="H20">
        <v>250</v>
      </c>
      <c r="J20">
        <v>5514</v>
      </c>
      <c r="K20" t="s">
        <v>110</v>
      </c>
      <c r="L20">
        <v>55</v>
      </c>
      <c r="M20" t="s">
        <v>2219</v>
      </c>
      <c r="N20" t="s">
        <v>131</v>
      </c>
      <c r="O20" t="s">
        <v>549</v>
      </c>
      <c r="P20" t="s">
        <v>85</v>
      </c>
    </row>
    <row r="21" spans="1:16" hidden="1" x14ac:dyDescent="0.25">
      <c r="A21" t="s">
        <v>799</v>
      </c>
      <c r="B21" t="s">
        <v>306</v>
      </c>
      <c r="C21" t="s">
        <v>307</v>
      </c>
      <c r="D21" t="s">
        <v>460</v>
      </c>
      <c r="E21" t="s">
        <v>76</v>
      </c>
      <c r="F21" t="s">
        <v>529</v>
      </c>
      <c r="G21" t="s">
        <v>753</v>
      </c>
      <c r="H21">
        <v>250</v>
      </c>
      <c r="J21">
        <v>5511</v>
      </c>
      <c r="K21" t="s">
        <v>106</v>
      </c>
      <c r="L21">
        <v>55</v>
      </c>
      <c r="M21" t="s">
        <v>2219</v>
      </c>
      <c r="N21" t="s">
        <v>131</v>
      </c>
      <c r="O21" t="s">
        <v>549</v>
      </c>
      <c r="P21" t="s">
        <v>85</v>
      </c>
    </row>
    <row r="22" spans="1:16" hidden="1" x14ac:dyDescent="0.25">
      <c r="A22" t="s">
        <v>799</v>
      </c>
      <c r="B22" t="s">
        <v>306</v>
      </c>
      <c r="C22" t="s">
        <v>307</v>
      </c>
      <c r="D22" t="s">
        <v>460</v>
      </c>
      <c r="E22" t="s">
        <v>76</v>
      </c>
      <c r="F22" t="s">
        <v>529</v>
      </c>
      <c r="G22" t="s">
        <v>767</v>
      </c>
      <c r="H22">
        <v>200</v>
      </c>
      <c r="J22">
        <v>5525</v>
      </c>
      <c r="K22" t="s">
        <v>118</v>
      </c>
      <c r="L22">
        <v>55</v>
      </c>
      <c r="M22" t="s">
        <v>2219</v>
      </c>
      <c r="N22" t="s">
        <v>131</v>
      </c>
      <c r="O22" t="s">
        <v>549</v>
      </c>
      <c r="P22" t="s">
        <v>85</v>
      </c>
    </row>
    <row r="23" spans="1:16" hidden="1" x14ac:dyDescent="0.25">
      <c r="A23" t="s">
        <v>799</v>
      </c>
      <c r="B23" t="s">
        <v>306</v>
      </c>
      <c r="C23" t="s">
        <v>307</v>
      </c>
      <c r="D23" t="s">
        <v>460</v>
      </c>
      <c r="E23" t="s">
        <v>76</v>
      </c>
      <c r="F23" t="s">
        <v>529</v>
      </c>
      <c r="G23" t="s">
        <v>766</v>
      </c>
      <c r="H23">
        <v>150</v>
      </c>
      <c r="J23">
        <v>5525</v>
      </c>
      <c r="K23" t="s">
        <v>118</v>
      </c>
      <c r="L23">
        <v>55</v>
      </c>
      <c r="M23" t="s">
        <v>2219</v>
      </c>
      <c r="N23" t="s">
        <v>131</v>
      </c>
      <c r="O23" t="s">
        <v>549</v>
      </c>
      <c r="P23" t="s">
        <v>85</v>
      </c>
    </row>
    <row r="24" spans="1:16" hidden="1" x14ac:dyDescent="0.25">
      <c r="A24" t="s">
        <v>799</v>
      </c>
      <c r="B24" t="s">
        <v>306</v>
      </c>
      <c r="C24" t="s">
        <v>307</v>
      </c>
      <c r="D24" t="s">
        <v>460</v>
      </c>
      <c r="E24" t="s">
        <v>76</v>
      </c>
      <c r="F24" t="s">
        <v>529</v>
      </c>
      <c r="G24" t="s">
        <v>765</v>
      </c>
      <c r="H24">
        <v>150</v>
      </c>
      <c r="J24">
        <v>5525</v>
      </c>
      <c r="K24" t="s">
        <v>118</v>
      </c>
      <c r="L24">
        <v>55</v>
      </c>
      <c r="M24" t="s">
        <v>2219</v>
      </c>
      <c r="N24" t="s">
        <v>131</v>
      </c>
      <c r="O24" t="s">
        <v>549</v>
      </c>
      <c r="P24" t="s">
        <v>85</v>
      </c>
    </row>
    <row r="25" spans="1:16" hidden="1" x14ac:dyDescent="0.25">
      <c r="A25" t="s">
        <v>799</v>
      </c>
      <c r="B25" t="s">
        <v>306</v>
      </c>
      <c r="C25" t="s">
        <v>307</v>
      </c>
      <c r="D25" t="s">
        <v>460</v>
      </c>
      <c r="E25" t="s">
        <v>76</v>
      </c>
      <c r="F25" t="s">
        <v>529</v>
      </c>
      <c r="G25" t="s">
        <v>764</v>
      </c>
      <c r="H25">
        <v>400</v>
      </c>
      <c r="J25">
        <v>5525</v>
      </c>
      <c r="K25" t="s">
        <v>118</v>
      </c>
      <c r="L25">
        <v>55</v>
      </c>
      <c r="M25" t="s">
        <v>2219</v>
      </c>
      <c r="N25" t="s">
        <v>131</v>
      </c>
      <c r="O25" t="s">
        <v>549</v>
      </c>
      <c r="P25" t="s">
        <v>85</v>
      </c>
    </row>
    <row r="26" spans="1:16" hidden="1" x14ac:dyDescent="0.25">
      <c r="A26" t="s">
        <v>799</v>
      </c>
      <c r="B26" t="s">
        <v>306</v>
      </c>
      <c r="C26" t="s">
        <v>307</v>
      </c>
      <c r="D26" t="s">
        <v>460</v>
      </c>
      <c r="E26" t="s">
        <v>76</v>
      </c>
      <c r="F26" t="s">
        <v>529</v>
      </c>
      <c r="G26" t="s">
        <v>762</v>
      </c>
      <c r="H26">
        <v>250</v>
      </c>
      <c r="J26">
        <v>5525</v>
      </c>
      <c r="K26" t="s">
        <v>118</v>
      </c>
      <c r="L26">
        <v>55</v>
      </c>
      <c r="M26" t="s">
        <v>2219</v>
      </c>
      <c r="N26" t="s">
        <v>131</v>
      </c>
      <c r="O26" t="s">
        <v>549</v>
      </c>
      <c r="P26" t="s">
        <v>85</v>
      </c>
    </row>
    <row r="27" spans="1:16" hidden="1" x14ac:dyDescent="0.25">
      <c r="A27" t="s">
        <v>799</v>
      </c>
      <c r="B27" t="s">
        <v>306</v>
      </c>
      <c r="C27" t="s">
        <v>307</v>
      </c>
      <c r="D27" t="s">
        <v>460</v>
      </c>
      <c r="E27" t="s">
        <v>76</v>
      </c>
      <c r="F27" t="s">
        <v>529</v>
      </c>
      <c r="G27" t="s">
        <v>761</v>
      </c>
      <c r="H27">
        <v>6500</v>
      </c>
      <c r="J27">
        <v>5523</v>
      </c>
      <c r="K27" t="s">
        <v>116</v>
      </c>
      <c r="L27">
        <v>55</v>
      </c>
      <c r="M27" t="s">
        <v>2219</v>
      </c>
      <c r="N27" t="s">
        <v>131</v>
      </c>
      <c r="O27" t="s">
        <v>549</v>
      </c>
      <c r="P27" t="s">
        <v>85</v>
      </c>
    </row>
    <row r="28" spans="1:16" hidden="1" x14ac:dyDescent="0.25">
      <c r="A28" t="s">
        <v>799</v>
      </c>
      <c r="B28" t="s">
        <v>306</v>
      </c>
      <c r="C28" t="s">
        <v>307</v>
      </c>
      <c r="D28" t="s">
        <v>460</v>
      </c>
      <c r="E28" t="s">
        <v>76</v>
      </c>
      <c r="F28" t="s">
        <v>529</v>
      </c>
      <c r="G28" t="s">
        <v>760</v>
      </c>
      <c r="H28">
        <v>500</v>
      </c>
      <c r="J28">
        <v>5522</v>
      </c>
      <c r="K28" t="s">
        <v>115</v>
      </c>
      <c r="L28">
        <v>55</v>
      </c>
      <c r="M28" t="s">
        <v>2219</v>
      </c>
      <c r="N28" t="s">
        <v>131</v>
      </c>
      <c r="O28" t="s">
        <v>549</v>
      </c>
      <c r="P28" t="s">
        <v>85</v>
      </c>
    </row>
    <row r="29" spans="1:16" hidden="1" x14ac:dyDescent="0.25">
      <c r="A29" t="s">
        <v>799</v>
      </c>
      <c r="B29" t="s">
        <v>306</v>
      </c>
      <c r="C29" t="s">
        <v>307</v>
      </c>
      <c r="D29" t="s">
        <v>460</v>
      </c>
      <c r="E29" t="s">
        <v>76</v>
      </c>
      <c r="F29" t="s">
        <v>529</v>
      </c>
      <c r="G29" t="s">
        <v>729</v>
      </c>
      <c r="H29">
        <v>1019</v>
      </c>
      <c r="I29" t="s">
        <v>759</v>
      </c>
      <c r="J29">
        <v>5515</v>
      </c>
      <c r="K29" t="s">
        <v>112</v>
      </c>
      <c r="L29">
        <v>55</v>
      </c>
      <c r="M29" t="s">
        <v>2219</v>
      </c>
      <c r="N29" t="s">
        <v>131</v>
      </c>
      <c r="O29" t="s">
        <v>549</v>
      </c>
      <c r="P29" t="s">
        <v>85</v>
      </c>
    </row>
    <row r="30" spans="1:16" hidden="1" x14ac:dyDescent="0.25">
      <c r="A30" t="s">
        <v>799</v>
      </c>
      <c r="B30" t="s">
        <v>306</v>
      </c>
      <c r="C30" t="s">
        <v>307</v>
      </c>
      <c r="D30" t="s">
        <v>460</v>
      </c>
      <c r="E30" t="s">
        <v>76</v>
      </c>
      <c r="F30" t="s">
        <v>529</v>
      </c>
      <c r="G30" t="s">
        <v>755</v>
      </c>
      <c r="H30">
        <v>1000</v>
      </c>
      <c r="J30">
        <v>5513</v>
      </c>
      <c r="K30" t="s">
        <v>111</v>
      </c>
      <c r="L30">
        <v>55</v>
      </c>
      <c r="M30" t="s">
        <v>2219</v>
      </c>
      <c r="N30" t="s">
        <v>131</v>
      </c>
      <c r="O30" t="s">
        <v>549</v>
      </c>
      <c r="P30" t="s">
        <v>85</v>
      </c>
    </row>
    <row r="31" spans="1:16" hidden="1" x14ac:dyDescent="0.25">
      <c r="A31" t="s">
        <v>799</v>
      </c>
      <c r="B31" t="s">
        <v>306</v>
      </c>
      <c r="C31" t="s">
        <v>307</v>
      </c>
      <c r="D31" t="s">
        <v>460</v>
      </c>
      <c r="E31" t="s">
        <v>76</v>
      </c>
      <c r="F31" t="s">
        <v>529</v>
      </c>
      <c r="G31" t="s">
        <v>409</v>
      </c>
      <c r="H31">
        <v>1000</v>
      </c>
      <c r="J31">
        <v>5504</v>
      </c>
      <c r="K31" t="s">
        <v>102</v>
      </c>
      <c r="L31">
        <v>55</v>
      </c>
      <c r="M31" t="s">
        <v>2219</v>
      </c>
      <c r="N31" t="s">
        <v>131</v>
      </c>
      <c r="O31" t="s">
        <v>549</v>
      </c>
      <c r="P31" t="s">
        <v>85</v>
      </c>
    </row>
    <row r="32" spans="1:16" hidden="1" x14ac:dyDescent="0.25">
      <c r="A32" t="s">
        <v>799</v>
      </c>
      <c r="B32" t="s">
        <v>306</v>
      </c>
      <c r="C32" t="s">
        <v>307</v>
      </c>
      <c r="D32" t="s">
        <v>460</v>
      </c>
      <c r="E32" t="s">
        <v>76</v>
      </c>
      <c r="F32" t="s">
        <v>529</v>
      </c>
      <c r="G32" t="s">
        <v>752</v>
      </c>
      <c r="H32">
        <v>2000</v>
      </c>
      <c r="J32">
        <v>5500</v>
      </c>
      <c r="K32" t="s">
        <v>100</v>
      </c>
      <c r="L32">
        <v>55</v>
      </c>
      <c r="M32" t="s">
        <v>2219</v>
      </c>
      <c r="N32" t="s">
        <v>131</v>
      </c>
      <c r="O32" t="s">
        <v>549</v>
      </c>
      <c r="P32" t="s">
        <v>85</v>
      </c>
    </row>
    <row r="33" spans="1:16" hidden="1" x14ac:dyDescent="0.25">
      <c r="A33" t="s">
        <v>799</v>
      </c>
      <c r="B33" t="s">
        <v>306</v>
      </c>
      <c r="C33" t="s">
        <v>307</v>
      </c>
      <c r="D33" t="s">
        <v>460</v>
      </c>
      <c r="E33" t="s">
        <v>76</v>
      </c>
      <c r="F33" t="s">
        <v>529</v>
      </c>
      <c r="G33" t="s">
        <v>751</v>
      </c>
      <c r="H33">
        <v>500</v>
      </c>
      <c r="J33">
        <v>5500</v>
      </c>
      <c r="K33" t="s">
        <v>100</v>
      </c>
      <c r="L33">
        <v>55</v>
      </c>
      <c r="M33" t="s">
        <v>2219</v>
      </c>
      <c r="N33" t="s">
        <v>131</v>
      </c>
      <c r="O33" t="s">
        <v>549</v>
      </c>
      <c r="P33" t="s">
        <v>85</v>
      </c>
    </row>
    <row r="34" spans="1:16" hidden="1" x14ac:dyDescent="0.25">
      <c r="A34" t="s">
        <v>799</v>
      </c>
      <c r="B34" t="s">
        <v>304</v>
      </c>
      <c r="C34" t="s">
        <v>305</v>
      </c>
      <c r="D34" t="s">
        <v>460</v>
      </c>
      <c r="E34" t="s">
        <v>76</v>
      </c>
      <c r="F34" t="s">
        <v>1088</v>
      </c>
      <c r="G34" t="s">
        <v>1099</v>
      </c>
      <c r="H34">
        <v>850</v>
      </c>
      <c r="I34" t="s">
        <v>1100</v>
      </c>
      <c r="J34">
        <v>5514</v>
      </c>
      <c r="K34" t="s">
        <v>110</v>
      </c>
      <c r="L34">
        <v>55</v>
      </c>
      <c r="M34" t="s">
        <v>2219</v>
      </c>
      <c r="N34" t="s">
        <v>131</v>
      </c>
      <c r="O34" t="s">
        <v>549</v>
      </c>
      <c r="P34" t="s">
        <v>85</v>
      </c>
    </row>
    <row r="35" spans="1:16" hidden="1" x14ac:dyDescent="0.25">
      <c r="A35" t="s">
        <v>799</v>
      </c>
      <c r="B35" t="s">
        <v>304</v>
      </c>
      <c r="C35" t="s">
        <v>305</v>
      </c>
      <c r="D35" t="s">
        <v>460</v>
      </c>
      <c r="E35" t="s">
        <v>76</v>
      </c>
      <c r="F35" t="s">
        <v>1088</v>
      </c>
      <c r="G35" t="s">
        <v>1097</v>
      </c>
      <c r="H35">
        <v>240</v>
      </c>
      <c r="I35" t="s">
        <v>1098</v>
      </c>
      <c r="J35">
        <v>5514</v>
      </c>
      <c r="K35" t="s">
        <v>110</v>
      </c>
      <c r="L35">
        <v>55</v>
      </c>
      <c r="M35" t="s">
        <v>2219</v>
      </c>
      <c r="N35" t="s">
        <v>131</v>
      </c>
      <c r="O35" t="s">
        <v>549</v>
      </c>
      <c r="P35" t="s">
        <v>85</v>
      </c>
    </row>
    <row r="36" spans="1:16" hidden="1" x14ac:dyDescent="0.25">
      <c r="A36" t="s">
        <v>799</v>
      </c>
      <c r="B36" t="s">
        <v>304</v>
      </c>
      <c r="C36" t="s">
        <v>305</v>
      </c>
      <c r="D36" t="s">
        <v>460</v>
      </c>
      <c r="E36" t="s">
        <v>76</v>
      </c>
      <c r="F36" t="s">
        <v>1088</v>
      </c>
      <c r="G36" t="s">
        <v>1101</v>
      </c>
      <c r="H36">
        <v>500</v>
      </c>
      <c r="J36">
        <v>5525</v>
      </c>
      <c r="K36" t="s">
        <v>118</v>
      </c>
      <c r="L36">
        <v>55</v>
      </c>
      <c r="M36" t="s">
        <v>2219</v>
      </c>
      <c r="N36" t="s">
        <v>131</v>
      </c>
      <c r="O36" t="s">
        <v>549</v>
      </c>
      <c r="P36" t="s">
        <v>85</v>
      </c>
    </row>
    <row r="37" spans="1:16" hidden="1" x14ac:dyDescent="0.25">
      <c r="A37" t="s">
        <v>799</v>
      </c>
      <c r="B37" t="s">
        <v>304</v>
      </c>
      <c r="C37" t="s">
        <v>305</v>
      </c>
      <c r="D37" t="s">
        <v>460</v>
      </c>
      <c r="E37" t="s">
        <v>76</v>
      </c>
      <c r="F37" t="s">
        <v>1088</v>
      </c>
      <c r="G37" t="s">
        <v>761</v>
      </c>
      <c r="H37">
        <v>3200</v>
      </c>
      <c r="J37">
        <v>5523</v>
      </c>
      <c r="K37" t="s">
        <v>116</v>
      </c>
      <c r="L37">
        <v>55</v>
      </c>
      <c r="M37" t="s">
        <v>2219</v>
      </c>
      <c r="N37" t="s">
        <v>131</v>
      </c>
      <c r="O37" t="s">
        <v>549</v>
      </c>
      <c r="P37" t="s">
        <v>85</v>
      </c>
    </row>
    <row r="38" spans="1:16" hidden="1" x14ac:dyDescent="0.25">
      <c r="A38" t="s">
        <v>799</v>
      </c>
      <c r="B38" t="s">
        <v>304</v>
      </c>
      <c r="C38" t="s">
        <v>305</v>
      </c>
      <c r="D38" t="s">
        <v>460</v>
      </c>
      <c r="E38" t="s">
        <v>76</v>
      </c>
      <c r="F38" t="s">
        <v>1088</v>
      </c>
      <c r="G38" t="s">
        <v>427</v>
      </c>
      <c r="H38">
        <v>100</v>
      </c>
      <c r="J38">
        <v>5522</v>
      </c>
      <c r="K38" t="s">
        <v>115</v>
      </c>
      <c r="L38">
        <v>55</v>
      </c>
      <c r="M38" t="s">
        <v>2219</v>
      </c>
      <c r="N38" t="s">
        <v>131</v>
      </c>
      <c r="O38" t="s">
        <v>549</v>
      </c>
      <c r="P38" t="s">
        <v>85</v>
      </c>
    </row>
    <row r="39" spans="1:16" hidden="1" x14ac:dyDescent="0.25">
      <c r="A39" t="s">
        <v>799</v>
      </c>
      <c r="B39" t="s">
        <v>304</v>
      </c>
      <c r="C39" t="s">
        <v>305</v>
      </c>
      <c r="D39" t="s">
        <v>460</v>
      </c>
      <c r="E39" t="s">
        <v>76</v>
      </c>
      <c r="F39" t="s">
        <v>1088</v>
      </c>
      <c r="G39" t="s">
        <v>442</v>
      </c>
      <c r="H39">
        <v>220</v>
      </c>
      <c r="I39" t="s">
        <v>1096</v>
      </c>
      <c r="J39">
        <v>5513</v>
      </c>
      <c r="K39" t="s">
        <v>111</v>
      </c>
      <c r="L39">
        <v>55</v>
      </c>
      <c r="M39" t="s">
        <v>2219</v>
      </c>
      <c r="N39" t="s">
        <v>131</v>
      </c>
      <c r="O39" t="s">
        <v>549</v>
      </c>
      <c r="P39" t="s">
        <v>85</v>
      </c>
    </row>
    <row r="40" spans="1:16" hidden="1" x14ac:dyDescent="0.25">
      <c r="A40" t="s">
        <v>799</v>
      </c>
      <c r="B40" t="s">
        <v>304</v>
      </c>
      <c r="C40" t="s">
        <v>305</v>
      </c>
      <c r="D40" t="s">
        <v>460</v>
      </c>
      <c r="E40" t="s">
        <v>76</v>
      </c>
      <c r="F40" t="s">
        <v>1088</v>
      </c>
      <c r="G40" t="s">
        <v>409</v>
      </c>
      <c r="H40">
        <v>350</v>
      </c>
      <c r="I40" t="s">
        <v>1094</v>
      </c>
      <c r="J40">
        <v>5504</v>
      </c>
      <c r="K40" t="s">
        <v>102</v>
      </c>
      <c r="L40">
        <v>55</v>
      </c>
      <c r="M40" t="s">
        <v>2219</v>
      </c>
      <c r="N40" t="s">
        <v>131</v>
      </c>
      <c r="O40" t="s">
        <v>549</v>
      </c>
      <c r="P40" t="s">
        <v>85</v>
      </c>
    </row>
    <row r="41" spans="1:16" hidden="1" x14ac:dyDescent="0.25">
      <c r="A41" t="s">
        <v>799</v>
      </c>
      <c r="B41" t="s">
        <v>304</v>
      </c>
      <c r="C41" t="s">
        <v>305</v>
      </c>
      <c r="D41" t="s">
        <v>460</v>
      </c>
      <c r="E41" t="s">
        <v>76</v>
      </c>
      <c r="F41" t="s">
        <v>1088</v>
      </c>
      <c r="G41" t="s">
        <v>457</v>
      </c>
      <c r="H41">
        <v>1200</v>
      </c>
      <c r="I41" t="s">
        <v>1093</v>
      </c>
      <c r="J41">
        <v>5500</v>
      </c>
      <c r="K41" t="s">
        <v>100</v>
      </c>
      <c r="L41">
        <v>55</v>
      </c>
      <c r="M41" t="s">
        <v>2219</v>
      </c>
      <c r="N41" t="s">
        <v>131</v>
      </c>
      <c r="O41" t="s">
        <v>549</v>
      </c>
      <c r="P41" t="s">
        <v>85</v>
      </c>
    </row>
    <row r="42" spans="1:16" hidden="1" x14ac:dyDescent="0.25">
      <c r="A42" t="s">
        <v>799</v>
      </c>
      <c r="B42" t="s">
        <v>304</v>
      </c>
      <c r="C42" t="s">
        <v>305</v>
      </c>
      <c r="D42" t="s">
        <v>460</v>
      </c>
      <c r="E42" t="s">
        <v>76</v>
      </c>
      <c r="F42" t="s">
        <v>1088</v>
      </c>
      <c r="G42" t="s">
        <v>1091</v>
      </c>
      <c r="H42">
        <v>500</v>
      </c>
      <c r="I42" t="s">
        <v>1092</v>
      </c>
      <c r="J42">
        <v>5500</v>
      </c>
      <c r="K42" t="s">
        <v>100</v>
      </c>
      <c r="L42">
        <v>55</v>
      </c>
      <c r="M42" t="s">
        <v>2219</v>
      </c>
      <c r="N42" t="s">
        <v>131</v>
      </c>
      <c r="O42" t="s">
        <v>549</v>
      </c>
      <c r="P42" t="s">
        <v>85</v>
      </c>
    </row>
    <row r="43" spans="1:16" hidden="1" x14ac:dyDescent="0.25">
      <c r="A43" t="s">
        <v>799</v>
      </c>
      <c r="B43" t="s">
        <v>304</v>
      </c>
      <c r="C43" t="s">
        <v>305</v>
      </c>
      <c r="D43" t="s">
        <v>460</v>
      </c>
      <c r="E43" t="s">
        <v>76</v>
      </c>
      <c r="F43" t="s">
        <v>1088</v>
      </c>
      <c r="G43" t="s">
        <v>1089</v>
      </c>
      <c r="H43">
        <v>320</v>
      </c>
      <c r="I43" t="s">
        <v>1090</v>
      </c>
      <c r="J43">
        <v>5500</v>
      </c>
      <c r="K43" t="s">
        <v>100</v>
      </c>
      <c r="L43">
        <v>55</v>
      </c>
      <c r="M43" t="s">
        <v>2219</v>
      </c>
      <c r="N43" t="s">
        <v>131</v>
      </c>
      <c r="O43" t="s">
        <v>549</v>
      </c>
      <c r="P43" t="s">
        <v>85</v>
      </c>
    </row>
    <row r="44" spans="1:16" hidden="1" x14ac:dyDescent="0.25">
      <c r="A44" t="s">
        <v>799</v>
      </c>
      <c r="B44" t="s">
        <v>304</v>
      </c>
      <c r="C44" t="s">
        <v>305</v>
      </c>
      <c r="D44" t="s">
        <v>460</v>
      </c>
      <c r="E44" t="s">
        <v>76</v>
      </c>
      <c r="F44" t="s">
        <v>1088</v>
      </c>
      <c r="G44" t="s">
        <v>1095</v>
      </c>
      <c r="H44">
        <v>400</v>
      </c>
      <c r="J44">
        <v>5511</v>
      </c>
      <c r="K44" t="s">
        <v>106</v>
      </c>
      <c r="L44">
        <v>55</v>
      </c>
      <c r="M44" t="s">
        <v>2219</v>
      </c>
      <c r="N44" t="s">
        <v>131</v>
      </c>
      <c r="O44" t="s">
        <v>549</v>
      </c>
      <c r="P44" t="s">
        <v>85</v>
      </c>
    </row>
    <row r="45" spans="1:16" hidden="1" x14ac:dyDescent="0.25">
      <c r="A45" t="s">
        <v>799</v>
      </c>
      <c r="B45" t="s">
        <v>302</v>
      </c>
      <c r="C45" t="s">
        <v>303</v>
      </c>
      <c r="D45" t="s">
        <v>460</v>
      </c>
      <c r="E45" t="s">
        <v>76</v>
      </c>
      <c r="F45" t="s">
        <v>1672</v>
      </c>
      <c r="G45" t="s">
        <v>2197</v>
      </c>
      <c r="H45">
        <v>850</v>
      </c>
      <c r="J45">
        <v>5511</v>
      </c>
      <c r="K45" t="s">
        <v>106</v>
      </c>
      <c r="L45">
        <v>55</v>
      </c>
      <c r="M45" t="s">
        <v>2219</v>
      </c>
      <c r="N45" t="s">
        <v>131</v>
      </c>
      <c r="O45" t="s">
        <v>549</v>
      </c>
      <c r="P45" t="s">
        <v>85</v>
      </c>
    </row>
    <row r="46" spans="1:16" hidden="1" x14ac:dyDescent="0.25">
      <c r="A46" t="s">
        <v>799</v>
      </c>
      <c r="B46" t="s">
        <v>302</v>
      </c>
      <c r="C46" t="s">
        <v>303</v>
      </c>
      <c r="D46" t="s">
        <v>460</v>
      </c>
      <c r="E46" t="s">
        <v>76</v>
      </c>
      <c r="F46" t="s">
        <v>1672</v>
      </c>
      <c r="G46" t="s">
        <v>1982</v>
      </c>
      <c r="H46">
        <v>150</v>
      </c>
      <c r="J46">
        <v>5511</v>
      </c>
      <c r="K46" t="s">
        <v>106</v>
      </c>
      <c r="L46">
        <v>55</v>
      </c>
      <c r="M46" t="s">
        <v>2219</v>
      </c>
      <c r="N46" t="s">
        <v>131</v>
      </c>
      <c r="O46" t="s">
        <v>549</v>
      </c>
      <c r="P46" t="s">
        <v>85</v>
      </c>
    </row>
    <row r="47" spans="1:16" hidden="1" x14ac:dyDescent="0.25">
      <c r="A47" t="s">
        <v>799</v>
      </c>
      <c r="B47" t="s">
        <v>302</v>
      </c>
      <c r="C47" t="s">
        <v>303</v>
      </c>
      <c r="D47" t="s">
        <v>460</v>
      </c>
      <c r="E47" t="s">
        <v>76</v>
      </c>
      <c r="F47" t="s">
        <v>1672</v>
      </c>
      <c r="G47" t="s">
        <v>1978</v>
      </c>
      <c r="H47">
        <v>135</v>
      </c>
      <c r="J47">
        <v>5511</v>
      </c>
      <c r="K47" t="s">
        <v>106</v>
      </c>
      <c r="L47">
        <v>55</v>
      </c>
      <c r="M47" t="s">
        <v>2219</v>
      </c>
      <c r="N47" t="s">
        <v>131</v>
      </c>
      <c r="O47" t="s">
        <v>549</v>
      </c>
      <c r="P47" t="s">
        <v>85</v>
      </c>
    </row>
    <row r="48" spans="1:16" hidden="1" x14ac:dyDescent="0.25">
      <c r="A48" t="s">
        <v>799</v>
      </c>
      <c r="B48" t="s">
        <v>302</v>
      </c>
      <c r="C48" t="s">
        <v>303</v>
      </c>
      <c r="D48" t="s">
        <v>460</v>
      </c>
      <c r="E48" t="s">
        <v>76</v>
      </c>
      <c r="F48" t="s">
        <v>1672</v>
      </c>
      <c r="G48" t="s">
        <v>1677</v>
      </c>
      <c r="H48">
        <v>240</v>
      </c>
      <c r="J48">
        <v>5514</v>
      </c>
      <c r="K48" t="s">
        <v>110</v>
      </c>
      <c r="L48">
        <v>55</v>
      </c>
      <c r="M48" t="s">
        <v>2219</v>
      </c>
      <c r="N48" t="s">
        <v>131</v>
      </c>
      <c r="O48" t="s">
        <v>549</v>
      </c>
      <c r="P48" t="s">
        <v>85</v>
      </c>
    </row>
    <row r="49" spans="1:16" hidden="1" x14ac:dyDescent="0.25">
      <c r="A49" t="s">
        <v>799</v>
      </c>
      <c r="B49" t="s">
        <v>302</v>
      </c>
      <c r="C49" t="s">
        <v>303</v>
      </c>
      <c r="D49" t="s">
        <v>460</v>
      </c>
      <c r="E49" t="s">
        <v>76</v>
      </c>
      <c r="F49" t="s">
        <v>1672</v>
      </c>
      <c r="G49" t="s">
        <v>1676</v>
      </c>
      <c r="H49">
        <v>30</v>
      </c>
      <c r="J49">
        <v>5500</v>
      </c>
      <c r="K49" t="s">
        <v>100</v>
      </c>
      <c r="L49">
        <v>55</v>
      </c>
      <c r="M49" t="s">
        <v>2219</v>
      </c>
      <c r="N49" t="s">
        <v>131</v>
      </c>
      <c r="O49" t="s">
        <v>549</v>
      </c>
      <c r="P49" t="s">
        <v>85</v>
      </c>
    </row>
    <row r="50" spans="1:16" hidden="1" x14ac:dyDescent="0.25">
      <c r="A50" t="s">
        <v>799</v>
      </c>
      <c r="B50" t="s">
        <v>302</v>
      </c>
      <c r="C50" t="s">
        <v>303</v>
      </c>
      <c r="D50" t="s">
        <v>460</v>
      </c>
      <c r="E50" t="s">
        <v>76</v>
      </c>
      <c r="F50" t="s">
        <v>1672</v>
      </c>
      <c r="G50" t="s">
        <v>176</v>
      </c>
      <c r="H50">
        <v>30</v>
      </c>
      <c r="J50">
        <v>5504</v>
      </c>
      <c r="K50" t="s">
        <v>102</v>
      </c>
      <c r="L50">
        <v>55</v>
      </c>
      <c r="M50" t="s">
        <v>2219</v>
      </c>
      <c r="N50" t="s">
        <v>131</v>
      </c>
      <c r="O50" t="s">
        <v>549</v>
      </c>
      <c r="P50" t="s">
        <v>85</v>
      </c>
    </row>
    <row r="51" spans="1:16" hidden="1" x14ac:dyDescent="0.25">
      <c r="A51" t="s">
        <v>799</v>
      </c>
      <c r="B51" t="s">
        <v>302</v>
      </c>
      <c r="C51" t="s">
        <v>303</v>
      </c>
      <c r="D51" t="s">
        <v>460</v>
      </c>
      <c r="E51" t="s">
        <v>76</v>
      </c>
      <c r="F51" t="s">
        <v>1672</v>
      </c>
      <c r="G51" t="s">
        <v>456</v>
      </c>
      <c r="H51">
        <v>1570</v>
      </c>
      <c r="J51">
        <v>5523</v>
      </c>
      <c r="K51" t="s">
        <v>116</v>
      </c>
      <c r="L51">
        <v>55</v>
      </c>
      <c r="M51" t="s">
        <v>2219</v>
      </c>
      <c r="N51" t="s">
        <v>131</v>
      </c>
      <c r="O51" t="s">
        <v>549</v>
      </c>
      <c r="P51" t="s">
        <v>85</v>
      </c>
    </row>
    <row r="52" spans="1:16" hidden="1" x14ac:dyDescent="0.25">
      <c r="A52" t="s">
        <v>799</v>
      </c>
      <c r="B52" t="s">
        <v>302</v>
      </c>
      <c r="C52" t="s">
        <v>303</v>
      </c>
      <c r="D52" t="s">
        <v>460</v>
      </c>
      <c r="E52" t="s">
        <v>76</v>
      </c>
      <c r="F52" t="s">
        <v>1672</v>
      </c>
      <c r="G52" t="s">
        <v>457</v>
      </c>
      <c r="H52">
        <v>500</v>
      </c>
      <c r="I52" t="s">
        <v>1675</v>
      </c>
      <c r="J52">
        <v>5500</v>
      </c>
      <c r="K52" t="s">
        <v>100</v>
      </c>
      <c r="L52">
        <v>55</v>
      </c>
      <c r="M52" t="s">
        <v>2219</v>
      </c>
      <c r="N52" t="s">
        <v>131</v>
      </c>
      <c r="O52" t="s">
        <v>549</v>
      </c>
      <c r="P52" t="s">
        <v>85</v>
      </c>
    </row>
    <row r="53" spans="1:16" hidden="1" x14ac:dyDescent="0.25">
      <c r="A53" t="s">
        <v>799</v>
      </c>
      <c r="B53" t="s">
        <v>302</v>
      </c>
      <c r="C53" t="s">
        <v>303</v>
      </c>
      <c r="D53" t="s">
        <v>460</v>
      </c>
      <c r="E53" t="s">
        <v>76</v>
      </c>
      <c r="F53" t="s">
        <v>1672</v>
      </c>
      <c r="G53" t="s">
        <v>1144</v>
      </c>
      <c r="H53">
        <v>660</v>
      </c>
      <c r="I53" t="s">
        <v>1674</v>
      </c>
      <c r="J53">
        <v>5500</v>
      </c>
      <c r="K53" t="s">
        <v>100</v>
      </c>
      <c r="L53">
        <v>55</v>
      </c>
      <c r="M53" t="s">
        <v>2219</v>
      </c>
      <c r="N53" t="s">
        <v>131</v>
      </c>
      <c r="O53" t="s">
        <v>549</v>
      </c>
      <c r="P53" t="s">
        <v>85</v>
      </c>
    </row>
    <row r="54" spans="1:16" hidden="1" x14ac:dyDescent="0.25">
      <c r="A54" t="s">
        <v>799</v>
      </c>
      <c r="B54" t="s">
        <v>300</v>
      </c>
      <c r="C54" t="s">
        <v>301</v>
      </c>
      <c r="D54" t="s">
        <v>460</v>
      </c>
      <c r="E54" t="s">
        <v>76</v>
      </c>
      <c r="F54" t="s">
        <v>450</v>
      </c>
      <c r="G54" t="s">
        <v>194</v>
      </c>
      <c r="H54">
        <v>100</v>
      </c>
      <c r="I54" t="s">
        <v>2153</v>
      </c>
      <c r="J54">
        <v>5511</v>
      </c>
      <c r="K54" t="s">
        <v>106</v>
      </c>
      <c r="L54">
        <v>55</v>
      </c>
      <c r="M54" t="s">
        <v>2219</v>
      </c>
      <c r="N54" t="s">
        <v>131</v>
      </c>
      <c r="O54" t="s">
        <v>549</v>
      </c>
      <c r="P54" t="s">
        <v>85</v>
      </c>
    </row>
    <row r="55" spans="1:16" hidden="1" x14ac:dyDescent="0.25">
      <c r="A55" t="s">
        <v>799</v>
      </c>
      <c r="B55" t="s">
        <v>300</v>
      </c>
      <c r="C55" t="s">
        <v>301</v>
      </c>
      <c r="D55" t="s">
        <v>460</v>
      </c>
      <c r="E55" t="s">
        <v>76</v>
      </c>
      <c r="F55" t="s">
        <v>450</v>
      </c>
      <c r="G55" t="s">
        <v>2152</v>
      </c>
      <c r="H55">
        <v>500</v>
      </c>
      <c r="J55">
        <v>5511</v>
      </c>
      <c r="K55" t="s">
        <v>106</v>
      </c>
      <c r="L55">
        <v>55</v>
      </c>
      <c r="M55" t="s">
        <v>2219</v>
      </c>
      <c r="N55" t="s">
        <v>131</v>
      </c>
      <c r="O55" t="s">
        <v>549</v>
      </c>
      <c r="P55" t="s">
        <v>85</v>
      </c>
    </row>
    <row r="56" spans="1:16" hidden="1" x14ac:dyDescent="0.25">
      <c r="A56" t="s">
        <v>799</v>
      </c>
      <c r="B56" t="s">
        <v>300</v>
      </c>
      <c r="C56" t="s">
        <v>301</v>
      </c>
      <c r="D56" t="s">
        <v>460</v>
      </c>
      <c r="E56" t="s">
        <v>76</v>
      </c>
      <c r="F56" t="s">
        <v>450</v>
      </c>
      <c r="G56" t="s">
        <v>453</v>
      </c>
      <c r="H56">
        <v>200</v>
      </c>
      <c r="I56" t="s">
        <v>463</v>
      </c>
      <c r="J56">
        <v>5514</v>
      </c>
      <c r="K56" t="s">
        <v>110</v>
      </c>
      <c r="L56">
        <v>55</v>
      </c>
      <c r="M56" t="s">
        <v>2219</v>
      </c>
      <c r="N56" t="s">
        <v>131</v>
      </c>
      <c r="O56" t="s">
        <v>549</v>
      </c>
      <c r="P56" t="s">
        <v>85</v>
      </c>
    </row>
    <row r="57" spans="1:16" hidden="1" x14ac:dyDescent="0.25">
      <c r="A57" t="s">
        <v>799</v>
      </c>
      <c r="B57" t="s">
        <v>300</v>
      </c>
      <c r="C57" t="s">
        <v>301</v>
      </c>
      <c r="D57" t="s">
        <v>460</v>
      </c>
      <c r="E57" t="s">
        <v>76</v>
      </c>
      <c r="F57" t="s">
        <v>450</v>
      </c>
      <c r="G57" t="s">
        <v>452</v>
      </c>
      <c r="H57">
        <v>240</v>
      </c>
      <c r="J57">
        <v>5514</v>
      </c>
      <c r="K57" t="s">
        <v>110</v>
      </c>
      <c r="L57">
        <v>55</v>
      </c>
      <c r="M57" t="s">
        <v>2219</v>
      </c>
      <c r="N57" t="s">
        <v>131</v>
      </c>
      <c r="O57" t="s">
        <v>549</v>
      </c>
      <c r="P57" t="s">
        <v>85</v>
      </c>
    </row>
    <row r="58" spans="1:16" hidden="1" x14ac:dyDescent="0.25">
      <c r="A58" t="s">
        <v>799</v>
      </c>
      <c r="B58" t="s">
        <v>300</v>
      </c>
      <c r="C58" t="s">
        <v>301</v>
      </c>
      <c r="D58" t="s">
        <v>460</v>
      </c>
      <c r="E58" t="s">
        <v>76</v>
      </c>
      <c r="F58" t="s">
        <v>450</v>
      </c>
      <c r="G58" t="s">
        <v>459</v>
      </c>
      <c r="H58">
        <v>170</v>
      </c>
      <c r="J58">
        <v>5525</v>
      </c>
      <c r="K58" t="s">
        <v>118</v>
      </c>
      <c r="L58">
        <v>55</v>
      </c>
      <c r="M58" t="s">
        <v>2219</v>
      </c>
      <c r="N58" t="s">
        <v>131</v>
      </c>
      <c r="O58" t="s">
        <v>549</v>
      </c>
      <c r="P58" t="s">
        <v>85</v>
      </c>
    </row>
    <row r="59" spans="1:16" hidden="1" x14ac:dyDescent="0.25">
      <c r="A59" t="s">
        <v>799</v>
      </c>
      <c r="B59" t="s">
        <v>300</v>
      </c>
      <c r="C59" t="s">
        <v>301</v>
      </c>
      <c r="D59" t="s">
        <v>460</v>
      </c>
      <c r="E59" t="s">
        <v>76</v>
      </c>
      <c r="F59" t="s">
        <v>450</v>
      </c>
      <c r="G59" t="s">
        <v>458</v>
      </c>
      <c r="H59">
        <v>170</v>
      </c>
      <c r="J59">
        <v>5525</v>
      </c>
      <c r="K59" t="s">
        <v>118</v>
      </c>
      <c r="L59">
        <v>55</v>
      </c>
      <c r="M59" t="s">
        <v>2219</v>
      </c>
      <c r="N59" t="s">
        <v>131</v>
      </c>
      <c r="O59" t="s">
        <v>549</v>
      </c>
      <c r="P59" t="s">
        <v>85</v>
      </c>
    </row>
    <row r="60" spans="1:16" hidden="1" x14ac:dyDescent="0.25">
      <c r="A60" t="s">
        <v>799</v>
      </c>
      <c r="B60" t="s">
        <v>300</v>
      </c>
      <c r="C60" t="s">
        <v>301</v>
      </c>
      <c r="D60" t="s">
        <v>460</v>
      </c>
      <c r="E60" t="s">
        <v>76</v>
      </c>
      <c r="F60" t="s">
        <v>450</v>
      </c>
      <c r="G60" t="s">
        <v>457</v>
      </c>
      <c r="H60">
        <v>1000</v>
      </c>
      <c r="J60">
        <v>5500</v>
      </c>
      <c r="K60" t="s">
        <v>100</v>
      </c>
      <c r="L60">
        <v>55</v>
      </c>
      <c r="M60" t="s">
        <v>2219</v>
      </c>
      <c r="N60" t="s">
        <v>131</v>
      </c>
      <c r="O60" t="s">
        <v>549</v>
      </c>
      <c r="P60" t="s">
        <v>85</v>
      </c>
    </row>
    <row r="61" spans="1:16" hidden="1" x14ac:dyDescent="0.25">
      <c r="A61" t="s">
        <v>799</v>
      </c>
      <c r="B61" t="s">
        <v>300</v>
      </c>
      <c r="C61" t="s">
        <v>301</v>
      </c>
      <c r="D61" t="s">
        <v>460</v>
      </c>
      <c r="E61" t="s">
        <v>76</v>
      </c>
      <c r="F61" t="s">
        <v>450</v>
      </c>
      <c r="G61" t="s">
        <v>456</v>
      </c>
      <c r="H61">
        <v>4000</v>
      </c>
      <c r="J61">
        <v>5523</v>
      </c>
      <c r="K61" t="s">
        <v>116</v>
      </c>
      <c r="L61">
        <v>55</v>
      </c>
      <c r="M61" t="s">
        <v>2219</v>
      </c>
      <c r="N61" t="s">
        <v>131</v>
      </c>
      <c r="O61" t="s">
        <v>549</v>
      </c>
      <c r="P61" t="s">
        <v>85</v>
      </c>
    </row>
    <row r="62" spans="1:16" hidden="1" x14ac:dyDescent="0.25">
      <c r="A62" t="s">
        <v>799</v>
      </c>
      <c r="B62" t="s">
        <v>300</v>
      </c>
      <c r="C62" t="s">
        <v>301</v>
      </c>
      <c r="D62" t="s">
        <v>460</v>
      </c>
      <c r="E62" t="s">
        <v>76</v>
      </c>
      <c r="F62" t="s">
        <v>450</v>
      </c>
      <c r="G62" t="s">
        <v>455</v>
      </c>
      <c r="H62">
        <v>200</v>
      </c>
      <c r="I62" t="s">
        <v>463</v>
      </c>
      <c r="J62">
        <v>5515</v>
      </c>
      <c r="K62" t="s">
        <v>112</v>
      </c>
      <c r="L62">
        <v>55</v>
      </c>
      <c r="M62" t="s">
        <v>2219</v>
      </c>
      <c r="N62" t="s">
        <v>131</v>
      </c>
      <c r="O62" t="s">
        <v>549</v>
      </c>
      <c r="P62" t="s">
        <v>85</v>
      </c>
    </row>
    <row r="63" spans="1:16" hidden="1" x14ac:dyDescent="0.25">
      <c r="A63" t="s">
        <v>799</v>
      </c>
      <c r="B63" t="s">
        <v>300</v>
      </c>
      <c r="C63" t="s">
        <v>301</v>
      </c>
      <c r="D63" t="s">
        <v>460</v>
      </c>
      <c r="E63" t="s">
        <v>76</v>
      </c>
      <c r="F63" t="s">
        <v>450</v>
      </c>
      <c r="G63" t="s">
        <v>454</v>
      </c>
      <c r="H63">
        <v>150</v>
      </c>
      <c r="I63" t="s">
        <v>463</v>
      </c>
      <c r="J63">
        <v>5515</v>
      </c>
      <c r="K63" t="s">
        <v>112</v>
      </c>
      <c r="L63">
        <v>55</v>
      </c>
      <c r="M63" t="s">
        <v>2219</v>
      </c>
      <c r="N63" t="s">
        <v>131</v>
      </c>
      <c r="O63" t="s">
        <v>549</v>
      </c>
      <c r="P63" t="s">
        <v>85</v>
      </c>
    </row>
    <row r="64" spans="1:16" hidden="1" x14ac:dyDescent="0.25">
      <c r="A64" t="s">
        <v>799</v>
      </c>
      <c r="B64" t="s">
        <v>300</v>
      </c>
      <c r="C64" t="s">
        <v>301</v>
      </c>
      <c r="D64" t="s">
        <v>460</v>
      </c>
      <c r="E64" t="s">
        <v>76</v>
      </c>
      <c r="F64" t="s">
        <v>450</v>
      </c>
      <c r="G64" t="s">
        <v>102</v>
      </c>
      <c r="H64">
        <v>350</v>
      </c>
      <c r="J64">
        <v>5504</v>
      </c>
      <c r="K64" t="s">
        <v>102</v>
      </c>
      <c r="L64">
        <v>55</v>
      </c>
      <c r="M64" t="s">
        <v>2219</v>
      </c>
      <c r="N64" t="s">
        <v>131</v>
      </c>
      <c r="O64" t="s">
        <v>549</v>
      </c>
      <c r="P64" t="s">
        <v>85</v>
      </c>
    </row>
    <row r="65" spans="1:16" hidden="1" x14ac:dyDescent="0.25">
      <c r="A65" t="s">
        <v>799</v>
      </c>
      <c r="B65" t="s">
        <v>300</v>
      </c>
      <c r="C65" t="s">
        <v>301</v>
      </c>
      <c r="D65" t="s">
        <v>460</v>
      </c>
      <c r="E65" t="s">
        <v>76</v>
      </c>
      <c r="F65" t="s">
        <v>450</v>
      </c>
      <c r="G65" t="s">
        <v>451</v>
      </c>
      <c r="H65">
        <v>120</v>
      </c>
      <c r="J65">
        <v>5500</v>
      </c>
      <c r="K65" t="s">
        <v>100</v>
      </c>
      <c r="L65">
        <v>55</v>
      </c>
      <c r="M65" t="s">
        <v>2219</v>
      </c>
      <c r="N65" t="s">
        <v>131</v>
      </c>
      <c r="O65" t="s">
        <v>549</v>
      </c>
      <c r="P65" t="s">
        <v>85</v>
      </c>
    </row>
    <row r="66" spans="1:16" hidden="1" x14ac:dyDescent="0.25">
      <c r="A66" t="s">
        <v>799</v>
      </c>
      <c r="B66" t="s">
        <v>298</v>
      </c>
      <c r="C66" t="s">
        <v>299</v>
      </c>
      <c r="D66" t="s">
        <v>460</v>
      </c>
      <c r="E66" t="s">
        <v>76</v>
      </c>
      <c r="F66" t="s">
        <v>1083</v>
      </c>
      <c r="G66" t="s">
        <v>1085</v>
      </c>
      <c r="H66">
        <v>400</v>
      </c>
      <c r="I66" t="s">
        <v>1086</v>
      </c>
      <c r="J66">
        <v>5514</v>
      </c>
      <c r="K66" t="s">
        <v>110</v>
      </c>
      <c r="L66">
        <v>55</v>
      </c>
      <c r="M66" t="s">
        <v>2219</v>
      </c>
      <c r="N66" t="s">
        <v>131</v>
      </c>
      <c r="O66" t="s">
        <v>549</v>
      </c>
      <c r="P66" t="s">
        <v>85</v>
      </c>
    </row>
    <row r="67" spans="1:16" hidden="1" x14ac:dyDescent="0.25">
      <c r="A67" t="s">
        <v>799</v>
      </c>
      <c r="B67" t="s">
        <v>298</v>
      </c>
      <c r="C67" t="s">
        <v>299</v>
      </c>
      <c r="D67" t="s">
        <v>460</v>
      </c>
      <c r="E67" t="s">
        <v>76</v>
      </c>
      <c r="F67" t="s">
        <v>1083</v>
      </c>
      <c r="G67" t="s">
        <v>1580</v>
      </c>
      <c r="H67">
        <v>240</v>
      </c>
      <c r="J67">
        <v>5514</v>
      </c>
      <c r="K67" t="s">
        <v>110</v>
      </c>
      <c r="L67">
        <v>55</v>
      </c>
      <c r="M67" t="s">
        <v>2219</v>
      </c>
      <c r="N67" t="s">
        <v>131</v>
      </c>
      <c r="O67" t="s">
        <v>549</v>
      </c>
      <c r="P67" t="s">
        <v>85</v>
      </c>
    </row>
    <row r="68" spans="1:16" hidden="1" x14ac:dyDescent="0.25">
      <c r="A68" t="s">
        <v>799</v>
      </c>
      <c r="B68" t="s">
        <v>298</v>
      </c>
      <c r="C68" t="s">
        <v>299</v>
      </c>
      <c r="D68" t="s">
        <v>460</v>
      </c>
      <c r="E68" t="s">
        <v>76</v>
      </c>
      <c r="F68" t="s">
        <v>1083</v>
      </c>
      <c r="G68" t="s">
        <v>1583</v>
      </c>
      <c r="H68">
        <v>100</v>
      </c>
      <c r="I68" t="s">
        <v>1584</v>
      </c>
      <c r="J68">
        <v>5500</v>
      </c>
      <c r="K68" t="s">
        <v>100</v>
      </c>
      <c r="L68">
        <v>55</v>
      </c>
      <c r="M68" t="s">
        <v>2219</v>
      </c>
      <c r="N68" t="s">
        <v>131</v>
      </c>
      <c r="O68" t="s">
        <v>549</v>
      </c>
      <c r="P68" t="s">
        <v>85</v>
      </c>
    </row>
    <row r="69" spans="1:16" hidden="1" x14ac:dyDescent="0.25">
      <c r="A69" t="s">
        <v>799</v>
      </c>
      <c r="B69" t="s">
        <v>298</v>
      </c>
      <c r="C69" t="s">
        <v>299</v>
      </c>
      <c r="D69" t="s">
        <v>460</v>
      </c>
      <c r="E69" t="s">
        <v>76</v>
      </c>
      <c r="F69" t="s">
        <v>1083</v>
      </c>
      <c r="G69" t="s">
        <v>1582</v>
      </c>
      <c r="H69">
        <v>300</v>
      </c>
      <c r="J69">
        <v>5525</v>
      </c>
      <c r="K69" t="s">
        <v>118</v>
      </c>
      <c r="L69">
        <v>55</v>
      </c>
      <c r="M69" t="s">
        <v>2219</v>
      </c>
      <c r="N69" t="s">
        <v>131</v>
      </c>
      <c r="O69" t="s">
        <v>549</v>
      </c>
      <c r="P69" t="s">
        <v>85</v>
      </c>
    </row>
    <row r="70" spans="1:16" hidden="1" x14ac:dyDescent="0.25">
      <c r="A70" t="s">
        <v>799</v>
      </c>
      <c r="B70" t="s">
        <v>298</v>
      </c>
      <c r="C70" t="s">
        <v>299</v>
      </c>
      <c r="D70" t="s">
        <v>460</v>
      </c>
      <c r="E70" t="s">
        <v>76</v>
      </c>
      <c r="F70" t="s">
        <v>1083</v>
      </c>
      <c r="G70" t="s">
        <v>1581</v>
      </c>
      <c r="H70">
        <v>2000</v>
      </c>
      <c r="J70">
        <v>5523</v>
      </c>
      <c r="K70" t="s">
        <v>116</v>
      </c>
      <c r="L70">
        <v>55</v>
      </c>
      <c r="M70" t="s">
        <v>2219</v>
      </c>
      <c r="N70" t="s">
        <v>131</v>
      </c>
      <c r="O70" t="s">
        <v>549</v>
      </c>
      <c r="P70" t="s">
        <v>85</v>
      </c>
    </row>
    <row r="71" spans="1:16" hidden="1" x14ac:dyDescent="0.25">
      <c r="A71" t="s">
        <v>799</v>
      </c>
      <c r="B71" t="s">
        <v>298</v>
      </c>
      <c r="C71" t="s">
        <v>299</v>
      </c>
      <c r="D71" t="s">
        <v>460</v>
      </c>
      <c r="E71" t="s">
        <v>76</v>
      </c>
      <c r="F71" t="s">
        <v>1083</v>
      </c>
      <c r="G71" t="s">
        <v>1521</v>
      </c>
      <c r="H71">
        <v>50</v>
      </c>
      <c r="J71">
        <v>5504</v>
      </c>
      <c r="K71" t="s">
        <v>102</v>
      </c>
      <c r="L71">
        <v>55</v>
      </c>
      <c r="M71" t="s">
        <v>2219</v>
      </c>
      <c r="N71" t="s">
        <v>131</v>
      </c>
      <c r="O71" t="s">
        <v>549</v>
      </c>
      <c r="P71" t="s">
        <v>85</v>
      </c>
    </row>
    <row r="72" spans="1:16" hidden="1" x14ac:dyDescent="0.25">
      <c r="A72" t="s">
        <v>799</v>
      </c>
      <c r="B72" t="s">
        <v>298</v>
      </c>
      <c r="C72" t="s">
        <v>299</v>
      </c>
      <c r="D72" t="s">
        <v>460</v>
      </c>
      <c r="E72" t="s">
        <v>76</v>
      </c>
      <c r="F72" t="s">
        <v>1083</v>
      </c>
      <c r="G72" t="s">
        <v>1578</v>
      </c>
      <c r="H72">
        <v>1380</v>
      </c>
      <c r="J72">
        <v>5500</v>
      </c>
      <c r="K72" t="s">
        <v>100</v>
      </c>
      <c r="L72">
        <v>55</v>
      </c>
      <c r="M72" t="s">
        <v>2219</v>
      </c>
      <c r="N72" t="s">
        <v>131</v>
      </c>
      <c r="O72" t="s">
        <v>549</v>
      </c>
      <c r="P72" t="s">
        <v>85</v>
      </c>
    </row>
    <row r="73" spans="1:16" hidden="1" x14ac:dyDescent="0.25">
      <c r="A73" t="s">
        <v>799</v>
      </c>
      <c r="B73" t="s">
        <v>298</v>
      </c>
      <c r="C73" t="s">
        <v>299</v>
      </c>
      <c r="D73" t="s">
        <v>460</v>
      </c>
      <c r="E73" t="s">
        <v>76</v>
      </c>
      <c r="F73" t="s">
        <v>1083</v>
      </c>
      <c r="G73" t="s">
        <v>1579</v>
      </c>
      <c r="H73">
        <v>80</v>
      </c>
      <c r="J73">
        <v>5511</v>
      </c>
      <c r="K73" t="s">
        <v>106</v>
      </c>
      <c r="L73">
        <v>55</v>
      </c>
      <c r="M73" t="s">
        <v>2219</v>
      </c>
      <c r="N73" t="s">
        <v>131</v>
      </c>
      <c r="O73" t="s">
        <v>549</v>
      </c>
      <c r="P73" t="s">
        <v>85</v>
      </c>
    </row>
    <row r="74" spans="1:16" x14ac:dyDescent="0.25">
      <c r="A74" t="s">
        <v>799</v>
      </c>
      <c r="B74" t="s">
        <v>298</v>
      </c>
      <c r="C74" t="s">
        <v>299</v>
      </c>
      <c r="D74" t="s">
        <v>460</v>
      </c>
      <c r="E74" t="s">
        <v>76</v>
      </c>
      <c r="F74" t="s">
        <v>841</v>
      </c>
      <c r="G74" t="s">
        <v>1867</v>
      </c>
      <c r="H74">
        <v>148000</v>
      </c>
      <c r="J74">
        <v>1551</v>
      </c>
      <c r="K74" t="s">
        <v>92</v>
      </c>
      <c r="L74">
        <v>15</v>
      </c>
      <c r="M74" t="s">
        <v>2220</v>
      </c>
      <c r="N74" t="s">
        <v>4</v>
      </c>
      <c r="O74" t="s">
        <v>4</v>
      </c>
      <c r="P74" t="s">
        <v>87</v>
      </c>
    </row>
    <row r="75" spans="1:16" hidden="1" x14ac:dyDescent="0.25">
      <c r="A75" t="s">
        <v>799</v>
      </c>
      <c r="B75" t="s">
        <v>296</v>
      </c>
      <c r="C75" t="s">
        <v>297</v>
      </c>
      <c r="D75" t="s">
        <v>460</v>
      </c>
      <c r="E75" t="s">
        <v>76</v>
      </c>
      <c r="F75" t="s">
        <v>1055</v>
      </c>
      <c r="G75" t="s">
        <v>1081</v>
      </c>
      <c r="H75">
        <v>300</v>
      </c>
      <c r="J75">
        <v>5515</v>
      </c>
      <c r="K75" t="s">
        <v>112</v>
      </c>
      <c r="L75">
        <v>55</v>
      </c>
      <c r="M75" t="s">
        <v>2219</v>
      </c>
      <c r="N75" t="s">
        <v>131</v>
      </c>
      <c r="O75" t="s">
        <v>549</v>
      </c>
      <c r="P75" t="s">
        <v>85</v>
      </c>
    </row>
    <row r="76" spans="1:16" hidden="1" x14ac:dyDescent="0.25">
      <c r="A76" t="s">
        <v>799</v>
      </c>
      <c r="B76" t="s">
        <v>296</v>
      </c>
      <c r="C76" t="s">
        <v>297</v>
      </c>
      <c r="D76" t="s">
        <v>460</v>
      </c>
      <c r="E76" t="s">
        <v>76</v>
      </c>
      <c r="F76" t="s">
        <v>1055</v>
      </c>
      <c r="G76" t="s">
        <v>2185</v>
      </c>
      <c r="H76">
        <v>5000</v>
      </c>
      <c r="I76" t="s">
        <v>2181</v>
      </c>
      <c r="J76">
        <v>5511</v>
      </c>
      <c r="K76" t="s">
        <v>106</v>
      </c>
      <c r="L76">
        <v>55</v>
      </c>
      <c r="M76" t="s">
        <v>2219</v>
      </c>
      <c r="N76" t="s">
        <v>131</v>
      </c>
      <c r="O76" t="s">
        <v>549</v>
      </c>
      <c r="P76" t="s">
        <v>85</v>
      </c>
    </row>
    <row r="77" spans="1:16" hidden="1" x14ac:dyDescent="0.25">
      <c r="A77" t="s">
        <v>799</v>
      </c>
      <c r="B77" t="s">
        <v>296</v>
      </c>
      <c r="C77" t="s">
        <v>297</v>
      </c>
      <c r="D77" t="s">
        <v>460</v>
      </c>
      <c r="E77" t="s">
        <v>76</v>
      </c>
      <c r="F77" t="s">
        <v>1055</v>
      </c>
      <c r="G77" t="s">
        <v>1069</v>
      </c>
      <c r="H77">
        <v>500</v>
      </c>
      <c r="J77">
        <v>5514</v>
      </c>
      <c r="K77" t="s">
        <v>110</v>
      </c>
      <c r="L77">
        <v>55</v>
      </c>
      <c r="M77" t="s">
        <v>2219</v>
      </c>
      <c r="N77" t="s">
        <v>131</v>
      </c>
      <c r="O77" t="s">
        <v>549</v>
      </c>
      <c r="P77" t="s">
        <v>85</v>
      </c>
    </row>
    <row r="78" spans="1:16" hidden="1" x14ac:dyDescent="0.25">
      <c r="A78" t="s">
        <v>799</v>
      </c>
      <c r="B78" t="s">
        <v>296</v>
      </c>
      <c r="C78" t="s">
        <v>297</v>
      </c>
      <c r="D78" t="s">
        <v>460</v>
      </c>
      <c r="E78" t="s">
        <v>76</v>
      </c>
      <c r="F78" t="s">
        <v>1055</v>
      </c>
      <c r="G78" t="s">
        <v>1067</v>
      </c>
      <c r="H78">
        <v>480</v>
      </c>
      <c r="I78" t="s">
        <v>1068</v>
      </c>
      <c r="J78">
        <v>5514</v>
      </c>
      <c r="K78" t="s">
        <v>110</v>
      </c>
      <c r="L78">
        <v>55</v>
      </c>
      <c r="M78" t="s">
        <v>2219</v>
      </c>
      <c r="N78" t="s">
        <v>131</v>
      </c>
      <c r="O78" t="s">
        <v>549</v>
      </c>
      <c r="P78" t="s">
        <v>85</v>
      </c>
    </row>
    <row r="79" spans="1:16" hidden="1" x14ac:dyDescent="0.25">
      <c r="A79" t="s">
        <v>799</v>
      </c>
      <c r="B79" t="s">
        <v>296</v>
      </c>
      <c r="C79" t="s">
        <v>297</v>
      </c>
      <c r="D79" t="s">
        <v>460</v>
      </c>
      <c r="E79" t="s">
        <v>76</v>
      </c>
      <c r="F79" t="s">
        <v>1055</v>
      </c>
      <c r="G79" t="s">
        <v>1074</v>
      </c>
      <c r="H79">
        <v>89.91</v>
      </c>
      <c r="J79">
        <v>5540</v>
      </c>
      <c r="K79" t="s">
        <v>121</v>
      </c>
      <c r="L79">
        <v>55</v>
      </c>
      <c r="M79" t="s">
        <v>2219</v>
      </c>
      <c r="N79" t="s">
        <v>131</v>
      </c>
      <c r="O79" t="s">
        <v>549</v>
      </c>
      <c r="P79" t="s">
        <v>85</v>
      </c>
    </row>
    <row r="80" spans="1:16" hidden="1" x14ac:dyDescent="0.25">
      <c r="A80" t="s">
        <v>799</v>
      </c>
      <c r="B80" t="s">
        <v>296</v>
      </c>
      <c r="C80" t="s">
        <v>297</v>
      </c>
      <c r="D80" t="s">
        <v>460</v>
      </c>
      <c r="E80" t="s">
        <v>76</v>
      </c>
      <c r="F80" t="s">
        <v>1055</v>
      </c>
      <c r="G80" t="s">
        <v>1073</v>
      </c>
      <c r="H80">
        <v>50</v>
      </c>
      <c r="J80">
        <v>5515</v>
      </c>
      <c r="K80" t="s">
        <v>112</v>
      </c>
      <c r="L80">
        <v>55</v>
      </c>
      <c r="M80" t="s">
        <v>2219</v>
      </c>
      <c r="N80" t="s">
        <v>131</v>
      </c>
      <c r="O80" t="s">
        <v>549</v>
      </c>
      <c r="P80" t="s">
        <v>85</v>
      </c>
    </row>
    <row r="81" spans="1:16" hidden="1" x14ac:dyDescent="0.25">
      <c r="A81" t="s">
        <v>799</v>
      </c>
      <c r="B81" t="s">
        <v>296</v>
      </c>
      <c r="C81" t="s">
        <v>297</v>
      </c>
      <c r="D81" t="s">
        <v>460</v>
      </c>
      <c r="E81" t="s">
        <v>76</v>
      </c>
      <c r="F81" t="s">
        <v>1055</v>
      </c>
      <c r="G81" t="s">
        <v>1072</v>
      </c>
      <c r="H81">
        <v>600</v>
      </c>
      <c r="J81">
        <v>5525</v>
      </c>
      <c r="K81" t="s">
        <v>118</v>
      </c>
      <c r="L81">
        <v>55</v>
      </c>
      <c r="M81" t="s">
        <v>2219</v>
      </c>
      <c r="N81" t="s">
        <v>131</v>
      </c>
      <c r="O81" t="s">
        <v>549</v>
      </c>
      <c r="P81" t="s">
        <v>85</v>
      </c>
    </row>
    <row r="82" spans="1:16" hidden="1" x14ac:dyDescent="0.25">
      <c r="A82" t="s">
        <v>799</v>
      </c>
      <c r="B82" t="s">
        <v>296</v>
      </c>
      <c r="C82" t="s">
        <v>297</v>
      </c>
      <c r="D82" t="s">
        <v>460</v>
      </c>
      <c r="E82" t="s">
        <v>76</v>
      </c>
      <c r="F82" t="s">
        <v>1055</v>
      </c>
      <c r="G82" t="s">
        <v>1071</v>
      </c>
      <c r="H82">
        <v>7200</v>
      </c>
      <c r="J82">
        <v>5523</v>
      </c>
      <c r="K82" t="s">
        <v>116</v>
      </c>
      <c r="L82">
        <v>55</v>
      </c>
      <c r="M82" t="s">
        <v>2219</v>
      </c>
      <c r="N82" t="s">
        <v>131</v>
      </c>
      <c r="O82" t="s">
        <v>549</v>
      </c>
      <c r="P82" t="s">
        <v>85</v>
      </c>
    </row>
    <row r="83" spans="1:16" hidden="1" x14ac:dyDescent="0.25">
      <c r="A83" t="s">
        <v>799</v>
      </c>
      <c r="B83" t="s">
        <v>296</v>
      </c>
      <c r="C83" t="s">
        <v>297</v>
      </c>
      <c r="D83" t="s">
        <v>460</v>
      </c>
      <c r="E83" t="s">
        <v>76</v>
      </c>
      <c r="F83" t="s">
        <v>1055</v>
      </c>
      <c r="G83" t="s">
        <v>1070</v>
      </c>
      <c r="H83">
        <v>200</v>
      </c>
      <c r="J83">
        <v>5522</v>
      </c>
      <c r="K83" t="s">
        <v>115</v>
      </c>
      <c r="L83">
        <v>55</v>
      </c>
      <c r="M83" t="s">
        <v>2219</v>
      </c>
      <c r="N83" t="s">
        <v>131</v>
      </c>
      <c r="O83" t="s">
        <v>549</v>
      </c>
      <c r="P83" t="s">
        <v>85</v>
      </c>
    </row>
    <row r="84" spans="1:16" hidden="1" x14ac:dyDescent="0.25">
      <c r="A84" t="s">
        <v>799</v>
      </c>
      <c r="B84" t="s">
        <v>296</v>
      </c>
      <c r="C84" t="s">
        <v>297</v>
      </c>
      <c r="D84" t="s">
        <v>460</v>
      </c>
      <c r="E84" t="s">
        <v>76</v>
      </c>
      <c r="F84" t="s">
        <v>1055</v>
      </c>
      <c r="G84" t="s">
        <v>1065</v>
      </c>
      <c r="H84">
        <v>400</v>
      </c>
      <c r="I84" t="s">
        <v>1066</v>
      </c>
      <c r="J84">
        <v>5513</v>
      </c>
      <c r="K84" t="s">
        <v>111</v>
      </c>
      <c r="L84">
        <v>55</v>
      </c>
      <c r="M84" t="s">
        <v>2219</v>
      </c>
      <c r="N84" t="s">
        <v>131</v>
      </c>
      <c r="O84" t="s">
        <v>549</v>
      </c>
      <c r="P84" t="s">
        <v>85</v>
      </c>
    </row>
    <row r="85" spans="1:16" hidden="1" x14ac:dyDescent="0.25">
      <c r="A85" t="s">
        <v>799</v>
      </c>
      <c r="B85" t="s">
        <v>296</v>
      </c>
      <c r="C85" t="s">
        <v>297</v>
      </c>
      <c r="D85" t="s">
        <v>460</v>
      </c>
      <c r="E85" t="s">
        <v>76</v>
      </c>
      <c r="F85" t="s">
        <v>1055</v>
      </c>
      <c r="G85" t="s">
        <v>1063</v>
      </c>
      <c r="H85">
        <v>200</v>
      </c>
      <c r="J85">
        <v>5511</v>
      </c>
      <c r="K85" t="s">
        <v>106</v>
      </c>
      <c r="L85">
        <v>55</v>
      </c>
      <c r="M85" t="s">
        <v>2219</v>
      </c>
      <c r="N85" t="s">
        <v>131</v>
      </c>
      <c r="O85" t="s">
        <v>549</v>
      </c>
      <c r="P85" t="s">
        <v>85</v>
      </c>
    </row>
    <row r="86" spans="1:16" hidden="1" x14ac:dyDescent="0.25">
      <c r="A86" t="s">
        <v>799</v>
      </c>
      <c r="B86" t="s">
        <v>296</v>
      </c>
      <c r="C86" t="s">
        <v>297</v>
      </c>
      <c r="D86" t="s">
        <v>460</v>
      </c>
      <c r="E86" t="s">
        <v>76</v>
      </c>
      <c r="F86" t="s">
        <v>1055</v>
      </c>
      <c r="G86" t="s">
        <v>1062</v>
      </c>
      <c r="H86">
        <v>125</v>
      </c>
      <c r="J86">
        <v>5511</v>
      </c>
      <c r="K86" t="s">
        <v>106</v>
      </c>
      <c r="L86">
        <v>55</v>
      </c>
      <c r="M86" t="s">
        <v>2219</v>
      </c>
      <c r="N86" t="s">
        <v>131</v>
      </c>
      <c r="O86" t="s">
        <v>549</v>
      </c>
      <c r="P86" t="s">
        <v>85</v>
      </c>
    </row>
    <row r="87" spans="1:16" hidden="1" x14ac:dyDescent="0.25">
      <c r="A87" t="s">
        <v>799</v>
      </c>
      <c r="B87" t="s">
        <v>296</v>
      </c>
      <c r="C87" t="s">
        <v>297</v>
      </c>
      <c r="D87" t="s">
        <v>460</v>
      </c>
      <c r="E87" t="s">
        <v>76</v>
      </c>
      <c r="F87" t="s">
        <v>1055</v>
      </c>
      <c r="G87" t="s">
        <v>1061</v>
      </c>
      <c r="H87">
        <v>450</v>
      </c>
      <c r="J87">
        <v>5511</v>
      </c>
      <c r="K87" t="s">
        <v>106</v>
      </c>
      <c r="L87">
        <v>55</v>
      </c>
      <c r="M87" t="s">
        <v>2219</v>
      </c>
      <c r="N87" t="s">
        <v>131</v>
      </c>
      <c r="O87" t="s">
        <v>549</v>
      </c>
      <c r="P87" t="s">
        <v>85</v>
      </c>
    </row>
    <row r="88" spans="1:16" hidden="1" x14ac:dyDescent="0.25">
      <c r="A88" t="s">
        <v>799</v>
      </c>
      <c r="B88" t="s">
        <v>296</v>
      </c>
      <c r="C88" t="s">
        <v>297</v>
      </c>
      <c r="D88" t="s">
        <v>460</v>
      </c>
      <c r="E88" t="s">
        <v>76</v>
      </c>
      <c r="F88" t="s">
        <v>1055</v>
      </c>
      <c r="G88" t="s">
        <v>101</v>
      </c>
      <c r="H88">
        <v>100</v>
      </c>
      <c r="I88" t="s">
        <v>1054</v>
      </c>
      <c r="J88">
        <v>5504</v>
      </c>
      <c r="K88" t="s">
        <v>102</v>
      </c>
      <c r="L88">
        <v>55</v>
      </c>
      <c r="M88" t="s">
        <v>2219</v>
      </c>
      <c r="N88" t="s">
        <v>131</v>
      </c>
      <c r="O88" t="s">
        <v>549</v>
      </c>
      <c r="P88" t="s">
        <v>85</v>
      </c>
    </row>
    <row r="89" spans="1:16" hidden="1" x14ac:dyDescent="0.25">
      <c r="A89" t="s">
        <v>799</v>
      </c>
      <c r="B89" t="s">
        <v>296</v>
      </c>
      <c r="C89" t="s">
        <v>297</v>
      </c>
      <c r="D89" t="s">
        <v>460</v>
      </c>
      <c r="E89" t="s">
        <v>76</v>
      </c>
      <c r="F89" t="s">
        <v>1055</v>
      </c>
      <c r="G89" t="s">
        <v>102</v>
      </c>
      <c r="H89">
        <v>500</v>
      </c>
      <c r="I89" t="s">
        <v>1053</v>
      </c>
      <c r="J89">
        <v>5504</v>
      </c>
      <c r="K89" t="s">
        <v>102</v>
      </c>
      <c r="L89">
        <v>55</v>
      </c>
      <c r="M89" t="s">
        <v>2219</v>
      </c>
      <c r="N89" t="s">
        <v>131</v>
      </c>
      <c r="O89" t="s">
        <v>549</v>
      </c>
      <c r="P89" t="s">
        <v>85</v>
      </c>
    </row>
    <row r="90" spans="1:16" hidden="1" x14ac:dyDescent="0.25">
      <c r="A90" t="s">
        <v>799</v>
      </c>
      <c r="B90" t="s">
        <v>296</v>
      </c>
      <c r="C90" t="s">
        <v>297</v>
      </c>
      <c r="D90" t="s">
        <v>460</v>
      </c>
      <c r="E90" t="s">
        <v>76</v>
      </c>
      <c r="F90" t="s">
        <v>1055</v>
      </c>
      <c r="G90" t="s">
        <v>1052</v>
      </c>
      <c r="H90">
        <v>100</v>
      </c>
      <c r="J90">
        <v>5500</v>
      </c>
      <c r="K90" t="s">
        <v>100</v>
      </c>
      <c r="L90">
        <v>55</v>
      </c>
      <c r="M90" t="s">
        <v>2219</v>
      </c>
      <c r="N90" t="s">
        <v>131</v>
      </c>
      <c r="O90" t="s">
        <v>549</v>
      </c>
      <c r="P90" t="s">
        <v>85</v>
      </c>
    </row>
    <row r="91" spans="1:16" hidden="1" x14ac:dyDescent="0.25">
      <c r="A91" t="s">
        <v>799</v>
      </c>
      <c r="B91" t="s">
        <v>296</v>
      </c>
      <c r="C91" t="s">
        <v>297</v>
      </c>
      <c r="D91" t="s">
        <v>460</v>
      </c>
      <c r="E91" t="s">
        <v>76</v>
      </c>
      <c r="F91" t="s">
        <v>1055</v>
      </c>
      <c r="G91" t="s">
        <v>1051</v>
      </c>
      <c r="H91">
        <v>800</v>
      </c>
      <c r="J91">
        <v>5500</v>
      </c>
      <c r="K91" t="s">
        <v>100</v>
      </c>
      <c r="L91">
        <v>55</v>
      </c>
      <c r="M91" t="s">
        <v>2219</v>
      </c>
      <c r="N91" t="s">
        <v>131</v>
      </c>
      <c r="O91" t="s">
        <v>549</v>
      </c>
      <c r="P91" t="s">
        <v>85</v>
      </c>
    </row>
    <row r="92" spans="1:16" hidden="1" x14ac:dyDescent="0.25">
      <c r="A92" t="s">
        <v>799</v>
      </c>
      <c r="B92" t="s">
        <v>296</v>
      </c>
      <c r="C92" t="s">
        <v>297</v>
      </c>
      <c r="D92" t="s">
        <v>460</v>
      </c>
      <c r="E92" t="s">
        <v>76</v>
      </c>
      <c r="F92" t="s">
        <v>1055</v>
      </c>
      <c r="G92" t="s">
        <v>1050</v>
      </c>
      <c r="H92">
        <v>150</v>
      </c>
      <c r="J92">
        <v>5500</v>
      </c>
      <c r="K92" t="s">
        <v>100</v>
      </c>
      <c r="L92">
        <v>55</v>
      </c>
      <c r="M92" t="s">
        <v>2219</v>
      </c>
      <c r="N92" t="s">
        <v>131</v>
      </c>
      <c r="O92" t="s">
        <v>549</v>
      </c>
      <c r="P92" t="s">
        <v>85</v>
      </c>
    </row>
    <row r="93" spans="1:16" hidden="1" x14ac:dyDescent="0.25">
      <c r="A93" t="s">
        <v>799</v>
      </c>
      <c r="B93" t="s">
        <v>296</v>
      </c>
      <c r="C93" t="s">
        <v>297</v>
      </c>
      <c r="D93" t="s">
        <v>460</v>
      </c>
      <c r="E93" t="s">
        <v>76</v>
      </c>
      <c r="F93" t="s">
        <v>1055</v>
      </c>
      <c r="G93" t="s">
        <v>1049</v>
      </c>
      <c r="H93">
        <v>2000</v>
      </c>
      <c r="J93">
        <v>5500</v>
      </c>
      <c r="K93" t="s">
        <v>100</v>
      </c>
      <c r="L93">
        <v>55</v>
      </c>
      <c r="M93" t="s">
        <v>2219</v>
      </c>
      <c r="N93" t="s">
        <v>131</v>
      </c>
      <c r="O93" t="s">
        <v>549</v>
      </c>
      <c r="P93" t="s">
        <v>85</v>
      </c>
    </row>
    <row r="94" spans="1:16" hidden="1" x14ac:dyDescent="0.25">
      <c r="A94" t="s">
        <v>799</v>
      </c>
      <c r="B94" t="s">
        <v>296</v>
      </c>
      <c r="C94" t="s">
        <v>297</v>
      </c>
      <c r="D94" t="s">
        <v>460</v>
      </c>
      <c r="E94" t="s">
        <v>76</v>
      </c>
      <c r="F94" t="s">
        <v>1055</v>
      </c>
      <c r="G94" t="s">
        <v>1048</v>
      </c>
      <c r="H94">
        <v>120</v>
      </c>
      <c r="J94">
        <v>5500</v>
      </c>
      <c r="K94" t="s">
        <v>100</v>
      </c>
      <c r="L94">
        <v>55</v>
      </c>
      <c r="M94" t="s">
        <v>2219</v>
      </c>
      <c r="N94" t="s">
        <v>131</v>
      </c>
      <c r="O94" t="s">
        <v>549</v>
      </c>
      <c r="P94" t="s">
        <v>85</v>
      </c>
    </row>
    <row r="95" spans="1:16" hidden="1" x14ac:dyDescent="0.25">
      <c r="A95" t="s">
        <v>799</v>
      </c>
      <c r="B95" t="s">
        <v>296</v>
      </c>
      <c r="C95" t="s">
        <v>297</v>
      </c>
      <c r="D95" t="s">
        <v>460</v>
      </c>
      <c r="E95" t="s">
        <v>76</v>
      </c>
      <c r="F95" t="s">
        <v>1055</v>
      </c>
      <c r="G95" t="s">
        <v>1047</v>
      </c>
      <c r="H95">
        <v>190</v>
      </c>
      <c r="J95">
        <v>5500</v>
      </c>
      <c r="K95" t="s">
        <v>100</v>
      </c>
      <c r="L95">
        <v>55</v>
      </c>
      <c r="M95" t="s">
        <v>2219</v>
      </c>
      <c r="N95" t="s">
        <v>131</v>
      </c>
      <c r="O95" t="s">
        <v>549</v>
      </c>
      <c r="P95" t="s">
        <v>85</v>
      </c>
    </row>
    <row r="96" spans="1:16" hidden="1" x14ac:dyDescent="0.25">
      <c r="A96" t="s">
        <v>799</v>
      </c>
      <c r="B96" t="s">
        <v>296</v>
      </c>
      <c r="C96" t="s">
        <v>297</v>
      </c>
      <c r="D96" t="s">
        <v>460</v>
      </c>
      <c r="E96" t="s">
        <v>76</v>
      </c>
      <c r="F96" t="s">
        <v>1055</v>
      </c>
      <c r="G96" t="s">
        <v>1046</v>
      </c>
      <c r="H96">
        <v>100</v>
      </c>
      <c r="J96">
        <v>5500</v>
      </c>
      <c r="K96" t="s">
        <v>100</v>
      </c>
      <c r="L96">
        <v>55</v>
      </c>
      <c r="M96" t="s">
        <v>2219</v>
      </c>
      <c r="N96" t="s">
        <v>131</v>
      </c>
      <c r="O96" t="s">
        <v>549</v>
      </c>
      <c r="P96" t="s">
        <v>85</v>
      </c>
    </row>
    <row r="97" spans="1:16" hidden="1" x14ac:dyDescent="0.25">
      <c r="A97" t="s">
        <v>799</v>
      </c>
      <c r="B97" t="s">
        <v>296</v>
      </c>
      <c r="C97" t="s">
        <v>297</v>
      </c>
      <c r="D97" t="s">
        <v>460</v>
      </c>
      <c r="E97" t="s">
        <v>76</v>
      </c>
      <c r="F97" t="s">
        <v>1055</v>
      </c>
      <c r="G97" t="s">
        <v>1060</v>
      </c>
      <c r="H97">
        <v>100</v>
      </c>
      <c r="J97">
        <v>5511</v>
      </c>
      <c r="K97" t="s">
        <v>106</v>
      </c>
      <c r="L97">
        <v>55</v>
      </c>
      <c r="M97" t="s">
        <v>2219</v>
      </c>
      <c r="N97" t="s">
        <v>131</v>
      </c>
      <c r="O97" t="s">
        <v>549</v>
      </c>
      <c r="P97" t="s">
        <v>85</v>
      </c>
    </row>
    <row r="98" spans="1:16" hidden="1" x14ac:dyDescent="0.25">
      <c r="A98" t="s">
        <v>799</v>
      </c>
      <c r="B98" t="s">
        <v>296</v>
      </c>
      <c r="C98" t="s">
        <v>297</v>
      </c>
      <c r="D98" t="s">
        <v>460</v>
      </c>
      <c r="E98" t="s">
        <v>76</v>
      </c>
      <c r="F98" t="s">
        <v>1055</v>
      </c>
      <c r="G98" t="s">
        <v>1059</v>
      </c>
      <c r="H98">
        <v>100</v>
      </c>
      <c r="I98" t="s">
        <v>1064</v>
      </c>
      <c r="J98">
        <v>5511</v>
      </c>
      <c r="K98" t="s">
        <v>106</v>
      </c>
      <c r="L98">
        <v>55</v>
      </c>
      <c r="M98" t="s">
        <v>2219</v>
      </c>
      <c r="N98" t="s">
        <v>131</v>
      </c>
      <c r="O98" t="s">
        <v>549</v>
      </c>
      <c r="P98" t="s">
        <v>85</v>
      </c>
    </row>
    <row r="99" spans="1:16" hidden="1" x14ac:dyDescent="0.25">
      <c r="A99" t="s">
        <v>799</v>
      </c>
      <c r="B99" t="s">
        <v>296</v>
      </c>
      <c r="C99" t="s">
        <v>297</v>
      </c>
      <c r="D99" t="s">
        <v>460</v>
      </c>
      <c r="E99" t="s">
        <v>76</v>
      </c>
      <c r="F99" t="s">
        <v>1055</v>
      </c>
      <c r="G99" t="s">
        <v>1058</v>
      </c>
      <c r="H99">
        <v>200</v>
      </c>
      <c r="J99">
        <v>5511</v>
      </c>
      <c r="K99" t="s">
        <v>106</v>
      </c>
      <c r="L99">
        <v>55</v>
      </c>
      <c r="M99" t="s">
        <v>2219</v>
      </c>
      <c r="N99" t="s">
        <v>131</v>
      </c>
      <c r="O99" t="s">
        <v>549</v>
      </c>
      <c r="P99" t="s">
        <v>85</v>
      </c>
    </row>
    <row r="100" spans="1:16" hidden="1" x14ac:dyDescent="0.25">
      <c r="A100" t="s">
        <v>799</v>
      </c>
      <c r="B100" t="s">
        <v>296</v>
      </c>
      <c r="C100" t="s">
        <v>297</v>
      </c>
      <c r="D100" t="s">
        <v>460</v>
      </c>
      <c r="E100" t="s">
        <v>76</v>
      </c>
      <c r="F100" t="s">
        <v>1055</v>
      </c>
      <c r="G100" t="s">
        <v>1057</v>
      </c>
      <c r="H100">
        <v>120</v>
      </c>
      <c r="J100">
        <v>5511</v>
      </c>
      <c r="K100" t="s">
        <v>106</v>
      </c>
      <c r="L100">
        <v>55</v>
      </c>
      <c r="M100" t="s">
        <v>2219</v>
      </c>
      <c r="N100" t="s">
        <v>131</v>
      </c>
      <c r="O100" t="s">
        <v>549</v>
      </c>
      <c r="P100" t="s">
        <v>85</v>
      </c>
    </row>
    <row r="101" spans="1:16" hidden="1" x14ac:dyDescent="0.25">
      <c r="A101" t="s">
        <v>799</v>
      </c>
      <c r="B101" t="s">
        <v>296</v>
      </c>
      <c r="C101" t="s">
        <v>297</v>
      </c>
      <c r="D101" t="s">
        <v>460</v>
      </c>
      <c r="E101" t="s">
        <v>76</v>
      </c>
      <c r="F101" t="s">
        <v>1055</v>
      </c>
      <c r="G101" t="s">
        <v>943</v>
      </c>
      <c r="H101">
        <v>2000</v>
      </c>
      <c r="J101">
        <v>5511</v>
      </c>
      <c r="K101" t="s">
        <v>106</v>
      </c>
      <c r="L101">
        <v>55</v>
      </c>
      <c r="M101" t="s">
        <v>2219</v>
      </c>
      <c r="N101" t="s">
        <v>131</v>
      </c>
      <c r="O101" t="s">
        <v>549</v>
      </c>
      <c r="P101" t="s">
        <v>85</v>
      </c>
    </row>
    <row r="102" spans="1:16" hidden="1" x14ac:dyDescent="0.25">
      <c r="A102" t="s">
        <v>799</v>
      </c>
      <c r="B102" t="s">
        <v>296</v>
      </c>
      <c r="C102" t="s">
        <v>297</v>
      </c>
      <c r="D102" t="s">
        <v>460</v>
      </c>
      <c r="E102" t="s">
        <v>76</v>
      </c>
      <c r="F102" t="s">
        <v>1055</v>
      </c>
      <c r="G102" t="s">
        <v>1056</v>
      </c>
      <c r="H102">
        <v>9000</v>
      </c>
      <c r="J102">
        <v>5511</v>
      </c>
      <c r="K102" t="s">
        <v>106</v>
      </c>
      <c r="L102">
        <v>55</v>
      </c>
      <c r="M102" t="s">
        <v>2219</v>
      </c>
      <c r="N102" t="s">
        <v>131</v>
      </c>
      <c r="O102" t="s">
        <v>549</v>
      </c>
      <c r="P102" t="s">
        <v>85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0"/>
  <sheetViews>
    <sheetView workbookViewId="0">
      <selection activeCell="I10" sqref="I10"/>
    </sheetView>
  </sheetViews>
  <sheetFormatPr defaultRowHeight="15" x14ac:dyDescent="0.25"/>
  <cols>
    <col min="1" max="1" width="20" bestFit="1" customWidth="1"/>
    <col min="2" max="2" width="15.42578125" bestFit="1" customWidth="1"/>
    <col min="5" max="5" width="20" bestFit="1" customWidth="1"/>
    <col min="6" max="9" width="9.140625" customWidth="1"/>
  </cols>
  <sheetData>
    <row r="3" spans="1:10" x14ac:dyDescent="0.25">
      <c r="A3" s="4" t="s">
        <v>396</v>
      </c>
      <c r="B3" t="s">
        <v>399</v>
      </c>
      <c r="H3" t="s">
        <v>2222</v>
      </c>
    </row>
    <row r="4" spans="1:10" x14ac:dyDescent="0.25">
      <c r="A4" s="5" t="s">
        <v>313</v>
      </c>
      <c r="B4" s="7">
        <v>5357.4</v>
      </c>
      <c r="C4">
        <f>SUM(F7:G7)</f>
        <v>9376.7039999999997</v>
      </c>
      <c r="E4" t="s">
        <v>324</v>
      </c>
      <c r="F4">
        <v>18870</v>
      </c>
      <c r="G4">
        <v>6378.0600000000022</v>
      </c>
      <c r="H4">
        <f>SUM(F4:G4)</f>
        <v>25248.06</v>
      </c>
      <c r="I4" s="7">
        <f>B8</f>
        <v>22540</v>
      </c>
      <c r="J4" s="7">
        <f>SUM(H4:I4)</f>
        <v>47788.06</v>
      </c>
    </row>
    <row r="5" spans="1:10" x14ac:dyDescent="0.25">
      <c r="A5" s="5" t="s">
        <v>2054</v>
      </c>
      <c r="B5" s="7">
        <v>146872</v>
      </c>
      <c r="C5">
        <f>SUM(F10:G10)</f>
        <v>37519.00518</v>
      </c>
      <c r="E5" t="s">
        <v>322</v>
      </c>
      <c r="F5">
        <v>8930</v>
      </c>
      <c r="G5">
        <v>3018.34</v>
      </c>
      <c r="H5">
        <f t="shared" ref="H5:H10" si="0">SUM(F5:G5)</f>
        <v>11948.34</v>
      </c>
      <c r="I5" s="7">
        <f>B9</f>
        <v>12450</v>
      </c>
      <c r="J5" s="7">
        <f t="shared" ref="J5:J10" si="1">SUM(H5:I5)</f>
        <v>24398.34</v>
      </c>
    </row>
    <row r="6" spans="1:10" x14ac:dyDescent="0.25">
      <c r="A6" s="5" t="s">
        <v>315</v>
      </c>
      <c r="B6" s="7">
        <v>66840.05</v>
      </c>
      <c r="C6">
        <f>SUM(F9:G9)</f>
        <v>51114.275999999998</v>
      </c>
      <c r="E6" t="s">
        <v>317</v>
      </c>
      <c r="F6">
        <v>23635</v>
      </c>
      <c r="G6">
        <v>7988.6300000000028</v>
      </c>
      <c r="H6">
        <f t="shared" si="0"/>
        <v>31623.630000000005</v>
      </c>
      <c r="I6" s="7">
        <f>B7</f>
        <v>39301</v>
      </c>
      <c r="J6" s="7">
        <f t="shared" si="1"/>
        <v>70924.63</v>
      </c>
    </row>
    <row r="7" spans="1:10" x14ac:dyDescent="0.25">
      <c r="A7" s="5" t="s">
        <v>317</v>
      </c>
      <c r="B7" s="7">
        <v>39301</v>
      </c>
      <c r="C7">
        <f>SUM(F6:G6)</f>
        <v>31623.630000000005</v>
      </c>
      <c r="E7" t="s">
        <v>313</v>
      </c>
      <c r="F7">
        <v>7008</v>
      </c>
      <c r="G7">
        <v>2368.7040000000002</v>
      </c>
      <c r="H7">
        <f t="shared" si="0"/>
        <v>9376.7039999999997</v>
      </c>
      <c r="I7" s="7">
        <f>B4</f>
        <v>5357.4</v>
      </c>
      <c r="J7" s="7">
        <f t="shared" si="1"/>
        <v>14734.103999999999</v>
      </c>
    </row>
    <row r="8" spans="1:10" x14ac:dyDescent="0.25">
      <c r="A8" s="5" t="s">
        <v>324</v>
      </c>
      <c r="B8" s="7">
        <v>22540</v>
      </c>
      <c r="C8">
        <f>SUM(F4:G4)</f>
        <v>25248.06</v>
      </c>
      <c r="E8" t="s">
        <v>319</v>
      </c>
      <c r="F8">
        <v>3744</v>
      </c>
      <c r="G8">
        <v>1265.4720000000002</v>
      </c>
      <c r="H8">
        <f t="shared" si="0"/>
        <v>5009.4719999999998</v>
      </c>
      <c r="J8" s="7">
        <f t="shared" si="1"/>
        <v>5009.4719999999998</v>
      </c>
    </row>
    <row r="9" spans="1:10" x14ac:dyDescent="0.25">
      <c r="A9" s="5" t="s">
        <v>322</v>
      </c>
      <c r="B9" s="7">
        <v>12450</v>
      </c>
      <c r="E9" t="s">
        <v>315</v>
      </c>
      <c r="F9">
        <v>38202</v>
      </c>
      <c r="G9">
        <v>12912.276000000002</v>
      </c>
      <c r="H9">
        <f t="shared" si="0"/>
        <v>51114.275999999998</v>
      </c>
      <c r="I9" s="7">
        <f>B6</f>
        <v>66840.05</v>
      </c>
      <c r="J9" s="7">
        <f t="shared" si="1"/>
        <v>117954.326</v>
      </c>
    </row>
    <row r="10" spans="1:10" x14ac:dyDescent="0.25">
      <c r="A10" s="5" t="s">
        <v>397</v>
      </c>
      <c r="B10" s="7">
        <v>293360.45</v>
      </c>
      <c r="E10" t="s">
        <v>2054</v>
      </c>
      <c r="F10">
        <v>28041.11</v>
      </c>
      <c r="G10">
        <v>9477.8951799999995</v>
      </c>
      <c r="H10">
        <f t="shared" si="0"/>
        <v>37519.00518</v>
      </c>
      <c r="I10" s="7">
        <f>B5</f>
        <v>146872</v>
      </c>
      <c r="J10" s="7">
        <f t="shared" si="1"/>
        <v>184391.00518000001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workbookViewId="0">
      <selection activeCell="G20" sqref="G20"/>
    </sheetView>
  </sheetViews>
  <sheetFormatPr defaultRowHeight="15" x14ac:dyDescent="0.25"/>
  <cols>
    <col min="1" max="1" width="11.5703125" customWidth="1"/>
    <col min="2" max="2" width="13" customWidth="1"/>
    <col min="3" max="3" width="21.7109375" customWidth="1"/>
    <col min="4" max="4" width="23.28515625" customWidth="1"/>
    <col min="5" max="5" width="26.28515625" customWidth="1"/>
    <col min="6" max="6" width="21.85546875" customWidth="1"/>
    <col min="7" max="7" width="61.42578125" bestFit="1" customWidth="1"/>
    <col min="8" max="8" width="10.85546875" customWidth="1"/>
    <col min="9" max="9" width="12" customWidth="1"/>
    <col min="10" max="10" width="8.85546875" customWidth="1"/>
    <col min="11" max="11" width="16.140625" customWidth="1"/>
    <col min="12" max="12" width="15.85546875" customWidth="1"/>
    <col min="13" max="13" width="14" customWidth="1"/>
    <col min="14" max="14" width="24" customWidth="1"/>
    <col min="15" max="16" width="21" customWidth="1"/>
  </cols>
  <sheetData>
    <row r="1" spans="1:16" x14ac:dyDescent="0.25">
      <c r="A1" t="s">
        <v>7</v>
      </c>
      <c r="B1" t="s">
        <v>1</v>
      </c>
      <c r="C1" t="s">
        <v>246</v>
      </c>
      <c r="D1" t="s">
        <v>490</v>
      </c>
      <c r="E1" t="s">
        <v>67</v>
      </c>
      <c r="F1" t="s">
        <v>5</v>
      </c>
      <c r="G1" t="s">
        <v>6</v>
      </c>
      <c r="H1" t="s">
        <v>398</v>
      </c>
      <c r="I1" t="s">
        <v>165</v>
      </c>
      <c r="J1" t="s">
        <v>2</v>
      </c>
      <c r="K1" t="s">
        <v>91</v>
      </c>
      <c r="L1" t="s">
        <v>77</v>
      </c>
      <c r="M1" t="s">
        <v>9</v>
      </c>
      <c r="N1" t="s">
        <v>160</v>
      </c>
      <c r="O1" t="s">
        <v>2009</v>
      </c>
      <c r="P1" t="s">
        <v>135</v>
      </c>
    </row>
    <row r="2" spans="1:16" x14ac:dyDescent="0.25">
      <c r="A2" t="s">
        <v>799</v>
      </c>
      <c r="B2" t="s">
        <v>323</v>
      </c>
      <c r="C2" t="s">
        <v>324</v>
      </c>
      <c r="D2" t="s">
        <v>578</v>
      </c>
      <c r="E2" t="s">
        <v>76</v>
      </c>
      <c r="F2" t="s">
        <v>1142</v>
      </c>
      <c r="G2" t="s">
        <v>1174</v>
      </c>
      <c r="H2">
        <v>300</v>
      </c>
      <c r="J2">
        <v>5514</v>
      </c>
      <c r="K2" t="s">
        <v>110</v>
      </c>
      <c r="L2">
        <v>55</v>
      </c>
      <c r="M2" t="s">
        <v>2219</v>
      </c>
      <c r="N2" t="s">
        <v>131</v>
      </c>
      <c r="O2" t="s">
        <v>549</v>
      </c>
      <c r="P2" t="s">
        <v>85</v>
      </c>
    </row>
    <row r="3" spans="1:16" x14ac:dyDescent="0.25">
      <c r="A3" t="s">
        <v>799</v>
      </c>
      <c r="B3" t="s">
        <v>323</v>
      </c>
      <c r="C3" t="s">
        <v>324</v>
      </c>
      <c r="D3" t="s">
        <v>578</v>
      </c>
      <c r="E3" t="s">
        <v>76</v>
      </c>
      <c r="F3" t="s">
        <v>1142</v>
      </c>
      <c r="G3" t="s">
        <v>1171</v>
      </c>
      <c r="H3">
        <v>300</v>
      </c>
      <c r="J3">
        <v>5511</v>
      </c>
      <c r="K3" t="s">
        <v>106</v>
      </c>
      <c r="L3">
        <v>55</v>
      </c>
      <c r="M3" t="s">
        <v>2219</v>
      </c>
      <c r="N3" t="s">
        <v>131</v>
      </c>
      <c r="O3" t="s">
        <v>549</v>
      </c>
      <c r="P3" t="s">
        <v>85</v>
      </c>
    </row>
    <row r="4" spans="1:16" x14ac:dyDescent="0.25">
      <c r="A4" t="s">
        <v>799</v>
      </c>
      <c r="B4" t="s">
        <v>323</v>
      </c>
      <c r="C4" t="s">
        <v>324</v>
      </c>
      <c r="D4" t="s">
        <v>578</v>
      </c>
      <c r="E4" t="s">
        <v>76</v>
      </c>
      <c r="F4" t="s">
        <v>1142</v>
      </c>
      <c r="G4" t="s">
        <v>1170</v>
      </c>
      <c r="H4">
        <v>100</v>
      </c>
      <c r="J4">
        <v>5511</v>
      </c>
      <c r="K4" t="s">
        <v>106</v>
      </c>
      <c r="L4">
        <v>55</v>
      </c>
      <c r="M4" t="s">
        <v>2219</v>
      </c>
      <c r="N4" t="s">
        <v>131</v>
      </c>
      <c r="O4" t="s">
        <v>549</v>
      </c>
      <c r="P4" t="s">
        <v>85</v>
      </c>
    </row>
    <row r="5" spans="1:16" x14ac:dyDescent="0.25">
      <c r="A5" t="s">
        <v>799</v>
      </c>
      <c r="B5" t="s">
        <v>323</v>
      </c>
      <c r="C5" t="s">
        <v>324</v>
      </c>
      <c r="D5" t="s">
        <v>578</v>
      </c>
      <c r="E5" t="s">
        <v>76</v>
      </c>
      <c r="F5" t="s">
        <v>1142</v>
      </c>
      <c r="G5" t="s">
        <v>1168</v>
      </c>
      <c r="H5">
        <v>1000</v>
      </c>
      <c r="I5" t="s">
        <v>1169</v>
      </c>
      <c r="J5">
        <v>5511</v>
      </c>
      <c r="K5" t="s">
        <v>106</v>
      </c>
      <c r="L5">
        <v>55</v>
      </c>
      <c r="M5" t="s">
        <v>2219</v>
      </c>
      <c r="N5" t="s">
        <v>131</v>
      </c>
      <c r="O5" t="s">
        <v>549</v>
      </c>
      <c r="P5" t="s">
        <v>85</v>
      </c>
    </row>
    <row r="6" spans="1:16" x14ac:dyDescent="0.25">
      <c r="A6" t="s">
        <v>799</v>
      </c>
      <c r="B6" t="s">
        <v>323</v>
      </c>
      <c r="C6" t="s">
        <v>324</v>
      </c>
      <c r="D6" t="s">
        <v>578</v>
      </c>
      <c r="E6" t="s">
        <v>76</v>
      </c>
      <c r="F6" t="s">
        <v>1142</v>
      </c>
      <c r="G6" t="s">
        <v>1166</v>
      </c>
      <c r="H6">
        <v>800</v>
      </c>
      <c r="I6" t="s">
        <v>1167</v>
      </c>
      <c r="J6">
        <v>5511</v>
      </c>
      <c r="K6" t="s">
        <v>106</v>
      </c>
      <c r="L6">
        <v>55</v>
      </c>
      <c r="M6" t="s">
        <v>2219</v>
      </c>
      <c r="N6" t="s">
        <v>131</v>
      </c>
      <c r="O6" t="s">
        <v>549</v>
      </c>
      <c r="P6" t="s">
        <v>85</v>
      </c>
    </row>
    <row r="7" spans="1:16" x14ac:dyDescent="0.25">
      <c r="A7" t="s">
        <v>799</v>
      </c>
      <c r="B7" t="s">
        <v>323</v>
      </c>
      <c r="C7" t="s">
        <v>324</v>
      </c>
      <c r="D7" t="s">
        <v>578</v>
      </c>
      <c r="E7" t="s">
        <v>76</v>
      </c>
      <c r="F7" t="s">
        <v>1142</v>
      </c>
      <c r="G7" t="s">
        <v>1164</v>
      </c>
      <c r="H7">
        <v>1000</v>
      </c>
      <c r="I7" t="s">
        <v>1165</v>
      </c>
      <c r="J7">
        <v>5511</v>
      </c>
      <c r="K7" t="s">
        <v>106</v>
      </c>
      <c r="L7">
        <v>55</v>
      </c>
      <c r="M7" t="s">
        <v>2219</v>
      </c>
      <c r="N7" t="s">
        <v>131</v>
      </c>
      <c r="O7" t="s">
        <v>549</v>
      </c>
      <c r="P7" t="s">
        <v>85</v>
      </c>
    </row>
    <row r="8" spans="1:16" x14ac:dyDescent="0.25">
      <c r="A8" t="s">
        <v>799</v>
      </c>
      <c r="B8" t="s">
        <v>323</v>
      </c>
      <c r="C8" t="s">
        <v>324</v>
      </c>
      <c r="D8" t="s">
        <v>578</v>
      </c>
      <c r="E8" t="s">
        <v>76</v>
      </c>
      <c r="F8" t="s">
        <v>1142</v>
      </c>
      <c r="G8" t="s">
        <v>1162</v>
      </c>
      <c r="H8">
        <v>120</v>
      </c>
      <c r="I8" t="s">
        <v>1163</v>
      </c>
      <c r="J8">
        <v>5511</v>
      </c>
      <c r="K8" t="s">
        <v>106</v>
      </c>
      <c r="L8">
        <v>55</v>
      </c>
      <c r="M8" t="s">
        <v>2219</v>
      </c>
      <c r="N8" t="s">
        <v>131</v>
      </c>
      <c r="O8" t="s">
        <v>549</v>
      </c>
      <c r="P8" t="s">
        <v>85</v>
      </c>
    </row>
    <row r="9" spans="1:16" x14ac:dyDescent="0.25">
      <c r="A9" t="s">
        <v>799</v>
      </c>
      <c r="B9" t="s">
        <v>323</v>
      </c>
      <c r="C9" t="s">
        <v>324</v>
      </c>
      <c r="D9" t="s">
        <v>578</v>
      </c>
      <c r="E9" t="s">
        <v>76</v>
      </c>
      <c r="F9" t="s">
        <v>1142</v>
      </c>
      <c r="G9" t="s">
        <v>1160</v>
      </c>
      <c r="H9">
        <v>200</v>
      </c>
      <c r="I9" t="s">
        <v>1161</v>
      </c>
      <c r="J9">
        <v>5511</v>
      </c>
      <c r="K9" t="s">
        <v>106</v>
      </c>
      <c r="L9">
        <v>55</v>
      </c>
      <c r="M9" t="s">
        <v>2219</v>
      </c>
      <c r="N9" t="s">
        <v>131</v>
      </c>
      <c r="O9" t="s">
        <v>549</v>
      </c>
      <c r="P9" t="s">
        <v>85</v>
      </c>
    </row>
    <row r="10" spans="1:16" x14ac:dyDescent="0.25">
      <c r="A10" t="s">
        <v>799</v>
      </c>
      <c r="B10" t="s">
        <v>323</v>
      </c>
      <c r="C10" t="s">
        <v>324</v>
      </c>
      <c r="D10" t="s">
        <v>578</v>
      </c>
      <c r="E10" t="s">
        <v>76</v>
      </c>
      <c r="F10" t="s">
        <v>1142</v>
      </c>
      <c r="G10" t="s">
        <v>1158</v>
      </c>
      <c r="H10">
        <v>1000</v>
      </c>
      <c r="I10" t="s">
        <v>1159</v>
      </c>
      <c r="J10">
        <v>5511</v>
      </c>
      <c r="K10" t="s">
        <v>106</v>
      </c>
      <c r="L10">
        <v>55</v>
      </c>
      <c r="M10" t="s">
        <v>2219</v>
      </c>
      <c r="N10" t="s">
        <v>131</v>
      </c>
      <c r="O10" t="s">
        <v>549</v>
      </c>
      <c r="P10" t="s">
        <v>85</v>
      </c>
    </row>
    <row r="11" spans="1:16" x14ac:dyDescent="0.25">
      <c r="A11" t="s">
        <v>799</v>
      </c>
      <c r="B11" t="s">
        <v>323</v>
      </c>
      <c r="C11" t="s">
        <v>324</v>
      </c>
      <c r="D11" t="s">
        <v>578</v>
      </c>
      <c r="E11" t="s">
        <v>76</v>
      </c>
      <c r="F11" t="s">
        <v>1142</v>
      </c>
      <c r="G11" t="s">
        <v>178</v>
      </c>
      <c r="H11">
        <v>10000</v>
      </c>
      <c r="I11" t="s">
        <v>1157</v>
      </c>
      <c r="J11">
        <v>5511</v>
      </c>
      <c r="K11" t="s">
        <v>106</v>
      </c>
      <c r="L11">
        <v>55</v>
      </c>
      <c r="M11" t="s">
        <v>2219</v>
      </c>
      <c r="N11" t="s">
        <v>131</v>
      </c>
      <c r="O11" t="s">
        <v>549</v>
      </c>
      <c r="P11" t="s">
        <v>85</v>
      </c>
    </row>
    <row r="12" spans="1:16" x14ac:dyDescent="0.25">
      <c r="A12" t="s">
        <v>799</v>
      </c>
      <c r="B12" t="s">
        <v>323</v>
      </c>
      <c r="C12" t="s">
        <v>324</v>
      </c>
      <c r="D12" t="s">
        <v>578</v>
      </c>
      <c r="E12" t="s">
        <v>76</v>
      </c>
      <c r="F12" t="s">
        <v>1142</v>
      </c>
      <c r="G12" t="s">
        <v>1155</v>
      </c>
      <c r="H12">
        <v>100</v>
      </c>
      <c r="I12" t="s">
        <v>1156</v>
      </c>
      <c r="J12">
        <v>5511</v>
      </c>
      <c r="K12" t="s">
        <v>106</v>
      </c>
      <c r="L12">
        <v>55</v>
      </c>
      <c r="M12" t="s">
        <v>2219</v>
      </c>
      <c r="N12" t="s">
        <v>131</v>
      </c>
      <c r="O12" t="s">
        <v>549</v>
      </c>
      <c r="P12" t="s">
        <v>85</v>
      </c>
    </row>
    <row r="13" spans="1:16" x14ac:dyDescent="0.25">
      <c r="A13" t="s">
        <v>799</v>
      </c>
      <c r="B13" t="s">
        <v>323</v>
      </c>
      <c r="C13" t="s">
        <v>324</v>
      </c>
      <c r="D13" t="s">
        <v>578</v>
      </c>
      <c r="E13" t="s">
        <v>76</v>
      </c>
      <c r="F13" t="s">
        <v>1142</v>
      </c>
      <c r="G13" t="s">
        <v>1153</v>
      </c>
      <c r="H13">
        <v>400</v>
      </c>
      <c r="I13" t="s">
        <v>1154</v>
      </c>
      <c r="J13">
        <v>5511</v>
      </c>
      <c r="K13" t="s">
        <v>106</v>
      </c>
      <c r="L13">
        <v>55</v>
      </c>
      <c r="M13" t="s">
        <v>2219</v>
      </c>
      <c r="N13" t="s">
        <v>131</v>
      </c>
      <c r="O13" t="s">
        <v>549</v>
      </c>
      <c r="P13" t="s">
        <v>85</v>
      </c>
    </row>
    <row r="14" spans="1:16" x14ac:dyDescent="0.25">
      <c r="A14" t="s">
        <v>799</v>
      </c>
      <c r="B14" t="s">
        <v>323</v>
      </c>
      <c r="C14" t="s">
        <v>324</v>
      </c>
      <c r="D14" t="s">
        <v>578</v>
      </c>
      <c r="E14" t="s">
        <v>76</v>
      </c>
      <c r="F14" t="s">
        <v>1142</v>
      </c>
      <c r="G14" t="s">
        <v>1151</v>
      </c>
      <c r="H14">
        <v>100</v>
      </c>
      <c r="I14" t="s">
        <v>1152</v>
      </c>
      <c r="J14">
        <v>5511</v>
      </c>
      <c r="K14" t="s">
        <v>106</v>
      </c>
      <c r="L14">
        <v>55</v>
      </c>
      <c r="M14" t="s">
        <v>2219</v>
      </c>
      <c r="N14" t="s">
        <v>131</v>
      </c>
      <c r="O14" t="s">
        <v>549</v>
      </c>
      <c r="P14" t="s">
        <v>85</v>
      </c>
    </row>
    <row r="15" spans="1:16" x14ac:dyDescent="0.25">
      <c r="A15" t="s">
        <v>799</v>
      </c>
      <c r="B15" t="s">
        <v>323</v>
      </c>
      <c r="C15" t="s">
        <v>324</v>
      </c>
      <c r="D15" t="s">
        <v>578</v>
      </c>
      <c r="E15" t="s">
        <v>76</v>
      </c>
      <c r="F15" t="s">
        <v>1142</v>
      </c>
      <c r="G15" t="s">
        <v>1196</v>
      </c>
      <c r="H15">
        <v>100</v>
      </c>
      <c r="J15">
        <v>5525</v>
      </c>
      <c r="K15" t="s">
        <v>118</v>
      </c>
      <c r="L15">
        <v>55</v>
      </c>
      <c r="M15" t="s">
        <v>2219</v>
      </c>
      <c r="N15" t="s">
        <v>131</v>
      </c>
      <c r="O15" t="s">
        <v>549</v>
      </c>
      <c r="P15" t="s">
        <v>85</v>
      </c>
    </row>
    <row r="16" spans="1:16" x14ac:dyDescent="0.25">
      <c r="A16" t="s">
        <v>799</v>
      </c>
      <c r="B16" t="s">
        <v>323</v>
      </c>
      <c r="C16" t="s">
        <v>324</v>
      </c>
      <c r="D16" t="s">
        <v>578</v>
      </c>
      <c r="E16" t="s">
        <v>76</v>
      </c>
      <c r="F16" t="s">
        <v>1142</v>
      </c>
      <c r="G16" t="s">
        <v>1195</v>
      </c>
      <c r="H16">
        <v>150</v>
      </c>
      <c r="J16">
        <v>5525</v>
      </c>
      <c r="K16" t="s">
        <v>118</v>
      </c>
      <c r="L16">
        <v>55</v>
      </c>
      <c r="M16" t="s">
        <v>2219</v>
      </c>
      <c r="N16" t="s">
        <v>131</v>
      </c>
      <c r="O16" t="s">
        <v>549</v>
      </c>
      <c r="P16" t="s">
        <v>85</v>
      </c>
    </row>
    <row r="17" spans="1:16" x14ac:dyDescent="0.25">
      <c r="A17" t="s">
        <v>799</v>
      </c>
      <c r="B17" t="s">
        <v>323</v>
      </c>
      <c r="C17" t="s">
        <v>324</v>
      </c>
      <c r="D17" t="s">
        <v>578</v>
      </c>
      <c r="E17" t="s">
        <v>76</v>
      </c>
      <c r="F17" t="s">
        <v>1142</v>
      </c>
      <c r="G17" t="s">
        <v>1193</v>
      </c>
      <c r="H17">
        <v>150</v>
      </c>
      <c r="I17" t="s">
        <v>1194</v>
      </c>
      <c r="J17">
        <v>5525</v>
      </c>
      <c r="K17" t="s">
        <v>118</v>
      </c>
      <c r="L17">
        <v>55</v>
      </c>
      <c r="M17" t="s">
        <v>2219</v>
      </c>
      <c r="N17" t="s">
        <v>131</v>
      </c>
      <c r="O17" t="s">
        <v>549</v>
      </c>
      <c r="P17" t="s">
        <v>85</v>
      </c>
    </row>
    <row r="18" spans="1:16" x14ac:dyDescent="0.25">
      <c r="A18" t="s">
        <v>799</v>
      </c>
      <c r="B18" t="s">
        <v>323</v>
      </c>
      <c r="C18" t="s">
        <v>324</v>
      </c>
      <c r="D18" t="s">
        <v>578</v>
      </c>
      <c r="E18" t="s">
        <v>76</v>
      </c>
      <c r="F18" t="s">
        <v>1142</v>
      </c>
      <c r="G18" t="s">
        <v>1191</v>
      </c>
      <c r="H18">
        <v>300</v>
      </c>
      <c r="I18" t="s">
        <v>1192</v>
      </c>
      <c r="J18">
        <v>5525</v>
      </c>
      <c r="K18" t="s">
        <v>118</v>
      </c>
      <c r="L18">
        <v>55</v>
      </c>
      <c r="M18" t="s">
        <v>2219</v>
      </c>
      <c r="N18" t="s">
        <v>131</v>
      </c>
      <c r="O18" t="s">
        <v>549</v>
      </c>
      <c r="P18" t="s">
        <v>85</v>
      </c>
    </row>
    <row r="19" spans="1:16" x14ac:dyDescent="0.25">
      <c r="A19" t="s">
        <v>799</v>
      </c>
      <c r="B19" t="s">
        <v>323</v>
      </c>
      <c r="C19" t="s">
        <v>324</v>
      </c>
      <c r="D19" t="s">
        <v>578</v>
      </c>
      <c r="E19" t="s">
        <v>76</v>
      </c>
      <c r="F19" t="s">
        <v>1142</v>
      </c>
      <c r="G19" t="s">
        <v>1189</v>
      </c>
      <c r="H19">
        <v>200</v>
      </c>
      <c r="I19" t="s">
        <v>1190</v>
      </c>
      <c r="J19">
        <v>5525</v>
      </c>
      <c r="K19" t="s">
        <v>118</v>
      </c>
      <c r="L19">
        <v>55</v>
      </c>
      <c r="M19" t="s">
        <v>2219</v>
      </c>
      <c r="N19" t="s">
        <v>131</v>
      </c>
      <c r="O19" t="s">
        <v>549</v>
      </c>
      <c r="P19" t="s">
        <v>85</v>
      </c>
    </row>
    <row r="20" spans="1:16" x14ac:dyDescent="0.25">
      <c r="A20" t="s">
        <v>799</v>
      </c>
      <c r="B20" t="s">
        <v>323</v>
      </c>
      <c r="C20" t="s">
        <v>324</v>
      </c>
      <c r="D20" t="s">
        <v>578</v>
      </c>
      <c r="E20" t="s">
        <v>76</v>
      </c>
      <c r="F20" t="s">
        <v>1142</v>
      </c>
      <c r="G20" t="s">
        <v>1187</v>
      </c>
      <c r="H20">
        <v>100</v>
      </c>
      <c r="I20" t="s">
        <v>1188</v>
      </c>
      <c r="J20">
        <v>5525</v>
      </c>
      <c r="K20" t="s">
        <v>118</v>
      </c>
      <c r="L20">
        <v>55</v>
      </c>
      <c r="M20" t="s">
        <v>2219</v>
      </c>
      <c r="N20" t="s">
        <v>131</v>
      </c>
      <c r="O20" t="s">
        <v>549</v>
      </c>
      <c r="P20" t="s">
        <v>85</v>
      </c>
    </row>
    <row r="21" spans="1:16" x14ac:dyDescent="0.25">
      <c r="A21" t="s">
        <v>799</v>
      </c>
      <c r="B21" t="s">
        <v>323</v>
      </c>
      <c r="C21" t="s">
        <v>324</v>
      </c>
      <c r="D21" t="s">
        <v>578</v>
      </c>
      <c r="E21" t="s">
        <v>76</v>
      </c>
      <c r="F21" t="s">
        <v>1142</v>
      </c>
      <c r="G21" t="s">
        <v>1185</v>
      </c>
      <c r="H21">
        <v>1500</v>
      </c>
      <c r="I21" t="s">
        <v>1186</v>
      </c>
      <c r="J21">
        <v>5525</v>
      </c>
      <c r="K21" t="s">
        <v>118</v>
      </c>
      <c r="L21">
        <v>55</v>
      </c>
      <c r="M21" t="s">
        <v>2219</v>
      </c>
      <c r="N21" t="s">
        <v>131</v>
      </c>
      <c r="O21" t="s">
        <v>549</v>
      </c>
      <c r="P21" t="s">
        <v>85</v>
      </c>
    </row>
    <row r="22" spans="1:16" x14ac:dyDescent="0.25">
      <c r="A22" t="s">
        <v>799</v>
      </c>
      <c r="B22" t="s">
        <v>323</v>
      </c>
      <c r="C22" t="s">
        <v>324</v>
      </c>
      <c r="D22" t="s">
        <v>578</v>
      </c>
      <c r="E22" t="s">
        <v>76</v>
      </c>
      <c r="F22" t="s">
        <v>1142</v>
      </c>
      <c r="G22" t="s">
        <v>1183</v>
      </c>
      <c r="H22">
        <v>100</v>
      </c>
      <c r="I22" t="s">
        <v>1184</v>
      </c>
      <c r="J22">
        <v>5525</v>
      </c>
      <c r="K22" t="s">
        <v>118</v>
      </c>
      <c r="L22">
        <v>55</v>
      </c>
      <c r="M22" t="s">
        <v>2219</v>
      </c>
      <c r="N22" t="s">
        <v>131</v>
      </c>
      <c r="O22" t="s">
        <v>549</v>
      </c>
      <c r="P22" t="s">
        <v>85</v>
      </c>
    </row>
    <row r="23" spans="1:16" x14ac:dyDescent="0.25">
      <c r="A23" t="s">
        <v>799</v>
      </c>
      <c r="B23" t="s">
        <v>323</v>
      </c>
      <c r="C23" t="s">
        <v>324</v>
      </c>
      <c r="D23" t="s">
        <v>578</v>
      </c>
      <c r="E23" t="s">
        <v>76</v>
      </c>
      <c r="F23" t="s">
        <v>1142</v>
      </c>
      <c r="G23" t="s">
        <v>1181</v>
      </c>
      <c r="H23">
        <v>1000</v>
      </c>
      <c r="I23" t="s">
        <v>1182</v>
      </c>
      <c r="J23">
        <v>5525</v>
      </c>
      <c r="K23" t="s">
        <v>118</v>
      </c>
      <c r="L23">
        <v>55</v>
      </c>
      <c r="M23" t="s">
        <v>2219</v>
      </c>
      <c r="N23" t="s">
        <v>131</v>
      </c>
      <c r="O23" t="s">
        <v>549</v>
      </c>
      <c r="P23" t="s">
        <v>85</v>
      </c>
    </row>
    <row r="24" spans="1:16" x14ac:dyDescent="0.25">
      <c r="A24" t="s">
        <v>799</v>
      </c>
      <c r="B24" t="s">
        <v>323</v>
      </c>
      <c r="C24" t="s">
        <v>324</v>
      </c>
      <c r="D24" t="s">
        <v>578</v>
      </c>
      <c r="E24" t="s">
        <v>76</v>
      </c>
      <c r="F24" t="s">
        <v>1142</v>
      </c>
      <c r="G24" t="s">
        <v>1179</v>
      </c>
      <c r="H24">
        <v>200</v>
      </c>
      <c r="I24" t="s">
        <v>1180</v>
      </c>
      <c r="J24">
        <v>5525</v>
      </c>
      <c r="K24" t="s">
        <v>118</v>
      </c>
      <c r="L24">
        <v>55</v>
      </c>
      <c r="M24" t="s">
        <v>2219</v>
      </c>
      <c r="N24" t="s">
        <v>131</v>
      </c>
      <c r="O24" t="s">
        <v>549</v>
      </c>
      <c r="P24" t="s">
        <v>85</v>
      </c>
    </row>
    <row r="25" spans="1:16" x14ac:dyDescent="0.25">
      <c r="A25" t="s">
        <v>799</v>
      </c>
      <c r="B25" t="s">
        <v>323</v>
      </c>
      <c r="C25" t="s">
        <v>324</v>
      </c>
      <c r="D25" t="s">
        <v>578</v>
      </c>
      <c r="E25" t="s">
        <v>76</v>
      </c>
      <c r="F25" t="s">
        <v>1142</v>
      </c>
      <c r="G25" t="s">
        <v>1177</v>
      </c>
      <c r="H25">
        <v>150</v>
      </c>
      <c r="I25" t="s">
        <v>1178</v>
      </c>
      <c r="J25">
        <v>5525</v>
      </c>
      <c r="K25" t="s">
        <v>118</v>
      </c>
      <c r="L25">
        <v>55</v>
      </c>
      <c r="M25" t="s">
        <v>2219</v>
      </c>
      <c r="N25" t="s">
        <v>131</v>
      </c>
      <c r="O25" t="s">
        <v>549</v>
      </c>
      <c r="P25" t="s">
        <v>85</v>
      </c>
    </row>
    <row r="26" spans="1:16" x14ac:dyDescent="0.25">
      <c r="A26" t="s">
        <v>799</v>
      </c>
      <c r="B26" t="s">
        <v>323</v>
      </c>
      <c r="C26" t="s">
        <v>324</v>
      </c>
      <c r="D26" t="s">
        <v>578</v>
      </c>
      <c r="E26" t="s">
        <v>76</v>
      </c>
      <c r="F26" t="s">
        <v>1142</v>
      </c>
      <c r="G26" t="s">
        <v>1175</v>
      </c>
      <c r="H26">
        <v>1500</v>
      </c>
      <c r="I26" t="s">
        <v>1176</v>
      </c>
      <c r="J26">
        <v>5525</v>
      </c>
      <c r="K26" t="s">
        <v>118</v>
      </c>
      <c r="L26">
        <v>55</v>
      </c>
      <c r="M26" t="s">
        <v>2219</v>
      </c>
      <c r="N26" t="s">
        <v>131</v>
      </c>
      <c r="O26" t="s">
        <v>549</v>
      </c>
      <c r="P26" t="s">
        <v>85</v>
      </c>
    </row>
    <row r="27" spans="1:16" x14ac:dyDescent="0.25">
      <c r="A27" t="s">
        <v>799</v>
      </c>
      <c r="B27" t="s">
        <v>323</v>
      </c>
      <c r="C27" t="s">
        <v>324</v>
      </c>
      <c r="D27" t="s">
        <v>578</v>
      </c>
      <c r="E27" t="s">
        <v>76</v>
      </c>
      <c r="F27" t="s">
        <v>1142</v>
      </c>
      <c r="G27" t="s">
        <v>1172</v>
      </c>
      <c r="H27">
        <v>720</v>
      </c>
      <c r="I27" t="s">
        <v>1173</v>
      </c>
      <c r="J27">
        <v>5513</v>
      </c>
      <c r="K27" t="s">
        <v>111</v>
      </c>
      <c r="L27">
        <v>55</v>
      </c>
      <c r="M27" t="s">
        <v>2219</v>
      </c>
      <c r="N27" t="s">
        <v>131</v>
      </c>
      <c r="O27" t="s">
        <v>549</v>
      </c>
      <c r="P27" t="s">
        <v>85</v>
      </c>
    </row>
    <row r="28" spans="1:16" x14ac:dyDescent="0.25">
      <c r="A28" t="s">
        <v>799</v>
      </c>
      <c r="B28" t="s">
        <v>323</v>
      </c>
      <c r="C28" t="s">
        <v>324</v>
      </c>
      <c r="D28" t="s">
        <v>578</v>
      </c>
      <c r="E28" t="s">
        <v>76</v>
      </c>
      <c r="F28" t="s">
        <v>1142</v>
      </c>
      <c r="G28" t="s">
        <v>1149</v>
      </c>
      <c r="H28">
        <v>450</v>
      </c>
      <c r="I28" t="s">
        <v>1150</v>
      </c>
      <c r="J28">
        <v>5504</v>
      </c>
      <c r="K28" t="s">
        <v>102</v>
      </c>
      <c r="L28">
        <v>55</v>
      </c>
      <c r="M28" t="s">
        <v>2219</v>
      </c>
      <c r="N28" t="s">
        <v>131</v>
      </c>
      <c r="O28" t="s">
        <v>549</v>
      </c>
      <c r="P28" t="s">
        <v>85</v>
      </c>
    </row>
    <row r="29" spans="1:16" x14ac:dyDescent="0.25">
      <c r="A29" t="s">
        <v>799</v>
      </c>
      <c r="B29" t="s">
        <v>323</v>
      </c>
      <c r="C29" t="s">
        <v>324</v>
      </c>
      <c r="D29" t="s">
        <v>578</v>
      </c>
      <c r="E29" t="s">
        <v>76</v>
      </c>
      <c r="F29" t="s">
        <v>1142</v>
      </c>
      <c r="G29" t="s">
        <v>1148</v>
      </c>
      <c r="H29">
        <v>50</v>
      </c>
      <c r="J29">
        <v>5500</v>
      </c>
      <c r="K29" t="s">
        <v>100</v>
      </c>
      <c r="L29">
        <v>55</v>
      </c>
      <c r="M29" t="s">
        <v>2219</v>
      </c>
      <c r="N29" t="s">
        <v>131</v>
      </c>
      <c r="O29" t="s">
        <v>549</v>
      </c>
      <c r="P29" t="s">
        <v>85</v>
      </c>
    </row>
    <row r="30" spans="1:16" x14ac:dyDescent="0.25">
      <c r="A30" t="s">
        <v>799</v>
      </c>
      <c r="B30" t="s">
        <v>323</v>
      </c>
      <c r="C30" t="s">
        <v>324</v>
      </c>
      <c r="D30" t="s">
        <v>578</v>
      </c>
      <c r="E30" t="s">
        <v>76</v>
      </c>
      <c r="F30" t="s">
        <v>1142</v>
      </c>
      <c r="G30" t="s">
        <v>1146</v>
      </c>
      <c r="H30">
        <v>100</v>
      </c>
      <c r="I30" t="s">
        <v>1147</v>
      </c>
      <c r="J30">
        <v>5500</v>
      </c>
      <c r="K30" t="s">
        <v>100</v>
      </c>
      <c r="L30">
        <v>55</v>
      </c>
      <c r="M30" t="s">
        <v>2219</v>
      </c>
      <c r="N30" t="s">
        <v>131</v>
      </c>
      <c r="O30" t="s">
        <v>549</v>
      </c>
      <c r="P30" t="s">
        <v>85</v>
      </c>
    </row>
    <row r="31" spans="1:16" x14ac:dyDescent="0.25">
      <c r="A31" t="s">
        <v>799</v>
      </c>
      <c r="B31" t="s">
        <v>323</v>
      </c>
      <c r="C31" t="s">
        <v>324</v>
      </c>
      <c r="D31" t="s">
        <v>578</v>
      </c>
      <c r="E31" t="s">
        <v>76</v>
      </c>
      <c r="F31" t="s">
        <v>1142</v>
      </c>
      <c r="G31" t="s">
        <v>1144</v>
      </c>
      <c r="H31">
        <v>350</v>
      </c>
      <c r="I31" t="s">
        <v>1145</v>
      </c>
      <c r="J31">
        <v>5500</v>
      </c>
      <c r="K31" t="s">
        <v>100</v>
      </c>
      <c r="L31">
        <v>55</v>
      </c>
      <c r="M31" t="s">
        <v>2219</v>
      </c>
      <c r="N31" t="s">
        <v>131</v>
      </c>
      <c r="O31" t="s">
        <v>549</v>
      </c>
      <c r="P31" t="s">
        <v>85</v>
      </c>
    </row>
    <row r="32" spans="1:16" x14ac:dyDescent="0.25">
      <c r="A32" t="s">
        <v>799</v>
      </c>
      <c r="B32" t="s">
        <v>321</v>
      </c>
      <c r="C32" t="s">
        <v>322</v>
      </c>
      <c r="D32" t="s">
        <v>578</v>
      </c>
      <c r="E32" t="s">
        <v>76</v>
      </c>
      <c r="F32" t="s">
        <v>1585</v>
      </c>
      <c r="G32" t="s">
        <v>1588</v>
      </c>
      <c r="H32">
        <v>600</v>
      </c>
      <c r="J32">
        <v>5514</v>
      </c>
      <c r="K32" t="s">
        <v>110</v>
      </c>
      <c r="L32">
        <v>55</v>
      </c>
      <c r="M32" t="s">
        <v>2219</v>
      </c>
      <c r="N32" t="s">
        <v>131</v>
      </c>
      <c r="O32" t="s">
        <v>549</v>
      </c>
      <c r="P32" t="s">
        <v>85</v>
      </c>
    </row>
    <row r="33" spans="1:16" x14ac:dyDescent="0.25">
      <c r="A33" t="s">
        <v>799</v>
      </c>
      <c r="B33" t="s">
        <v>321</v>
      </c>
      <c r="C33" t="s">
        <v>322</v>
      </c>
      <c r="D33" t="s">
        <v>578</v>
      </c>
      <c r="E33" t="s">
        <v>76</v>
      </c>
      <c r="F33" t="s">
        <v>1585</v>
      </c>
      <c r="G33" t="s">
        <v>786</v>
      </c>
      <c r="H33">
        <v>2730</v>
      </c>
      <c r="J33">
        <v>5525</v>
      </c>
      <c r="K33" t="s">
        <v>118</v>
      </c>
      <c r="L33">
        <v>55</v>
      </c>
      <c r="M33" t="s">
        <v>2219</v>
      </c>
      <c r="N33" t="s">
        <v>131</v>
      </c>
      <c r="O33" t="s">
        <v>549</v>
      </c>
      <c r="P33" t="s">
        <v>85</v>
      </c>
    </row>
    <row r="34" spans="1:16" x14ac:dyDescent="0.25">
      <c r="A34" t="s">
        <v>799</v>
      </c>
      <c r="B34" t="s">
        <v>321</v>
      </c>
      <c r="C34" t="s">
        <v>322</v>
      </c>
      <c r="D34" t="s">
        <v>578</v>
      </c>
      <c r="E34" t="s">
        <v>76</v>
      </c>
      <c r="F34" t="s">
        <v>1585</v>
      </c>
      <c r="G34" t="s">
        <v>1589</v>
      </c>
      <c r="H34">
        <v>500</v>
      </c>
      <c r="J34">
        <v>5515</v>
      </c>
      <c r="K34" t="s">
        <v>112</v>
      </c>
      <c r="L34">
        <v>55</v>
      </c>
      <c r="M34" t="s">
        <v>2219</v>
      </c>
      <c r="N34" t="s">
        <v>131</v>
      </c>
      <c r="O34" t="s">
        <v>549</v>
      </c>
      <c r="P34" t="s">
        <v>85</v>
      </c>
    </row>
    <row r="35" spans="1:16" x14ac:dyDescent="0.25">
      <c r="A35" t="s">
        <v>799</v>
      </c>
      <c r="B35" t="s">
        <v>321</v>
      </c>
      <c r="C35" t="s">
        <v>322</v>
      </c>
      <c r="D35" t="s">
        <v>578</v>
      </c>
      <c r="E35" t="s">
        <v>76</v>
      </c>
      <c r="F35" t="s">
        <v>1585</v>
      </c>
      <c r="G35" t="s">
        <v>1587</v>
      </c>
      <c r="H35">
        <v>400</v>
      </c>
      <c r="J35">
        <v>5513</v>
      </c>
      <c r="K35" t="s">
        <v>111</v>
      </c>
      <c r="L35">
        <v>55</v>
      </c>
      <c r="M35" t="s">
        <v>2219</v>
      </c>
      <c r="N35" t="s">
        <v>131</v>
      </c>
      <c r="O35" t="s">
        <v>549</v>
      </c>
      <c r="P35" t="s">
        <v>85</v>
      </c>
    </row>
    <row r="36" spans="1:16" x14ac:dyDescent="0.25">
      <c r="A36" t="s">
        <v>799</v>
      </c>
      <c r="B36" t="s">
        <v>321</v>
      </c>
      <c r="C36" t="s">
        <v>322</v>
      </c>
      <c r="D36" t="s">
        <v>578</v>
      </c>
      <c r="E36" t="s">
        <v>76</v>
      </c>
      <c r="F36" t="s">
        <v>1585</v>
      </c>
      <c r="G36" t="s">
        <v>1521</v>
      </c>
      <c r="H36">
        <v>100</v>
      </c>
      <c r="J36">
        <v>5504</v>
      </c>
      <c r="K36" t="s">
        <v>102</v>
      </c>
      <c r="L36">
        <v>55</v>
      </c>
      <c r="M36" t="s">
        <v>2219</v>
      </c>
      <c r="N36" t="s">
        <v>131</v>
      </c>
      <c r="O36" t="s">
        <v>549</v>
      </c>
      <c r="P36" t="s">
        <v>85</v>
      </c>
    </row>
    <row r="37" spans="1:16" x14ac:dyDescent="0.25">
      <c r="A37" t="s">
        <v>799</v>
      </c>
      <c r="B37" t="s">
        <v>321</v>
      </c>
      <c r="C37" t="s">
        <v>322</v>
      </c>
      <c r="D37" t="s">
        <v>578</v>
      </c>
      <c r="E37" t="s">
        <v>76</v>
      </c>
      <c r="F37" t="s">
        <v>1585</v>
      </c>
      <c r="G37" t="s">
        <v>1119</v>
      </c>
      <c r="H37">
        <v>120</v>
      </c>
      <c r="J37">
        <v>5500</v>
      </c>
      <c r="K37" t="s">
        <v>100</v>
      </c>
      <c r="L37">
        <v>55</v>
      </c>
      <c r="M37" t="s">
        <v>2219</v>
      </c>
      <c r="N37" t="s">
        <v>131</v>
      </c>
      <c r="O37" t="s">
        <v>549</v>
      </c>
      <c r="P37" t="s">
        <v>85</v>
      </c>
    </row>
    <row r="38" spans="1:16" x14ac:dyDescent="0.25">
      <c r="A38" t="s">
        <v>799</v>
      </c>
      <c r="B38" t="s">
        <v>321</v>
      </c>
      <c r="C38" t="s">
        <v>322</v>
      </c>
      <c r="D38" t="s">
        <v>578</v>
      </c>
      <c r="E38" t="s">
        <v>76</v>
      </c>
      <c r="F38" t="s">
        <v>1585</v>
      </c>
      <c r="G38" t="s">
        <v>1586</v>
      </c>
      <c r="H38">
        <v>8000</v>
      </c>
      <c r="J38">
        <v>5511</v>
      </c>
      <c r="K38" t="s">
        <v>106</v>
      </c>
      <c r="L38">
        <v>55</v>
      </c>
      <c r="M38" t="s">
        <v>2219</v>
      </c>
      <c r="N38" t="s">
        <v>131</v>
      </c>
      <c r="O38" t="s">
        <v>549</v>
      </c>
      <c r="P38" t="s">
        <v>85</v>
      </c>
    </row>
    <row r="39" spans="1:16" x14ac:dyDescent="0.25">
      <c r="A39" t="s">
        <v>799</v>
      </c>
      <c r="B39" t="s">
        <v>320</v>
      </c>
      <c r="C39" t="s">
        <v>2054</v>
      </c>
      <c r="D39" t="s">
        <v>578</v>
      </c>
      <c r="E39" t="s">
        <v>76</v>
      </c>
      <c r="F39" t="s">
        <v>841</v>
      </c>
      <c r="G39" t="s">
        <v>2053</v>
      </c>
      <c r="H39">
        <v>-20000</v>
      </c>
      <c r="I39" t="s">
        <v>2190</v>
      </c>
      <c r="J39">
        <v>20385</v>
      </c>
      <c r="K39" t="s">
        <v>958</v>
      </c>
      <c r="L39">
        <v>3502</v>
      </c>
      <c r="M39" t="s">
        <v>2218</v>
      </c>
      <c r="N39" t="s">
        <v>2024</v>
      </c>
      <c r="O39" t="s">
        <v>2024</v>
      </c>
      <c r="P39" t="s">
        <v>87</v>
      </c>
    </row>
    <row r="40" spans="1:16" x14ac:dyDescent="0.25">
      <c r="A40" t="s">
        <v>799</v>
      </c>
      <c r="B40" t="s">
        <v>320</v>
      </c>
      <c r="C40" t="s">
        <v>2054</v>
      </c>
      <c r="D40" t="s">
        <v>578</v>
      </c>
      <c r="E40" t="s">
        <v>76</v>
      </c>
      <c r="F40" t="s">
        <v>841</v>
      </c>
      <c r="G40" t="s">
        <v>2053</v>
      </c>
      <c r="H40">
        <v>20000</v>
      </c>
      <c r="I40" t="s">
        <v>2190</v>
      </c>
      <c r="J40">
        <v>1551</v>
      </c>
      <c r="K40" t="s">
        <v>92</v>
      </c>
      <c r="L40">
        <v>15</v>
      </c>
      <c r="M40" t="s">
        <v>2220</v>
      </c>
      <c r="N40" t="s">
        <v>4</v>
      </c>
      <c r="O40" t="s">
        <v>4</v>
      </c>
      <c r="P40" t="s">
        <v>87</v>
      </c>
    </row>
    <row r="41" spans="1:16" x14ac:dyDescent="0.25">
      <c r="A41" t="s">
        <v>799</v>
      </c>
      <c r="B41" t="s">
        <v>320</v>
      </c>
      <c r="C41" t="s">
        <v>2054</v>
      </c>
      <c r="D41" t="s">
        <v>578</v>
      </c>
      <c r="E41" t="s">
        <v>76</v>
      </c>
      <c r="F41" t="s">
        <v>1110</v>
      </c>
      <c r="G41" t="s">
        <v>2179</v>
      </c>
      <c r="H41">
        <v>552</v>
      </c>
      <c r="J41">
        <v>5513</v>
      </c>
      <c r="K41" t="s">
        <v>111</v>
      </c>
      <c r="L41">
        <v>55</v>
      </c>
      <c r="M41" t="s">
        <v>2219</v>
      </c>
      <c r="N41" t="s">
        <v>131</v>
      </c>
      <c r="O41" t="s">
        <v>549</v>
      </c>
      <c r="P41" t="s">
        <v>85</v>
      </c>
    </row>
    <row r="42" spans="1:16" x14ac:dyDescent="0.25">
      <c r="A42" t="s">
        <v>799</v>
      </c>
      <c r="B42" t="s">
        <v>320</v>
      </c>
      <c r="C42" t="s">
        <v>2054</v>
      </c>
      <c r="D42" t="s">
        <v>578</v>
      </c>
      <c r="E42" t="s">
        <v>76</v>
      </c>
      <c r="F42" t="s">
        <v>841</v>
      </c>
      <c r="G42" t="s">
        <v>2055</v>
      </c>
      <c r="H42">
        <v>32000</v>
      </c>
      <c r="J42">
        <v>1551</v>
      </c>
      <c r="K42" t="s">
        <v>92</v>
      </c>
      <c r="L42">
        <v>15</v>
      </c>
      <c r="M42" t="s">
        <v>2220</v>
      </c>
      <c r="N42" t="s">
        <v>4</v>
      </c>
      <c r="O42" t="s">
        <v>4</v>
      </c>
      <c r="P42" t="s">
        <v>87</v>
      </c>
    </row>
    <row r="43" spans="1:16" x14ac:dyDescent="0.25">
      <c r="A43" t="s">
        <v>799</v>
      </c>
      <c r="B43" t="s">
        <v>320</v>
      </c>
      <c r="C43" t="s">
        <v>2054</v>
      </c>
      <c r="D43" t="s">
        <v>578</v>
      </c>
      <c r="E43" t="s">
        <v>76</v>
      </c>
      <c r="F43" t="s">
        <v>841</v>
      </c>
      <c r="G43" t="s">
        <v>2053</v>
      </c>
      <c r="H43">
        <v>64820</v>
      </c>
      <c r="J43">
        <v>1551</v>
      </c>
      <c r="K43" t="s">
        <v>92</v>
      </c>
      <c r="L43">
        <v>15</v>
      </c>
      <c r="M43" t="s">
        <v>2220</v>
      </c>
      <c r="N43" t="s">
        <v>4</v>
      </c>
      <c r="O43" t="s">
        <v>4</v>
      </c>
      <c r="P43" t="s">
        <v>87</v>
      </c>
    </row>
    <row r="44" spans="1:16" x14ac:dyDescent="0.25">
      <c r="A44" t="s">
        <v>799</v>
      </c>
      <c r="B44" t="s">
        <v>320</v>
      </c>
      <c r="C44" t="s">
        <v>2054</v>
      </c>
      <c r="D44" t="s">
        <v>578</v>
      </c>
      <c r="E44" t="s">
        <v>76</v>
      </c>
      <c r="F44" t="s">
        <v>1110</v>
      </c>
      <c r="G44" t="s">
        <v>1131</v>
      </c>
      <c r="H44">
        <v>500</v>
      </c>
      <c r="I44" t="s">
        <v>1132</v>
      </c>
      <c r="J44">
        <v>5511</v>
      </c>
      <c r="K44" t="s">
        <v>106</v>
      </c>
      <c r="L44">
        <v>55</v>
      </c>
      <c r="M44" t="s">
        <v>2219</v>
      </c>
      <c r="N44" t="s">
        <v>131</v>
      </c>
      <c r="O44" t="s">
        <v>549</v>
      </c>
      <c r="P44" t="s">
        <v>85</v>
      </c>
    </row>
    <row r="45" spans="1:16" x14ac:dyDescent="0.25">
      <c r="A45" t="s">
        <v>799</v>
      </c>
      <c r="B45" t="s">
        <v>320</v>
      </c>
      <c r="C45" t="s">
        <v>2054</v>
      </c>
      <c r="D45" t="s">
        <v>578</v>
      </c>
      <c r="E45" t="s">
        <v>76</v>
      </c>
      <c r="F45" t="s">
        <v>1110</v>
      </c>
      <c r="G45" t="s">
        <v>1130</v>
      </c>
      <c r="H45">
        <v>100</v>
      </c>
      <c r="J45">
        <v>5511</v>
      </c>
      <c r="K45" t="s">
        <v>106</v>
      </c>
      <c r="L45">
        <v>55</v>
      </c>
      <c r="M45" t="s">
        <v>2219</v>
      </c>
      <c r="N45" t="s">
        <v>131</v>
      </c>
      <c r="O45" t="s">
        <v>549</v>
      </c>
      <c r="P45" t="s">
        <v>85</v>
      </c>
    </row>
    <row r="46" spans="1:16" x14ac:dyDescent="0.25">
      <c r="A46" t="s">
        <v>799</v>
      </c>
      <c r="B46" t="s">
        <v>320</v>
      </c>
      <c r="C46" t="s">
        <v>2054</v>
      </c>
      <c r="D46" t="s">
        <v>578</v>
      </c>
      <c r="E46" t="s">
        <v>76</v>
      </c>
      <c r="F46" t="s">
        <v>1110</v>
      </c>
      <c r="G46" t="s">
        <v>1129</v>
      </c>
      <c r="H46">
        <v>500</v>
      </c>
      <c r="J46">
        <v>5511</v>
      </c>
      <c r="K46" t="s">
        <v>106</v>
      </c>
      <c r="L46">
        <v>55</v>
      </c>
      <c r="M46" t="s">
        <v>2219</v>
      </c>
      <c r="N46" t="s">
        <v>131</v>
      </c>
      <c r="O46" t="s">
        <v>549</v>
      </c>
      <c r="P46" t="s">
        <v>85</v>
      </c>
    </row>
    <row r="47" spans="1:16" x14ac:dyDescent="0.25">
      <c r="A47" t="s">
        <v>799</v>
      </c>
      <c r="B47" t="s">
        <v>320</v>
      </c>
      <c r="C47" t="s">
        <v>2054</v>
      </c>
      <c r="D47" t="s">
        <v>578</v>
      </c>
      <c r="E47" t="s">
        <v>76</v>
      </c>
      <c r="F47" t="s">
        <v>1110</v>
      </c>
      <c r="G47" t="s">
        <v>971</v>
      </c>
      <c r="H47">
        <v>100</v>
      </c>
      <c r="J47">
        <v>5511</v>
      </c>
      <c r="K47" t="s">
        <v>106</v>
      </c>
      <c r="L47">
        <v>55</v>
      </c>
      <c r="M47" t="s">
        <v>2219</v>
      </c>
      <c r="N47" t="s">
        <v>131</v>
      </c>
      <c r="O47" t="s">
        <v>549</v>
      </c>
      <c r="P47" t="s">
        <v>85</v>
      </c>
    </row>
    <row r="48" spans="1:16" x14ac:dyDescent="0.25">
      <c r="A48" t="s">
        <v>799</v>
      </c>
      <c r="B48" t="s">
        <v>320</v>
      </c>
      <c r="C48" t="s">
        <v>2054</v>
      </c>
      <c r="D48" t="s">
        <v>578</v>
      </c>
      <c r="E48" t="s">
        <v>76</v>
      </c>
      <c r="F48" t="s">
        <v>1110</v>
      </c>
      <c r="G48" t="s">
        <v>1127</v>
      </c>
      <c r="H48">
        <v>2000</v>
      </c>
      <c r="I48" t="s">
        <v>1128</v>
      </c>
      <c r="J48">
        <v>5511</v>
      </c>
      <c r="K48" t="s">
        <v>106</v>
      </c>
      <c r="L48">
        <v>55</v>
      </c>
      <c r="M48" t="s">
        <v>2219</v>
      </c>
      <c r="N48" t="s">
        <v>131</v>
      </c>
      <c r="O48" t="s">
        <v>549</v>
      </c>
      <c r="P48" t="s">
        <v>85</v>
      </c>
    </row>
    <row r="49" spans="1:16" x14ac:dyDescent="0.25">
      <c r="A49" t="s">
        <v>799</v>
      </c>
      <c r="B49" t="s">
        <v>320</v>
      </c>
      <c r="C49" t="s">
        <v>2054</v>
      </c>
      <c r="D49" t="s">
        <v>578</v>
      </c>
      <c r="E49" t="s">
        <v>76</v>
      </c>
      <c r="F49" t="s">
        <v>1110</v>
      </c>
      <c r="G49" t="s">
        <v>1126</v>
      </c>
      <c r="H49">
        <v>400</v>
      </c>
      <c r="J49">
        <v>5511</v>
      </c>
      <c r="K49" t="s">
        <v>106</v>
      </c>
      <c r="L49">
        <v>55</v>
      </c>
      <c r="M49" t="s">
        <v>2219</v>
      </c>
      <c r="N49" t="s">
        <v>131</v>
      </c>
      <c r="O49" t="s">
        <v>549</v>
      </c>
      <c r="P49" t="s">
        <v>85</v>
      </c>
    </row>
    <row r="50" spans="1:16" x14ac:dyDescent="0.25">
      <c r="A50" t="s">
        <v>799</v>
      </c>
      <c r="B50" t="s">
        <v>320</v>
      </c>
      <c r="C50" t="s">
        <v>2054</v>
      </c>
      <c r="D50" t="s">
        <v>578</v>
      </c>
      <c r="E50" t="s">
        <v>76</v>
      </c>
      <c r="F50" t="s">
        <v>1110</v>
      </c>
      <c r="G50" t="s">
        <v>943</v>
      </c>
      <c r="H50">
        <v>3000</v>
      </c>
      <c r="J50">
        <v>5511</v>
      </c>
      <c r="K50" t="s">
        <v>106</v>
      </c>
      <c r="L50">
        <v>55</v>
      </c>
      <c r="M50" t="s">
        <v>2219</v>
      </c>
      <c r="N50" t="s">
        <v>131</v>
      </c>
      <c r="O50" t="s">
        <v>549</v>
      </c>
      <c r="P50" t="s">
        <v>85</v>
      </c>
    </row>
    <row r="51" spans="1:16" x14ac:dyDescent="0.25">
      <c r="A51" t="s">
        <v>799</v>
      </c>
      <c r="B51" t="s">
        <v>320</v>
      </c>
      <c r="C51" t="s">
        <v>2054</v>
      </c>
      <c r="D51" t="s">
        <v>578</v>
      </c>
      <c r="E51" t="s">
        <v>76</v>
      </c>
      <c r="F51" t="s">
        <v>1110</v>
      </c>
      <c r="G51" t="s">
        <v>1125</v>
      </c>
      <c r="H51">
        <v>20000</v>
      </c>
      <c r="J51">
        <v>5511</v>
      </c>
      <c r="K51" t="s">
        <v>106</v>
      </c>
      <c r="L51">
        <v>55</v>
      </c>
      <c r="M51" t="s">
        <v>2219</v>
      </c>
      <c r="N51" t="s">
        <v>131</v>
      </c>
      <c r="O51" t="s">
        <v>549</v>
      </c>
      <c r="P51" t="s">
        <v>85</v>
      </c>
    </row>
    <row r="52" spans="1:16" x14ac:dyDescent="0.25">
      <c r="A52" t="s">
        <v>799</v>
      </c>
      <c r="B52" t="s">
        <v>320</v>
      </c>
      <c r="C52" t="s">
        <v>2054</v>
      </c>
      <c r="D52" t="s">
        <v>578</v>
      </c>
      <c r="E52" t="s">
        <v>76</v>
      </c>
      <c r="F52" t="s">
        <v>1110</v>
      </c>
      <c r="G52" t="s">
        <v>1138</v>
      </c>
      <c r="H52">
        <v>1000</v>
      </c>
      <c r="J52">
        <v>5525</v>
      </c>
      <c r="K52" t="s">
        <v>118</v>
      </c>
      <c r="L52">
        <v>55</v>
      </c>
      <c r="M52" t="s">
        <v>2219</v>
      </c>
      <c r="N52" t="s">
        <v>131</v>
      </c>
      <c r="O52" t="s">
        <v>549</v>
      </c>
      <c r="P52" t="s">
        <v>85</v>
      </c>
    </row>
    <row r="53" spans="1:16" x14ac:dyDescent="0.25">
      <c r="A53" t="s">
        <v>799</v>
      </c>
      <c r="B53" t="s">
        <v>320</v>
      </c>
      <c r="C53" t="s">
        <v>2054</v>
      </c>
      <c r="D53" t="s">
        <v>578</v>
      </c>
      <c r="E53" t="s">
        <v>76</v>
      </c>
      <c r="F53" t="s">
        <v>1110</v>
      </c>
      <c r="G53" t="s">
        <v>786</v>
      </c>
      <c r="H53">
        <v>18800</v>
      </c>
      <c r="I53" t="s">
        <v>1136</v>
      </c>
      <c r="J53">
        <v>5525</v>
      </c>
      <c r="K53" t="s">
        <v>118</v>
      </c>
      <c r="L53">
        <v>55</v>
      </c>
      <c r="M53" t="s">
        <v>2219</v>
      </c>
      <c r="N53" t="s">
        <v>131</v>
      </c>
      <c r="O53" t="s">
        <v>549</v>
      </c>
      <c r="P53" t="s">
        <v>85</v>
      </c>
    </row>
    <row r="54" spans="1:16" x14ac:dyDescent="0.25">
      <c r="A54" t="s">
        <v>799</v>
      </c>
      <c r="B54" t="s">
        <v>320</v>
      </c>
      <c r="C54" t="s">
        <v>2054</v>
      </c>
      <c r="D54" t="s">
        <v>578</v>
      </c>
      <c r="E54" t="s">
        <v>76</v>
      </c>
      <c r="F54" t="s">
        <v>1110</v>
      </c>
      <c r="G54" t="s">
        <v>1137</v>
      </c>
      <c r="H54">
        <v>400</v>
      </c>
      <c r="J54">
        <v>5522</v>
      </c>
      <c r="K54" t="s">
        <v>115</v>
      </c>
      <c r="L54">
        <v>55</v>
      </c>
      <c r="M54" t="s">
        <v>2219</v>
      </c>
      <c r="N54" t="s">
        <v>131</v>
      </c>
      <c r="O54" t="s">
        <v>549</v>
      </c>
      <c r="P54" t="s">
        <v>85</v>
      </c>
    </row>
    <row r="55" spans="1:16" x14ac:dyDescent="0.25">
      <c r="A55" t="s">
        <v>799</v>
      </c>
      <c r="B55" t="s">
        <v>320</v>
      </c>
      <c r="C55" t="s">
        <v>2054</v>
      </c>
      <c r="D55" t="s">
        <v>578</v>
      </c>
      <c r="E55" t="s">
        <v>76</v>
      </c>
      <c r="F55" t="s">
        <v>1110</v>
      </c>
      <c r="G55" t="s">
        <v>442</v>
      </c>
      <c r="H55">
        <v>900</v>
      </c>
      <c r="J55">
        <v>5513</v>
      </c>
      <c r="K55" t="s">
        <v>111</v>
      </c>
      <c r="L55">
        <v>55</v>
      </c>
      <c r="M55" t="s">
        <v>2219</v>
      </c>
      <c r="N55" t="s">
        <v>131</v>
      </c>
      <c r="O55" t="s">
        <v>549</v>
      </c>
      <c r="P55" t="s">
        <v>85</v>
      </c>
    </row>
    <row r="56" spans="1:16" x14ac:dyDescent="0.25">
      <c r="A56" t="s">
        <v>799</v>
      </c>
      <c r="B56" t="s">
        <v>320</v>
      </c>
      <c r="C56" t="s">
        <v>2054</v>
      </c>
      <c r="D56" t="s">
        <v>578</v>
      </c>
      <c r="E56" t="s">
        <v>76</v>
      </c>
      <c r="F56" t="s">
        <v>1110</v>
      </c>
      <c r="G56" t="s">
        <v>409</v>
      </c>
      <c r="H56">
        <v>200</v>
      </c>
      <c r="J56">
        <v>5504</v>
      </c>
      <c r="K56" t="s">
        <v>102</v>
      </c>
      <c r="L56">
        <v>55</v>
      </c>
      <c r="M56" t="s">
        <v>2219</v>
      </c>
      <c r="N56" t="s">
        <v>131</v>
      </c>
      <c r="O56" t="s">
        <v>549</v>
      </c>
      <c r="P56" t="s">
        <v>85</v>
      </c>
    </row>
    <row r="57" spans="1:16" x14ac:dyDescent="0.25">
      <c r="A57" t="s">
        <v>799</v>
      </c>
      <c r="B57" t="s">
        <v>320</v>
      </c>
      <c r="C57" t="s">
        <v>2054</v>
      </c>
      <c r="D57" t="s">
        <v>578</v>
      </c>
      <c r="E57" t="s">
        <v>76</v>
      </c>
      <c r="F57" t="s">
        <v>1110</v>
      </c>
      <c r="G57" t="s">
        <v>1124</v>
      </c>
      <c r="H57">
        <v>400</v>
      </c>
      <c r="J57">
        <v>5500</v>
      </c>
      <c r="K57" t="s">
        <v>100</v>
      </c>
      <c r="L57">
        <v>55</v>
      </c>
      <c r="M57" t="s">
        <v>2219</v>
      </c>
      <c r="N57" t="s">
        <v>131</v>
      </c>
      <c r="O57" t="s">
        <v>549</v>
      </c>
      <c r="P57" t="s">
        <v>85</v>
      </c>
    </row>
    <row r="58" spans="1:16" x14ac:dyDescent="0.25">
      <c r="A58" t="s">
        <v>799</v>
      </c>
      <c r="B58" t="s">
        <v>320</v>
      </c>
      <c r="C58" t="s">
        <v>2054</v>
      </c>
      <c r="D58" t="s">
        <v>578</v>
      </c>
      <c r="E58" t="s">
        <v>76</v>
      </c>
      <c r="F58" t="s">
        <v>1110</v>
      </c>
      <c r="G58" t="s">
        <v>1123</v>
      </c>
      <c r="H58">
        <v>100</v>
      </c>
      <c r="J58">
        <v>5500</v>
      </c>
      <c r="K58" t="s">
        <v>100</v>
      </c>
      <c r="L58">
        <v>55</v>
      </c>
      <c r="M58" t="s">
        <v>2219</v>
      </c>
      <c r="N58" t="s">
        <v>131</v>
      </c>
      <c r="O58" t="s">
        <v>549</v>
      </c>
      <c r="P58" t="s">
        <v>85</v>
      </c>
    </row>
    <row r="59" spans="1:16" x14ac:dyDescent="0.25">
      <c r="A59" t="s">
        <v>799</v>
      </c>
      <c r="B59" t="s">
        <v>320</v>
      </c>
      <c r="C59" t="s">
        <v>2054</v>
      </c>
      <c r="D59" t="s">
        <v>578</v>
      </c>
      <c r="E59" t="s">
        <v>76</v>
      </c>
      <c r="F59" t="s">
        <v>1110</v>
      </c>
      <c r="G59" t="s">
        <v>1121</v>
      </c>
      <c r="H59">
        <v>300</v>
      </c>
      <c r="I59" t="s">
        <v>1122</v>
      </c>
      <c r="J59">
        <v>5500</v>
      </c>
      <c r="K59" t="s">
        <v>100</v>
      </c>
      <c r="L59">
        <v>55</v>
      </c>
      <c r="M59" t="s">
        <v>2219</v>
      </c>
      <c r="N59" t="s">
        <v>131</v>
      </c>
      <c r="O59" t="s">
        <v>549</v>
      </c>
      <c r="P59" t="s">
        <v>85</v>
      </c>
    </row>
    <row r="60" spans="1:16" x14ac:dyDescent="0.25">
      <c r="A60" t="s">
        <v>799</v>
      </c>
      <c r="B60" t="s">
        <v>320</v>
      </c>
      <c r="C60" t="s">
        <v>2054</v>
      </c>
      <c r="D60" t="s">
        <v>578</v>
      </c>
      <c r="E60" t="s">
        <v>76</v>
      </c>
      <c r="F60" t="s">
        <v>1110</v>
      </c>
      <c r="G60" t="s">
        <v>1120</v>
      </c>
      <c r="H60">
        <v>500</v>
      </c>
      <c r="J60">
        <v>5500</v>
      </c>
      <c r="K60" t="s">
        <v>100</v>
      </c>
      <c r="L60">
        <v>55</v>
      </c>
      <c r="M60" t="s">
        <v>2219</v>
      </c>
      <c r="N60" t="s">
        <v>131</v>
      </c>
      <c r="O60" t="s">
        <v>549</v>
      </c>
      <c r="P60" t="s">
        <v>85</v>
      </c>
    </row>
    <row r="61" spans="1:16" x14ac:dyDescent="0.25">
      <c r="A61" t="s">
        <v>799</v>
      </c>
      <c r="B61" t="s">
        <v>320</v>
      </c>
      <c r="C61" t="s">
        <v>2054</v>
      </c>
      <c r="D61" t="s">
        <v>578</v>
      </c>
      <c r="E61" t="s">
        <v>76</v>
      </c>
      <c r="F61" t="s">
        <v>1110</v>
      </c>
      <c r="G61" t="s">
        <v>1119</v>
      </c>
      <c r="H61">
        <v>300</v>
      </c>
      <c r="J61">
        <v>5500</v>
      </c>
      <c r="K61" t="s">
        <v>100</v>
      </c>
      <c r="L61">
        <v>55</v>
      </c>
      <c r="M61" t="s">
        <v>2219</v>
      </c>
      <c r="N61" t="s">
        <v>131</v>
      </c>
      <c r="O61" t="s">
        <v>549</v>
      </c>
      <c r="P61" t="s">
        <v>85</v>
      </c>
    </row>
    <row r="62" spans="1:16" x14ac:dyDescent="0.25">
      <c r="A62" t="s">
        <v>799</v>
      </c>
      <c r="B62" t="s">
        <v>316</v>
      </c>
      <c r="C62" t="s">
        <v>317</v>
      </c>
      <c r="D62" t="s">
        <v>578</v>
      </c>
      <c r="E62" t="s">
        <v>76</v>
      </c>
      <c r="F62" t="s">
        <v>1788</v>
      </c>
      <c r="G62" t="s">
        <v>1820</v>
      </c>
      <c r="H62">
        <v>400</v>
      </c>
      <c r="I62" t="s">
        <v>1821</v>
      </c>
      <c r="J62">
        <v>5540</v>
      </c>
      <c r="K62" t="s">
        <v>121</v>
      </c>
      <c r="L62">
        <v>55</v>
      </c>
      <c r="M62" t="s">
        <v>2219</v>
      </c>
      <c r="N62" t="s">
        <v>131</v>
      </c>
      <c r="O62" t="s">
        <v>549</v>
      </c>
      <c r="P62" t="s">
        <v>85</v>
      </c>
    </row>
    <row r="63" spans="1:16" x14ac:dyDescent="0.25">
      <c r="A63" t="s">
        <v>799</v>
      </c>
      <c r="B63" t="s">
        <v>316</v>
      </c>
      <c r="C63" t="s">
        <v>317</v>
      </c>
      <c r="D63" t="s">
        <v>578</v>
      </c>
      <c r="E63" t="s">
        <v>76</v>
      </c>
      <c r="F63" t="s">
        <v>1788</v>
      </c>
      <c r="G63" t="s">
        <v>2115</v>
      </c>
      <c r="H63">
        <v>50</v>
      </c>
      <c r="I63" t="s">
        <v>440</v>
      </c>
      <c r="J63">
        <v>5525</v>
      </c>
      <c r="K63" t="s">
        <v>118</v>
      </c>
      <c r="L63">
        <v>55</v>
      </c>
      <c r="M63" t="s">
        <v>2219</v>
      </c>
      <c r="N63" t="s">
        <v>131</v>
      </c>
      <c r="O63" t="s">
        <v>549</v>
      </c>
      <c r="P63" t="s">
        <v>85</v>
      </c>
    </row>
    <row r="64" spans="1:16" x14ac:dyDescent="0.25">
      <c r="A64" t="s">
        <v>799</v>
      </c>
      <c r="B64" t="s">
        <v>316</v>
      </c>
      <c r="C64" t="s">
        <v>317</v>
      </c>
      <c r="D64" t="s">
        <v>578</v>
      </c>
      <c r="E64" t="s">
        <v>76</v>
      </c>
      <c r="F64" t="s">
        <v>1788</v>
      </c>
      <c r="G64" t="s">
        <v>1799</v>
      </c>
      <c r="H64">
        <v>2500</v>
      </c>
      <c r="I64" t="s">
        <v>1801</v>
      </c>
      <c r="J64">
        <v>5525</v>
      </c>
      <c r="K64" t="s">
        <v>118</v>
      </c>
      <c r="L64">
        <v>55</v>
      </c>
      <c r="M64" t="s">
        <v>2219</v>
      </c>
      <c r="N64" t="s">
        <v>131</v>
      </c>
      <c r="O64" t="s">
        <v>549</v>
      </c>
      <c r="P64" t="s">
        <v>85</v>
      </c>
    </row>
    <row r="65" spans="1:16" x14ac:dyDescent="0.25">
      <c r="A65" t="s">
        <v>799</v>
      </c>
      <c r="B65" t="s">
        <v>316</v>
      </c>
      <c r="C65" t="s">
        <v>317</v>
      </c>
      <c r="D65" t="s">
        <v>578</v>
      </c>
      <c r="E65" t="s">
        <v>76</v>
      </c>
      <c r="F65" t="s">
        <v>1788</v>
      </c>
      <c r="G65" t="s">
        <v>1798</v>
      </c>
      <c r="H65">
        <v>1000</v>
      </c>
      <c r="I65" t="s">
        <v>1800</v>
      </c>
      <c r="J65">
        <v>5525</v>
      </c>
      <c r="K65" t="s">
        <v>118</v>
      </c>
      <c r="L65">
        <v>55</v>
      </c>
      <c r="M65" t="s">
        <v>2219</v>
      </c>
      <c r="N65" t="s">
        <v>131</v>
      </c>
      <c r="O65" t="s">
        <v>549</v>
      </c>
      <c r="P65" t="s">
        <v>85</v>
      </c>
    </row>
    <row r="66" spans="1:16" x14ac:dyDescent="0.25">
      <c r="A66" t="s">
        <v>799</v>
      </c>
      <c r="B66" t="s">
        <v>316</v>
      </c>
      <c r="C66" t="s">
        <v>317</v>
      </c>
      <c r="D66" t="s">
        <v>578</v>
      </c>
      <c r="E66" t="s">
        <v>76</v>
      </c>
      <c r="F66" t="s">
        <v>1788</v>
      </c>
      <c r="G66" t="s">
        <v>1795</v>
      </c>
      <c r="H66">
        <v>1500</v>
      </c>
      <c r="I66" t="s">
        <v>1797</v>
      </c>
      <c r="J66">
        <v>5525</v>
      </c>
      <c r="K66" t="s">
        <v>118</v>
      </c>
      <c r="L66">
        <v>55</v>
      </c>
      <c r="M66" t="s">
        <v>2219</v>
      </c>
      <c r="N66" t="s">
        <v>131</v>
      </c>
      <c r="O66" t="s">
        <v>549</v>
      </c>
      <c r="P66" t="s">
        <v>85</v>
      </c>
    </row>
    <row r="67" spans="1:16" x14ac:dyDescent="0.25">
      <c r="A67" t="s">
        <v>799</v>
      </c>
      <c r="B67" t="s">
        <v>316</v>
      </c>
      <c r="C67" t="s">
        <v>317</v>
      </c>
      <c r="D67" t="s">
        <v>578</v>
      </c>
      <c r="E67" t="s">
        <v>76</v>
      </c>
      <c r="F67" t="s">
        <v>1788</v>
      </c>
      <c r="G67" t="s">
        <v>1794</v>
      </c>
      <c r="H67">
        <v>1200</v>
      </c>
      <c r="I67" t="s">
        <v>1796</v>
      </c>
      <c r="J67">
        <v>5525</v>
      </c>
      <c r="K67" t="s">
        <v>118</v>
      </c>
      <c r="L67">
        <v>55</v>
      </c>
      <c r="M67" t="s">
        <v>2219</v>
      </c>
      <c r="N67" t="s">
        <v>131</v>
      </c>
      <c r="O67" t="s">
        <v>549</v>
      </c>
      <c r="P67" t="s">
        <v>85</v>
      </c>
    </row>
    <row r="68" spans="1:16" x14ac:dyDescent="0.25">
      <c r="A68" t="s">
        <v>799</v>
      </c>
      <c r="B68" t="s">
        <v>316</v>
      </c>
      <c r="C68" t="s">
        <v>317</v>
      </c>
      <c r="D68" t="s">
        <v>578</v>
      </c>
      <c r="E68" t="s">
        <v>76</v>
      </c>
      <c r="F68" t="s">
        <v>1788</v>
      </c>
      <c r="G68" t="s">
        <v>242</v>
      </c>
      <c r="H68">
        <v>100</v>
      </c>
      <c r="J68">
        <v>5514</v>
      </c>
      <c r="K68" t="s">
        <v>110</v>
      </c>
      <c r="L68">
        <v>55</v>
      </c>
      <c r="M68" t="s">
        <v>2219</v>
      </c>
      <c r="N68" t="s">
        <v>131</v>
      </c>
      <c r="O68" t="s">
        <v>549</v>
      </c>
      <c r="P68" t="s">
        <v>85</v>
      </c>
    </row>
    <row r="69" spans="1:16" x14ac:dyDescent="0.25">
      <c r="A69" t="s">
        <v>799</v>
      </c>
      <c r="B69" t="s">
        <v>316</v>
      </c>
      <c r="C69" t="s">
        <v>317</v>
      </c>
      <c r="D69" t="s">
        <v>578</v>
      </c>
      <c r="E69" t="s">
        <v>76</v>
      </c>
      <c r="F69" t="s">
        <v>1788</v>
      </c>
      <c r="G69" t="s">
        <v>1824</v>
      </c>
      <c r="H69">
        <v>390</v>
      </c>
      <c r="J69">
        <v>5524</v>
      </c>
      <c r="K69" t="s">
        <v>117</v>
      </c>
      <c r="L69">
        <v>55</v>
      </c>
      <c r="M69" t="s">
        <v>2219</v>
      </c>
      <c r="N69" t="s">
        <v>131</v>
      </c>
      <c r="O69" t="s">
        <v>549</v>
      </c>
      <c r="P69" t="s">
        <v>85</v>
      </c>
    </row>
    <row r="70" spans="1:16" x14ac:dyDescent="0.25">
      <c r="A70" t="s">
        <v>799</v>
      </c>
      <c r="B70" t="s">
        <v>316</v>
      </c>
      <c r="C70" t="s">
        <v>317</v>
      </c>
      <c r="D70" t="s">
        <v>578</v>
      </c>
      <c r="E70" t="s">
        <v>76</v>
      </c>
      <c r="F70" t="s">
        <v>1788</v>
      </c>
      <c r="G70" t="s">
        <v>1823</v>
      </c>
      <c r="H70">
        <v>400</v>
      </c>
      <c r="J70">
        <v>5522</v>
      </c>
      <c r="K70" t="s">
        <v>115</v>
      </c>
      <c r="L70">
        <v>55</v>
      </c>
      <c r="M70" t="s">
        <v>2219</v>
      </c>
      <c r="N70" t="s">
        <v>131</v>
      </c>
      <c r="O70" t="s">
        <v>549</v>
      </c>
      <c r="P70" t="s">
        <v>85</v>
      </c>
    </row>
    <row r="71" spans="1:16" x14ac:dyDescent="0.25">
      <c r="A71" t="s">
        <v>799</v>
      </c>
      <c r="B71" t="s">
        <v>316</v>
      </c>
      <c r="C71" t="s">
        <v>317</v>
      </c>
      <c r="D71" t="s">
        <v>578</v>
      </c>
      <c r="E71" t="s">
        <v>76</v>
      </c>
      <c r="F71" t="s">
        <v>1788</v>
      </c>
      <c r="G71" t="s">
        <v>1822</v>
      </c>
      <c r="H71">
        <v>3200</v>
      </c>
      <c r="J71">
        <v>5515</v>
      </c>
      <c r="K71" t="s">
        <v>112</v>
      </c>
      <c r="L71">
        <v>55</v>
      </c>
      <c r="M71" t="s">
        <v>2219</v>
      </c>
      <c r="N71" t="s">
        <v>131</v>
      </c>
      <c r="O71" t="s">
        <v>549</v>
      </c>
      <c r="P71" t="s">
        <v>85</v>
      </c>
    </row>
    <row r="72" spans="1:16" x14ac:dyDescent="0.25">
      <c r="A72" t="s">
        <v>799</v>
      </c>
      <c r="B72" t="s">
        <v>316</v>
      </c>
      <c r="C72" t="s">
        <v>317</v>
      </c>
      <c r="D72" t="s">
        <v>578</v>
      </c>
      <c r="E72" t="s">
        <v>76</v>
      </c>
      <c r="F72" t="s">
        <v>1788</v>
      </c>
      <c r="G72" t="s">
        <v>1792</v>
      </c>
      <c r="H72">
        <v>400</v>
      </c>
      <c r="I72" t="s">
        <v>1793</v>
      </c>
      <c r="J72">
        <v>5525</v>
      </c>
      <c r="K72" t="s">
        <v>118</v>
      </c>
      <c r="L72">
        <v>55</v>
      </c>
      <c r="M72" t="s">
        <v>2219</v>
      </c>
      <c r="N72" t="s">
        <v>131</v>
      </c>
      <c r="O72" t="s">
        <v>549</v>
      </c>
      <c r="P72" t="s">
        <v>85</v>
      </c>
    </row>
    <row r="73" spans="1:16" x14ac:dyDescent="0.25">
      <c r="A73" t="s">
        <v>799</v>
      </c>
      <c r="B73" t="s">
        <v>316</v>
      </c>
      <c r="C73" t="s">
        <v>317</v>
      </c>
      <c r="D73" t="s">
        <v>578</v>
      </c>
      <c r="E73" t="s">
        <v>76</v>
      </c>
      <c r="F73" t="s">
        <v>1788</v>
      </c>
      <c r="G73" t="s">
        <v>1650</v>
      </c>
      <c r="H73">
        <v>1536</v>
      </c>
      <c r="I73" t="s">
        <v>1819</v>
      </c>
      <c r="J73">
        <v>5513</v>
      </c>
      <c r="K73" t="s">
        <v>111</v>
      </c>
      <c r="L73">
        <v>55</v>
      </c>
      <c r="M73" t="s">
        <v>2219</v>
      </c>
      <c r="N73" t="s">
        <v>131</v>
      </c>
      <c r="O73" t="s">
        <v>549</v>
      </c>
      <c r="P73" t="s">
        <v>85</v>
      </c>
    </row>
    <row r="74" spans="1:16" x14ac:dyDescent="0.25">
      <c r="A74" t="s">
        <v>799</v>
      </c>
      <c r="B74" t="s">
        <v>316</v>
      </c>
      <c r="C74" t="s">
        <v>317</v>
      </c>
      <c r="D74" t="s">
        <v>578</v>
      </c>
      <c r="E74" t="s">
        <v>76</v>
      </c>
      <c r="F74" t="s">
        <v>1788</v>
      </c>
      <c r="G74" t="s">
        <v>1521</v>
      </c>
      <c r="H74">
        <v>560</v>
      </c>
      <c r="I74" t="s">
        <v>1808</v>
      </c>
      <c r="J74">
        <v>5504</v>
      </c>
      <c r="K74" t="s">
        <v>102</v>
      </c>
      <c r="L74">
        <v>55</v>
      </c>
      <c r="M74" t="s">
        <v>2219</v>
      </c>
      <c r="N74" t="s">
        <v>131</v>
      </c>
      <c r="O74" t="s">
        <v>549</v>
      </c>
      <c r="P74" t="s">
        <v>85</v>
      </c>
    </row>
    <row r="75" spans="1:16" x14ac:dyDescent="0.25">
      <c r="A75" t="s">
        <v>799</v>
      </c>
      <c r="B75" t="s">
        <v>316</v>
      </c>
      <c r="C75" t="s">
        <v>317</v>
      </c>
      <c r="D75" t="s">
        <v>578</v>
      </c>
      <c r="E75" t="s">
        <v>76</v>
      </c>
      <c r="F75" t="s">
        <v>1788</v>
      </c>
      <c r="G75" t="s">
        <v>1806</v>
      </c>
      <c r="H75">
        <v>190</v>
      </c>
      <c r="I75" t="s">
        <v>1807</v>
      </c>
      <c r="J75">
        <v>5500</v>
      </c>
      <c r="K75" t="s">
        <v>100</v>
      </c>
      <c r="L75">
        <v>55</v>
      </c>
      <c r="M75" t="s">
        <v>2219</v>
      </c>
      <c r="N75" t="s">
        <v>131</v>
      </c>
      <c r="O75" t="s">
        <v>549</v>
      </c>
      <c r="P75" t="s">
        <v>85</v>
      </c>
    </row>
    <row r="76" spans="1:16" x14ac:dyDescent="0.25">
      <c r="A76" t="s">
        <v>799</v>
      </c>
      <c r="B76" t="s">
        <v>316</v>
      </c>
      <c r="C76" t="s">
        <v>317</v>
      </c>
      <c r="D76" t="s">
        <v>578</v>
      </c>
      <c r="E76" t="s">
        <v>76</v>
      </c>
      <c r="F76" t="s">
        <v>1788</v>
      </c>
      <c r="G76" t="s">
        <v>169</v>
      </c>
      <c r="H76">
        <v>110</v>
      </c>
      <c r="I76" t="s">
        <v>1805</v>
      </c>
      <c r="J76">
        <v>5500</v>
      </c>
      <c r="K76" t="s">
        <v>100</v>
      </c>
      <c r="L76">
        <v>55</v>
      </c>
      <c r="M76" t="s">
        <v>2219</v>
      </c>
      <c r="N76" t="s">
        <v>131</v>
      </c>
      <c r="O76" t="s">
        <v>549</v>
      </c>
      <c r="P76" t="s">
        <v>85</v>
      </c>
    </row>
    <row r="77" spans="1:16" x14ac:dyDescent="0.25">
      <c r="A77" t="s">
        <v>799</v>
      </c>
      <c r="B77" t="s">
        <v>316</v>
      </c>
      <c r="C77" t="s">
        <v>317</v>
      </c>
      <c r="D77" t="s">
        <v>578</v>
      </c>
      <c r="E77" t="s">
        <v>76</v>
      </c>
      <c r="F77" t="s">
        <v>1788</v>
      </c>
      <c r="G77" t="s">
        <v>1804</v>
      </c>
      <c r="H77">
        <v>120</v>
      </c>
      <c r="I77">
        <v>5273878</v>
      </c>
      <c r="J77">
        <v>5500</v>
      </c>
      <c r="K77" t="s">
        <v>100</v>
      </c>
      <c r="L77">
        <v>55</v>
      </c>
      <c r="M77" t="s">
        <v>2219</v>
      </c>
      <c r="N77" t="s">
        <v>131</v>
      </c>
      <c r="O77" t="s">
        <v>549</v>
      </c>
      <c r="P77" t="s">
        <v>85</v>
      </c>
    </row>
    <row r="78" spans="1:16" x14ac:dyDescent="0.25">
      <c r="A78" t="s">
        <v>799</v>
      </c>
      <c r="B78" t="s">
        <v>316</v>
      </c>
      <c r="C78" t="s">
        <v>317</v>
      </c>
      <c r="D78" t="s">
        <v>578</v>
      </c>
      <c r="E78" t="s">
        <v>76</v>
      </c>
      <c r="F78" t="s">
        <v>1788</v>
      </c>
      <c r="G78" t="s">
        <v>1802</v>
      </c>
      <c r="H78">
        <v>730</v>
      </c>
      <c r="I78" t="s">
        <v>1803</v>
      </c>
      <c r="J78">
        <v>5500</v>
      </c>
      <c r="K78" t="s">
        <v>100</v>
      </c>
      <c r="L78">
        <v>55</v>
      </c>
      <c r="M78" t="s">
        <v>2219</v>
      </c>
      <c r="N78" t="s">
        <v>131</v>
      </c>
      <c r="O78" t="s">
        <v>549</v>
      </c>
      <c r="P78" t="s">
        <v>85</v>
      </c>
    </row>
    <row r="79" spans="1:16" x14ac:dyDescent="0.25">
      <c r="A79" t="s">
        <v>799</v>
      </c>
      <c r="B79" t="s">
        <v>316</v>
      </c>
      <c r="C79" t="s">
        <v>317</v>
      </c>
      <c r="D79" t="s">
        <v>578</v>
      </c>
      <c r="E79" t="s">
        <v>76</v>
      </c>
      <c r="F79" t="s">
        <v>1788</v>
      </c>
      <c r="G79" t="s">
        <v>1489</v>
      </c>
      <c r="H79">
        <v>220</v>
      </c>
      <c r="I79" t="s">
        <v>1818</v>
      </c>
      <c r="J79">
        <v>5511</v>
      </c>
      <c r="K79" t="s">
        <v>106</v>
      </c>
      <c r="L79">
        <v>55</v>
      </c>
      <c r="M79" t="s">
        <v>2219</v>
      </c>
      <c r="N79" t="s">
        <v>131</v>
      </c>
      <c r="O79" t="s">
        <v>549</v>
      </c>
      <c r="P79" t="s">
        <v>85</v>
      </c>
    </row>
    <row r="80" spans="1:16" x14ac:dyDescent="0.25">
      <c r="A80" t="s">
        <v>799</v>
      </c>
      <c r="B80" t="s">
        <v>316</v>
      </c>
      <c r="C80" t="s">
        <v>317</v>
      </c>
      <c r="D80" t="s">
        <v>578</v>
      </c>
      <c r="E80" t="s">
        <v>76</v>
      </c>
      <c r="F80" t="s">
        <v>1788</v>
      </c>
      <c r="G80" t="s">
        <v>1816</v>
      </c>
      <c r="H80">
        <v>100</v>
      </c>
      <c r="I80" t="s">
        <v>1817</v>
      </c>
      <c r="J80">
        <v>5511</v>
      </c>
      <c r="K80" t="s">
        <v>106</v>
      </c>
      <c r="L80">
        <v>55</v>
      </c>
      <c r="M80" t="s">
        <v>2219</v>
      </c>
      <c r="N80" t="s">
        <v>131</v>
      </c>
      <c r="O80" t="s">
        <v>549</v>
      </c>
      <c r="P80" t="s">
        <v>85</v>
      </c>
    </row>
    <row r="81" spans="1:16" x14ac:dyDescent="0.25">
      <c r="A81" t="s">
        <v>799</v>
      </c>
      <c r="B81" t="s">
        <v>316</v>
      </c>
      <c r="C81" t="s">
        <v>317</v>
      </c>
      <c r="D81" t="s">
        <v>578</v>
      </c>
      <c r="E81" t="s">
        <v>76</v>
      </c>
      <c r="F81" t="s">
        <v>1788</v>
      </c>
      <c r="G81" t="s">
        <v>1814</v>
      </c>
      <c r="H81">
        <v>400</v>
      </c>
      <c r="I81" t="s">
        <v>1815</v>
      </c>
      <c r="J81">
        <v>5511</v>
      </c>
      <c r="K81" t="s">
        <v>106</v>
      </c>
      <c r="L81">
        <v>55</v>
      </c>
      <c r="M81" t="s">
        <v>2219</v>
      </c>
      <c r="N81" t="s">
        <v>131</v>
      </c>
      <c r="O81" t="s">
        <v>549</v>
      </c>
      <c r="P81" t="s">
        <v>85</v>
      </c>
    </row>
    <row r="82" spans="1:16" x14ac:dyDescent="0.25">
      <c r="A82" t="s">
        <v>799</v>
      </c>
      <c r="B82" t="s">
        <v>316</v>
      </c>
      <c r="C82" t="s">
        <v>317</v>
      </c>
      <c r="D82" t="s">
        <v>578</v>
      </c>
      <c r="E82" t="s">
        <v>76</v>
      </c>
      <c r="F82" t="s">
        <v>1788</v>
      </c>
      <c r="G82" t="s">
        <v>194</v>
      </c>
      <c r="H82">
        <v>360</v>
      </c>
      <c r="I82" t="s">
        <v>1813</v>
      </c>
      <c r="J82">
        <v>5511</v>
      </c>
      <c r="K82" t="s">
        <v>106</v>
      </c>
      <c r="L82">
        <v>55</v>
      </c>
      <c r="M82" t="s">
        <v>2219</v>
      </c>
      <c r="N82" t="s">
        <v>131</v>
      </c>
      <c r="O82" t="s">
        <v>549</v>
      </c>
      <c r="P82" t="s">
        <v>85</v>
      </c>
    </row>
    <row r="83" spans="1:16" x14ac:dyDescent="0.25">
      <c r="A83" t="s">
        <v>799</v>
      </c>
      <c r="B83" t="s">
        <v>316</v>
      </c>
      <c r="C83" t="s">
        <v>317</v>
      </c>
      <c r="D83" t="s">
        <v>578</v>
      </c>
      <c r="E83" t="s">
        <v>76</v>
      </c>
      <c r="F83" t="s">
        <v>1788</v>
      </c>
      <c r="G83" t="s">
        <v>1289</v>
      </c>
      <c r="H83">
        <v>460</v>
      </c>
      <c r="I83" t="s">
        <v>1812</v>
      </c>
      <c r="J83">
        <v>5511</v>
      </c>
      <c r="K83" t="s">
        <v>106</v>
      </c>
      <c r="L83">
        <v>55</v>
      </c>
      <c r="M83" t="s">
        <v>2219</v>
      </c>
      <c r="N83" t="s">
        <v>131</v>
      </c>
      <c r="O83" t="s">
        <v>549</v>
      </c>
      <c r="P83" t="s">
        <v>85</v>
      </c>
    </row>
    <row r="84" spans="1:16" x14ac:dyDescent="0.25">
      <c r="A84" t="s">
        <v>799</v>
      </c>
      <c r="B84" t="s">
        <v>316</v>
      </c>
      <c r="C84" t="s">
        <v>317</v>
      </c>
      <c r="D84" t="s">
        <v>578</v>
      </c>
      <c r="E84" t="s">
        <v>76</v>
      </c>
      <c r="F84" t="s">
        <v>1788</v>
      </c>
      <c r="G84" t="s">
        <v>443</v>
      </c>
      <c r="H84">
        <v>2575</v>
      </c>
      <c r="I84" t="s">
        <v>1811</v>
      </c>
      <c r="J84">
        <v>5511</v>
      </c>
      <c r="K84" t="s">
        <v>106</v>
      </c>
      <c r="L84">
        <v>55</v>
      </c>
      <c r="M84" t="s">
        <v>2219</v>
      </c>
      <c r="N84" t="s">
        <v>131</v>
      </c>
      <c r="O84" t="s">
        <v>549</v>
      </c>
      <c r="P84" t="s">
        <v>85</v>
      </c>
    </row>
    <row r="85" spans="1:16" x14ac:dyDescent="0.25">
      <c r="A85" t="s">
        <v>799</v>
      </c>
      <c r="B85" t="s">
        <v>316</v>
      </c>
      <c r="C85" t="s">
        <v>317</v>
      </c>
      <c r="D85" t="s">
        <v>578</v>
      </c>
      <c r="E85" t="s">
        <v>76</v>
      </c>
      <c r="F85" t="s">
        <v>1788</v>
      </c>
      <c r="G85" t="s">
        <v>178</v>
      </c>
      <c r="H85">
        <v>4800</v>
      </c>
      <c r="I85" t="s">
        <v>1810</v>
      </c>
      <c r="J85">
        <v>5511</v>
      </c>
      <c r="K85" t="s">
        <v>106</v>
      </c>
      <c r="L85">
        <v>55</v>
      </c>
      <c r="M85" t="s">
        <v>2219</v>
      </c>
      <c r="N85" t="s">
        <v>131</v>
      </c>
      <c r="O85" t="s">
        <v>549</v>
      </c>
      <c r="P85" t="s">
        <v>85</v>
      </c>
    </row>
    <row r="86" spans="1:16" x14ac:dyDescent="0.25">
      <c r="A86" t="s">
        <v>799</v>
      </c>
      <c r="B86" t="s">
        <v>316</v>
      </c>
      <c r="C86" t="s">
        <v>317</v>
      </c>
      <c r="D86" t="s">
        <v>578</v>
      </c>
      <c r="E86" t="s">
        <v>76</v>
      </c>
      <c r="F86" t="s">
        <v>1788</v>
      </c>
      <c r="G86" t="s">
        <v>177</v>
      </c>
      <c r="H86">
        <v>16000</v>
      </c>
      <c r="I86" t="s">
        <v>1809</v>
      </c>
      <c r="J86">
        <v>5511</v>
      </c>
      <c r="K86" t="s">
        <v>106</v>
      </c>
      <c r="L86">
        <v>55</v>
      </c>
      <c r="M86" t="s">
        <v>2219</v>
      </c>
      <c r="N86" t="s">
        <v>131</v>
      </c>
      <c r="O86" t="s">
        <v>549</v>
      </c>
      <c r="P86" t="s">
        <v>85</v>
      </c>
    </row>
    <row r="87" spans="1:16" x14ac:dyDescent="0.25">
      <c r="A87" t="s">
        <v>799</v>
      </c>
      <c r="B87" t="s">
        <v>314</v>
      </c>
      <c r="C87" t="s">
        <v>315</v>
      </c>
      <c r="D87" t="s">
        <v>578</v>
      </c>
      <c r="E87" t="s">
        <v>76</v>
      </c>
      <c r="F87" t="s">
        <v>1845</v>
      </c>
      <c r="G87" t="s">
        <v>2157</v>
      </c>
      <c r="H87">
        <v>270</v>
      </c>
      <c r="J87">
        <v>5525</v>
      </c>
      <c r="K87" t="s">
        <v>118</v>
      </c>
      <c r="L87">
        <v>55</v>
      </c>
      <c r="M87" t="s">
        <v>2219</v>
      </c>
      <c r="N87" t="s">
        <v>131</v>
      </c>
      <c r="O87" t="s">
        <v>549</v>
      </c>
      <c r="P87" t="s">
        <v>85</v>
      </c>
    </row>
    <row r="88" spans="1:16" x14ac:dyDescent="0.25">
      <c r="A88" t="s">
        <v>799</v>
      </c>
      <c r="B88" t="s">
        <v>314</v>
      </c>
      <c r="C88" t="s">
        <v>315</v>
      </c>
      <c r="D88" t="s">
        <v>578</v>
      </c>
      <c r="E88" t="s">
        <v>76</v>
      </c>
      <c r="F88" t="s">
        <v>1845</v>
      </c>
      <c r="G88" t="s">
        <v>2156</v>
      </c>
      <c r="H88">
        <v>270</v>
      </c>
      <c r="J88">
        <v>5525</v>
      </c>
      <c r="K88" t="s">
        <v>118</v>
      </c>
      <c r="L88">
        <v>55</v>
      </c>
      <c r="M88" t="s">
        <v>2219</v>
      </c>
      <c r="N88" t="s">
        <v>131</v>
      </c>
      <c r="O88" t="s">
        <v>549</v>
      </c>
      <c r="P88" t="s">
        <v>85</v>
      </c>
    </row>
    <row r="89" spans="1:16" x14ac:dyDescent="0.25">
      <c r="A89" t="s">
        <v>799</v>
      </c>
      <c r="B89" t="s">
        <v>314</v>
      </c>
      <c r="C89" t="s">
        <v>315</v>
      </c>
      <c r="D89" t="s">
        <v>578</v>
      </c>
      <c r="E89" t="s">
        <v>76</v>
      </c>
      <c r="F89" t="s">
        <v>1845</v>
      </c>
      <c r="G89" t="s">
        <v>1520</v>
      </c>
      <c r="H89">
        <v>300</v>
      </c>
      <c r="J89">
        <v>5500</v>
      </c>
      <c r="K89" t="s">
        <v>100</v>
      </c>
      <c r="L89">
        <v>55</v>
      </c>
      <c r="M89" t="s">
        <v>2219</v>
      </c>
      <c r="N89" t="s">
        <v>131</v>
      </c>
      <c r="O89" t="s">
        <v>549</v>
      </c>
      <c r="P89" t="s">
        <v>85</v>
      </c>
    </row>
    <row r="90" spans="1:16" x14ac:dyDescent="0.25">
      <c r="A90" t="s">
        <v>799</v>
      </c>
      <c r="B90" t="s">
        <v>314</v>
      </c>
      <c r="C90" t="s">
        <v>315</v>
      </c>
      <c r="D90" t="s">
        <v>578</v>
      </c>
      <c r="E90" t="s">
        <v>76</v>
      </c>
      <c r="F90" t="s">
        <v>1845</v>
      </c>
      <c r="G90" t="s">
        <v>794</v>
      </c>
      <c r="H90">
        <v>560.04999999999995</v>
      </c>
      <c r="J90">
        <v>5500</v>
      </c>
      <c r="K90" t="s">
        <v>100</v>
      </c>
      <c r="L90">
        <v>55</v>
      </c>
      <c r="M90" t="s">
        <v>2219</v>
      </c>
      <c r="N90" t="s">
        <v>131</v>
      </c>
      <c r="O90" t="s">
        <v>549</v>
      </c>
      <c r="P90" t="s">
        <v>85</v>
      </c>
    </row>
    <row r="91" spans="1:16" x14ac:dyDescent="0.25">
      <c r="A91" t="s">
        <v>799</v>
      </c>
      <c r="B91" t="s">
        <v>314</v>
      </c>
      <c r="C91" t="s">
        <v>315</v>
      </c>
      <c r="D91" t="s">
        <v>578</v>
      </c>
      <c r="E91" t="s">
        <v>76</v>
      </c>
      <c r="F91" t="s">
        <v>1845</v>
      </c>
      <c r="G91" t="s">
        <v>2100</v>
      </c>
      <c r="H91">
        <v>7200</v>
      </c>
      <c r="I91" t="s">
        <v>2194</v>
      </c>
      <c r="J91">
        <v>5525</v>
      </c>
      <c r="K91" t="s">
        <v>118</v>
      </c>
      <c r="L91">
        <v>55</v>
      </c>
      <c r="M91" t="s">
        <v>2219</v>
      </c>
      <c r="N91" t="s">
        <v>131</v>
      </c>
      <c r="O91" t="s">
        <v>549</v>
      </c>
      <c r="P91" t="s">
        <v>85</v>
      </c>
    </row>
    <row r="92" spans="1:16" x14ac:dyDescent="0.25">
      <c r="A92" t="s">
        <v>799</v>
      </c>
      <c r="B92" t="s">
        <v>314</v>
      </c>
      <c r="C92" t="s">
        <v>315</v>
      </c>
      <c r="D92" t="s">
        <v>578</v>
      </c>
      <c r="E92" t="s">
        <v>76</v>
      </c>
      <c r="F92" t="s">
        <v>841</v>
      </c>
      <c r="G92" t="s">
        <v>2052</v>
      </c>
      <c r="H92">
        <v>40000</v>
      </c>
      <c r="J92">
        <v>1551</v>
      </c>
      <c r="K92" t="s">
        <v>92</v>
      </c>
      <c r="L92">
        <v>15</v>
      </c>
      <c r="M92" t="s">
        <v>2220</v>
      </c>
      <c r="N92" t="s">
        <v>4</v>
      </c>
      <c r="O92" t="s">
        <v>4</v>
      </c>
      <c r="P92" t="s">
        <v>87</v>
      </c>
    </row>
    <row r="93" spans="1:16" x14ac:dyDescent="0.25">
      <c r="A93" t="s">
        <v>799</v>
      </c>
      <c r="B93" t="s">
        <v>314</v>
      </c>
      <c r="C93" t="s">
        <v>315</v>
      </c>
      <c r="D93" t="s">
        <v>578</v>
      </c>
      <c r="E93" t="s">
        <v>76</v>
      </c>
      <c r="F93" t="s">
        <v>1845</v>
      </c>
      <c r="G93" t="s">
        <v>1848</v>
      </c>
      <c r="H93">
        <v>1000</v>
      </c>
      <c r="J93">
        <v>5514</v>
      </c>
      <c r="K93" t="s">
        <v>110</v>
      </c>
      <c r="L93">
        <v>55</v>
      </c>
      <c r="M93" t="s">
        <v>2219</v>
      </c>
      <c r="N93" t="s">
        <v>131</v>
      </c>
      <c r="O93" t="s">
        <v>549</v>
      </c>
      <c r="P93" t="s">
        <v>85</v>
      </c>
    </row>
    <row r="94" spans="1:16" x14ac:dyDescent="0.25">
      <c r="A94" t="s">
        <v>799</v>
      </c>
      <c r="B94" t="s">
        <v>314</v>
      </c>
      <c r="C94" t="s">
        <v>315</v>
      </c>
      <c r="D94" t="s">
        <v>578</v>
      </c>
      <c r="E94" t="s">
        <v>76</v>
      </c>
      <c r="F94" t="s">
        <v>1845</v>
      </c>
      <c r="G94" t="s">
        <v>1650</v>
      </c>
      <c r="H94">
        <v>1440</v>
      </c>
      <c r="I94" t="s">
        <v>1819</v>
      </c>
      <c r="J94">
        <v>5513</v>
      </c>
      <c r="K94" t="s">
        <v>111</v>
      </c>
      <c r="L94">
        <v>55</v>
      </c>
      <c r="M94" t="s">
        <v>2219</v>
      </c>
      <c r="N94" t="s">
        <v>131</v>
      </c>
      <c r="O94" t="s">
        <v>549</v>
      </c>
      <c r="P94" t="s">
        <v>85</v>
      </c>
    </row>
    <row r="95" spans="1:16" x14ac:dyDescent="0.25">
      <c r="A95" t="s">
        <v>799</v>
      </c>
      <c r="B95" t="s">
        <v>314</v>
      </c>
      <c r="C95" t="s">
        <v>315</v>
      </c>
      <c r="D95" t="s">
        <v>578</v>
      </c>
      <c r="E95" t="s">
        <v>76</v>
      </c>
      <c r="F95" t="s">
        <v>1845</v>
      </c>
      <c r="G95" t="s">
        <v>409</v>
      </c>
      <c r="H95">
        <v>800</v>
      </c>
      <c r="I95" t="s">
        <v>1847</v>
      </c>
      <c r="J95">
        <v>5504</v>
      </c>
      <c r="K95" t="s">
        <v>102</v>
      </c>
      <c r="L95">
        <v>55</v>
      </c>
      <c r="M95" t="s">
        <v>2219</v>
      </c>
      <c r="N95" t="s">
        <v>131</v>
      </c>
      <c r="O95" t="s">
        <v>549</v>
      </c>
      <c r="P95" t="s">
        <v>85</v>
      </c>
    </row>
    <row r="96" spans="1:16" ht="60" x14ac:dyDescent="0.25">
      <c r="A96" t="s">
        <v>799</v>
      </c>
      <c r="B96" t="s">
        <v>314</v>
      </c>
      <c r="C96" t="s">
        <v>315</v>
      </c>
      <c r="D96" t="s">
        <v>578</v>
      </c>
      <c r="E96" t="s">
        <v>76</v>
      </c>
      <c r="F96" t="s">
        <v>1845</v>
      </c>
      <c r="G96" s="74" t="s">
        <v>2155</v>
      </c>
      <c r="H96">
        <v>15000</v>
      </c>
      <c r="J96">
        <v>5511</v>
      </c>
      <c r="K96" t="s">
        <v>106</v>
      </c>
      <c r="L96">
        <v>55</v>
      </c>
      <c r="M96" t="s">
        <v>2219</v>
      </c>
      <c r="N96" t="s">
        <v>131</v>
      </c>
      <c r="O96" t="s">
        <v>549</v>
      </c>
      <c r="P96" t="s">
        <v>85</v>
      </c>
    </row>
    <row r="97" spans="1:16" x14ac:dyDescent="0.25">
      <c r="A97" t="s">
        <v>799</v>
      </c>
      <c r="B97" t="s">
        <v>312</v>
      </c>
      <c r="C97" t="s">
        <v>313</v>
      </c>
      <c r="D97" t="s">
        <v>578</v>
      </c>
      <c r="E97" t="s">
        <v>76</v>
      </c>
      <c r="F97" t="s">
        <v>1839</v>
      </c>
      <c r="G97" t="s">
        <v>1873</v>
      </c>
      <c r="H97">
        <v>500</v>
      </c>
      <c r="J97">
        <v>5511</v>
      </c>
      <c r="K97" t="s">
        <v>106</v>
      </c>
      <c r="L97">
        <v>55</v>
      </c>
      <c r="M97" t="s">
        <v>2219</v>
      </c>
      <c r="N97" t="s">
        <v>131</v>
      </c>
      <c r="O97" t="s">
        <v>549</v>
      </c>
      <c r="P97" t="s">
        <v>85</v>
      </c>
    </row>
    <row r="98" spans="1:16" x14ac:dyDescent="0.25">
      <c r="A98" t="s">
        <v>799</v>
      </c>
      <c r="B98" t="s">
        <v>312</v>
      </c>
      <c r="C98" t="s">
        <v>313</v>
      </c>
      <c r="D98" t="s">
        <v>578</v>
      </c>
      <c r="E98" t="s">
        <v>76</v>
      </c>
      <c r="F98" t="s">
        <v>1839</v>
      </c>
      <c r="G98" t="s">
        <v>974</v>
      </c>
      <c r="H98">
        <v>160</v>
      </c>
      <c r="J98">
        <v>5511</v>
      </c>
      <c r="K98" t="s">
        <v>106</v>
      </c>
      <c r="L98">
        <v>55</v>
      </c>
      <c r="M98" t="s">
        <v>2219</v>
      </c>
      <c r="N98" t="s">
        <v>131</v>
      </c>
      <c r="O98" t="s">
        <v>549</v>
      </c>
      <c r="P98" t="s">
        <v>85</v>
      </c>
    </row>
    <row r="99" spans="1:16" x14ac:dyDescent="0.25">
      <c r="A99" t="s">
        <v>799</v>
      </c>
      <c r="B99" t="s">
        <v>312</v>
      </c>
      <c r="C99" t="s">
        <v>313</v>
      </c>
      <c r="D99" t="s">
        <v>578</v>
      </c>
      <c r="E99" t="s">
        <v>76</v>
      </c>
      <c r="F99" t="s">
        <v>1839</v>
      </c>
      <c r="G99" t="s">
        <v>786</v>
      </c>
      <c r="H99">
        <v>250</v>
      </c>
      <c r="J99">
        <v>5525</v>
      </c>
      <c r="K99" t="s">
        <v>118</v>
      </c>
      <c r="L99">
        <v>55</v>
      </c>
      <c r="M99" t="s">
        <v>2219</v>
      </c>
      <c r="N99" t="s">
        <v>131</v>
      </c>
      <c r="O99" t="s">
        <v>549</v>
      </c>
      <c r="P99" t="s">
        <v>85</v>
      </c>
    </row>
    <row r="100" spans="1:16" x14ac:dyDescent="0.25">
      <c r="A100" t="s">
        <v>799</v>
      </c>
      <c r="B100" t="s">
        <v>312</v>
      </c>
      <c r="C100" t="s">
        <v>313</v>
      </c>
      <c r="D100" t="s">
        <v>578</v>
      </c>
      <c r="E100" t="s">
        <v>76</v>
      </c>
      <c r="F100" t="s">
        <v>1839</v>
      </c>
      <c r="G100" t="s">
        <v>794</v>
      </c>
      <c r="H100">
        <v>600</v>
      </c>
      <c r="J100">
        <v>5500</v>
      </c>
      <c r="K100" t="s">
        <v>100</v>
      </c>
      <c r="L100">
        <v>55</v>
      </c>
      <c r="M100" t="s">
        <v>2219</v>
      </c>
      <c r="N100" t="s">
        <v>131</v>
      </c>
      <c r="O100" t="s">
        <v>549</v>
      </c>
      <c r="P100" t="s">
        <v>85</v>
      </c>
    </row>
    <row r="101" spans="1:16" x14ac:dyDescent="0.25">
      <c r="A101" t="s">
        <v>799</v>
      </c>
      <c r="B101" t="s">
        <v>312</v>
      </c>
      <c r="C101" t="s">
        <v>313</v>
      </c>
      <c r="D101" t="s">
        <v>578</v>
      </c>
      <c r="E101" t="s">
        <v>76</v>
      </c>
      <c r="F101" t="s">
        <v>1839</v>
      </c>
      <c r="G101" t="s">
        <v>1171</v>
      </c>
      <c r="H101">
        <v>200</v>
      </c>
      <c r="J101">
        <v>5511</v>
      </c>
      <c r="K101" t="s">
        <v>106</v>
      </c>
      <c r="L101">
        <v>55</v>
      </c>
      <c r="M101" t="s">
        <v>2219</v>
      </c>
      <c r="N101" t="s">
        <v>131</v>
      </c>
      <c r="O101" t="s">
        <v>549</v>
      </c>
      <c r="P101" t="s">
        <v>85</v>
      </c>
    </row>
    <row r="102" spans="1:16" x14ac:dyDescent="0.25">
      <c r="A102" t="s">
        <v>799</v>
      </c>
      <c r="B102" t="s">
        <v>312</v>
      </c>
      <c r="C102" t="s">
        <v>313</v>
      </c>
      <c r="D102" t="s">
        <v>578</v>
      </c>
      <c r="E102" t="s">
        <v>76</v>
      </c>
      <c r="F102" t="s">
        <v>1839</v>
      </c>
      <c r="G102" t="s">
        <v>1021</v>
      </c>
      <c r="H102">
        <v>1800</v>
      </c>
      <c r="J102">
        <v>5511</v>
      </c>
      <c r="K102" t="s">
        <v>106</v>
      </c>
      <c r="L102">
        <v>55</v>
      </c>
      <c r="M102" t="s">
        <v>2219</v>
      </c>
      <c r="N102" t="s">
        <v>131</v>
      </c>
      <c r="O102" t="s">
        <v>549</v>
      </c>
      <c r="P102" t="s">
        <v>85</v>
      </c>
    </row>
    <row r="103" spans="1:16" x14ac:dyDescent="0.25">
      <c r="A103" t="s">
        <v>799</v>
      </c>
      <c r="B103" t="s">
        <v>312</v>
      </c>
      <c r="C103" t="s">
        <v>313</v>
      </c>
      <c r="D103" t="s">
        <v>578</v>
      </c>
      <c r="E103" t="s">
        <v>76</v>
      </c>
      <c r="F103" t="s">
        <v>1839</v>
      </c>
      <c r="G103" t="s">
        <v>1841</v>
      </c>
      <c r="H103">
        <v>92.4</v>
      </c>
      <c r="J103">
        <v>5511</v>
      </c>
      <c r="K103" t="s">
        <v>106</v>
      </c>
      <c r="L103">
        <v>55</v>
      </c>
      <c r="M103" t="s">
        <v>2219</v>
      </c>
      <c r="N103" t="s">
        <v>131</v>
      </c>
      <c r="O103" t="s">
        <v>549</v>
      </c>
      <c r="P103" t="s">
        <v>85</v>
      </c>
    </row>
    <row r="104" spans="1:16" x14ac:dyDescent="0.25">
      <c r="A104" t="s">
        <v>799</v>
      </c>
      <c r="B104" t="s">
        <v>312</v>
      </c>
      <c r="C104" t="s">
        <v>313</v>
      </c>
      <c r="D104" t="s">
        <v>578</v>
      </c>
      <c r="E104" t="s">
        <v>76</v>
      </c>
      <c r="F104" t="s">
        <v>1839</v>
      </c>
      <c r="G104" t="s">
        <v>971</v>
      </c>
      <c r="H104">
        <v>85</v>
      </c>
      <c r="J104">
        <v>5511</v>
      </c>
      <c r="K104" t="s">
        <v>106</v>
      </c>
      <c r="L104">
        <v>55</v>
      </c>
      <c r="M104" t="s">
        <v>2219</v>
      </c>
      <c r="N104" t="s">
        <v>131</v>
      </c>
      <c r="O104" t="s">
        <v>549</v>
      </c>
      <c r="P104" t="s">
        <v>85</v>
      </c>
    </row>
    <row r="105" spans="1:16" x14ac:dyDescent="0.25">
      <c r="A105" t="s">
        <v>799</v>
      </c>
      <c r="B105" t="s">
        <v>312</v>
      </c>
      <c r="C105" t="s">
        <v>313</v>
      </c>
      <c r="D105" t="s">
        <v>578</v>
      </c>
      <c r="E105" t="s">
        <v>76</v>
      </c>
      <c r="F105" t="s">
        <v>1839</v>
      </c>
      <c r="G105" t="s">
        <v>1840</v>
      </c>
      <c r="H105">
        <v>170</v>
      </c>
      <c r="J105">
        <v>5511</v>
      </c>
      <c r="K105" t="s">
        <v>106</v>
      </c>
      <c r="L105">
        <v>55</v>
      </c>
      <c r="M105" t="s">
        <v>2219</v>
      </c>
      <c r="N105" t="s">
        <v>131</v>
      </c>
      <c r="O105" t="s">
        <v>549</v>
      </c>
      <c r="P105" t="s">
        <v>85</v>
      </c>
    </row>
    <row r="106" spans="1:16" x14ac:dyDescent="0.25">
      <c r="A106" t="s">
        <v>799</v>
      </c>
      <c r="B106" t="s">
        <v>312</v>
      </c>
      <c r="C106" t="s">
        <v>313</v>
      </c>
      <c r="D106" t="s">
        <v>578</v>
      </c>
      <c r="E106" t="s">
        <v>76</v>
      </c>
      <c r="F106" t="s">
        <v>1839</v>
      </c>
      <c r="G106" t="s">
        <v>943</v>
      </c>
      <c r="H106">
        <v>1500</v>
      </c>
      <c r="J106">
        <v>5511</v>
      </c>
      <c r="K106" t="s">
        <v>106</v>
      </c>
      <c r="L106">
        <v>55</v>
      </c>
      <c r="M106" t="s">
        <v>2219</v>
      </c>
      <c r="N106" t="s">
        <v>131</v>
      </c>
      <c r="O106" t="s">
        <v>549</v>
      </c>
      <c r="P106" t="s">
        <v>85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1"/>
  <sheetViews>
    <sheetView workbookViewId="0">
      <selection activeCell="K1" sqref="K1"/>
    </sheetView>
  </sheetViews>
  <sheetFormatPr defaultRowHeight="15" x14ac:dyDescent="0.25"/>
  <cols>
    <col min="1" max="1" width="11.5703125" customWidth="1"/>
    <col min="2" max="2" width="13" customWidth="1"/>
    <col min="3" max="3" width="21.7109375" customWidth="1"/>
    <col min="4" max="4" width="23.28515625" customWidth="1"/>
    <col min="5" max="5" width="26.28515625" customWidth="1"/>
    <col min="6" max="6" width="21.85546875" customWidth="1"/>
    <col min="7" max="7" width="19.7109375" customWidth="1"/>
    <col min="8" max="8" width="10.85546875" customWidth="1"/>
    <col min="9" max="9" width="12" customWidth="1"/>
    <col min="11" max="11" width="16.140625" customWidth="1"/>
    <col min="12" max="12" width="15.85546875" customWidth="1"/>
    <col min="13" max="13" width="14" customWidth="1"/>
    <col min="14" max="14" width="24" customWidth="1"/>
    <col min="15" max="16" width="21" customWidth="1"/>
  </cols>
  <sheetData>
    <row r="1" spans="1:16" x14ac:dyDescent="0.25">
      <c r="A1" t="s">
        <v>7</v>
      </c>
      <c r="B1" t="s">
        <v>1</v>
      </c>
      <c r="C1" t="s">
        <v>246</v>
      </c>
      <c r="D1" t="s">
        <v>490</v>
      </c>
      <c r="E1" t="s">
        <v>67</v>
      </c>
      <c r="F1" t="s">
        <v>5</v>
      </c>
      <c r="G1" t="s">
        <v>6</v>
      </c>
      <c r="H1" t="s">
        <v>398</v>
      </c>
      <c r="I1" t="s">
        <v>165</v>
      </c>
      <c r="J1" t="s">
        <v>2</v>
      </c>
      <c r="K1" t="s">
        <v>91</v>
      </c>
      <c r="L1" t="s">
        <v>77</v>
      </c>
      <c r="M1" t="s">
        <v>9</v>
      </c>
      <c r="N1" t="s">
        <v>160</v>
      </c>
      <c r="O1" t="s">
        <v>2009</v>
      </c>
      <c r="P1" t="s">
        <v>135</v>
      </c>
    </row>
    <row r="2" spans="1:16" hidden="1" x14ac:dyDescent="0.25">
      <c r="A2" t="s">
        <v>800</v>
      </c>
      <c r="B2" t="s">
        <v>338</v>
      </c>
      <c r="C2" t="s">
        <v>339</v>
      </c>
      <c r="D2" t="s">
        <v>581</v>
      </c>
      <c r="E2" t="s">
        <v>74</v>
      </c>
      <c r="F2" t="s">
        <v>1548</v>
      </c>
      <c r="G2" t="s">
        <v>1554</v>
      </c>
      <c r="H2">
        <v>46249.440000000002</v>
      </c>
      <c r="I2" t="s">
        <v>1557</v>
      </c>
      <c r="J2">
        <v>5524</v>
      </c>
      <c r="K2" t="s">
        <v>117</v>
      </c>
      <c r="L2">
        <v>55</v>
      </c>
      <c r="M2" t="s">
        <v>2219</v>
      </c>
      <c r="N2" t="s">
        <v>131</v>
      </c>
      <c r="O2" t="s">
        <v>549</v>
      </c>
      <c r="P2" t="s">
        <v>85</v>
      </c>
    </row>
    <row r="3" spans="1:16" hidden="1" x14ac:dyDescent="0.25">
      <c r="A3" t="s">
        <v>800</v>
      </c>
      <c r="B3" t="s">
        <v>245</v>
      </c>
      <c r="C3" t="s">
        <v>337</v>
      </c>
      <c r="D3" t="s">
        <v>581</v>
      </c>
      <c r="E3" t="s">
        <v>74</v>
      </c>
      <c r="F3" t="s">
        <v>166</v>
      </c>
      <c r="G3" t="s">
        <v>117</v>
      </c>
      <c r="H3">
        <v>1000</v>
      </c>
      <c r="J3">
        <v>5524</v>
      </c>
      <c r="K3" t="s">
        <v>117</v>
      </c>
      <c r="L3">
        <v>55</v>
      </c>
      <c r="M3" t="s">
        <v>2219</v>
      </c>
      <c r="N3" t="s">
        <v>131</v>
      </c>
      <c r="O3" t="s">
        <v>549</v>
      </c>
      <c r="P3" t="s">
        <v>85</v>
      </c>
    </row>
    <row r="4" spans="1:16" hidden="1" x14ac:dyDescent="0.25">
      <c r="A4" t="s">
        <v>800</v>
      </c>
      <c r="B4" t="s">
        <v>245</v>
      </c>
      <c r="C4" t="s">
        <v>337</v>
      </c>
      <c r="D4" t="s">
        <v>581</v>
      </c>
      <c r="E4" t="s">
        <v>74</v>
      </c>
      <c r="F4" t="s">
        <v>166</v>
      </c>
      <c r="G4" t="s">
        <v>213</v>
      </c>
      <c r="H4">
        <v>6900</v>
      </c>
      <c r="J4">
        <v>5521</v>
      </c>
      <c r="K4" t="s">
        <v>114</v>
      </c>
      <c r="L4">
        <v>55</v>
      </c>
      <c r="M4" t="s">
        <v>2219</v>
      </c>
      <c r="N4" t="s">
        <v>131</v>
      </c>
      <c r="O4" t="s">
        <v>549</v>
      </c>
      <c r="P4" t="s">
        <v>85</v>
      </c>
    </row>
    <row r="5" spans="1:16" hidden="1" x14ac:dyDescent="0.25">
      <c r="A5" t="s">
        <v>800</v>
      </c>
      <c r="B5" t="s">
        <v>245</v>
      </c>
      <c r="C5" t="s">
        <v>337</v>
      </c>
      <c r="D5" t="s">
        <v>581</v>
      </c>
      <c r="E5" t="s">
        <v>74</v>
      </c>
      <c r="F5" t="s">
        <v>166</v>
      </c>
      <c r="G5" t="s">
        <v>240</v>
      </c>
      <c r="H5">
        <v>630</v>
      </c>
      <c r="I5" t="s">
        <v>241</v>
      </c>
      <c r="J5">
        <v>5514</v>
      </c>
      <c r="K5" t="s">
        <v>110</v>
      </c>
      <c r="L5">
        <v>55</v>
      </c>
      <c r="M5" t="s">
        <v>2219</v>
      </c>
      <c r="N5" t="s">
        <v>131</v>
      </c>
      <c r="O5" t="s">
        <v>549</v>
      </c>
      <c r="P5" t="s">
        <v>85</v>
      </c>
    </row>
    <row r="6" spans="1:16" hidden="1" x14ac:dyDescent="0.25">
      <c r="A6" t="s">
        <v>800</v>
      </c>
      <c r="B6" t="s">
        <v>335</v>
      </c>
      <c r="C6" t="s">
        <v>336</v>
      </c>
      <c r="D6" t="s">
        <v>581</v>
      </c>
      <c r="E6" t="s">
        <v>74</v>
      </c>
      <c r="F6" t="s">
        <v>1870</v>
      </c>
      <c r="G6" t="s">
        <v>199</v>
      </c>
      <c r="H6">
        <v>100</v>
      </c>
      <c r="J6">
        <v>5514</v>
      </c>
      <c r="K6" t="s">
        <v>110</v>
      </c>
      <c r="L6">
        <v>55</v>
      </c>
      <c r="M6" t="s">
        <v>2219</v>
      </c>
      <c r="N6" t="s">
        <v>131</v>
      </c>
      <c r="O6" t="s">
        <v>549</v>
      </c>
      <c r="P6" t="s">
        <v>85</v>
      </c>
    </row>
    <row r="7" spans="1:16" hidden="1" x14ac:dyDescent="0.25">
      <c r="A7" t="s">
        <v>800</v>
      </c>
      <c r="B7" t="s">
        <v>335</v>
      </c>
      <c r="C7" t="s">
        <v>336</v>
      </c>
      <c r="D7" t="s">
        <v>581</v>
      </c>
      <c r="E7" t="s">
        <v>74</v>
      </c>
      <c r="F7" t="s">
        <v>1870</v>
      </c>
      <c r="G7" t="s">
        <v>421</v>
      </c>
      <c r="H7">
        <v>100</v>
      </c>
      <c r="J7">
        <v>5514</v>
      </c>
      <c r="K7" t="s">
        <v>110</v>
      </c>
      <c r="L7">
        <v>55</v>
      </c>
      <c r="M7" t="s">
        <v>2219</v>
      </c>
      <c r="N7" t="s">
        <v>131</v>
      </c>
      <c r="O7" t="s">
        <v>549</v>
      </c>
      <c r="P7" t="s">
        <v>85</v>
      </c>
    </row>
    <row r="8" spans="1:16" hidden="1" x14ac:dyDescent="0.25">
      <c r="A8" t="s">
        <v>800</v>
      </c>
      <c r="B8" t="s">
        <v>335</v>
      </c>
      <c r="C8" t="s">
        <v>336</v>
      </c>
      <c r="D8" t="s">
        <v>581</v>
      </c>
      <c r="E8" t="s">
        <v>74</v>
      </c>
      <c r="F8" t="s">
        <v>1870</v>
      </c>
      <c r="G8" t="s">
        <v>420</v>
      </c>
      <c r="H8">
        <v>250</v>
      </c>
      <c r="J8">
        <v>5514</v>
      </c>
      <c r="K8" t="s">
        <v>110</v>
      </c>
      <c r="L8">
        <v>55</v>
      </c>
      <c r="M8" t="s">
        <v>2219</v>
      </c>
      <c r="N8" t="s">
        <v>131</v>
      </c>
      <c r="O8" t="s">
        <v>549</v>
      </c>
      <c r="P8" t="s">
        <v>85</v>
      </c>
    </row>
    <row r="9" spans="1:16" hidden="1" x14ac:dyDescent="0.25">
      <c r="A9" t="s">
        <v>800</v>
      </c>
      <c r="B9" t="s">
        <v>335</v>
      </c>
      <c r="C9" t="s">
        <v>336</v>
      </c>
      <c r="D9" t="s">
        <v>581</v>
      </c>
      <c r="E9" t="s">
        <v>74</v>
      </c>
      <c r="F9" t="s">
        <v>1870</v>
      </c>
      <c r="G9" t="s">
        <v>419</v>
      </c>
      <c r="H9">
        <v>300</v>
      </c>
      <c r="J9">
        <v>5514</v>
      </c>
      <c r="K9" t="s">
        <v>110</v>
      </c>
      <c r="L9">
        <v>55</v>
      </c>
      <c r="M9" t="s">
        <v>2219</v>
      </c>
      <c r="N9" t="s">
        <v>131</v>
      </c>
      <c r="O9" t="s">
        <v>549</v>
      </c>
      <c r="P9" t="s">
        <v>85</v>
      </c>
    </row>
    <row r="10" spans="1:16" hidden="1" x14ac:dyDescent="0.25">
      <c r="A10" t="s">
        <v>800</v>
      </c>
      <c r="B10" t="s">
        <v>335</v>
      </c>
      <c r="C10" t="s">
        <v>336</v>
      </c>
      <c r="D10" t="s">
        <v>581</v>
      </c>
      <c r="E10" t="s">
        <v>74</v>
      </c>
      <c r="F10" t="s">
        <v>1870</v>
      </c>
      <c r="G10" t="s">
        <v>435</v>
      </c>
      <c r="H10">
        <v>1000</v>
      </c>
      <c r="J10">
        <v>5525</v>
      </c>
      <c r="K10" t="s">
        <v>118</v>
      </c>
      <c r="L10">
        <v>55</v>
      </c>
      <c r="M10" t="s">
        <v>2219</v>
      </c>
      <c r="N10" t="s">
        <v>131</v>
      </c>
      <c r="O10" t="s">
        <v>549</v>
      </c>
      <c r="P10" t="s">
        <v>85</v>
      </c>
    </row>
    <row r="11" spans="1:16" hidden="1" x14ac:dyDescent="0.25">
      <c r="A11" t="s">
        <v>800</v>
      </c>
      <c r="B11" t="s">
        <v>335</v>
      </c>
      <c r="C11" t="s">
        <v>336</v>
      </c>
      <c r="D11" t="s">
        <v>581</v>
      </c>
      <c r="E11" t="s">
        <v>74</v>
      </c>
      <c r="F11" t="s">
        <v>1870</v>
      </c>
      <c r="G11" t="s">
        <v>434</v>
      </c>
      <c r="H11">
        <v>100</v>
      </c>
      <c r="J11">
        <v>5525</v>
      </c>
      <c r="K11" t="s">
        <v>118</v>
      </c>
      <c r="L11">
        <v>55</v>
      </c>
      <c r="M11" t="s">
        <v>2219</v>
      </c>
      <c r="N11" t="s">
        <v>131</v>
      </c>
      <c r="O11" t="s">
        <v>549</v>
      </c>
      <c r="P11" t="s">
        <v>85</v>
      </c>
    </row>
    <row r="12" spans="1:16" hidden="1" x14ac:dyDescent="0.25">
      <c r="A12" t="s">
        <v>800</v>
      </c>
      <c r="B12" t="s">
        <v>335</v>
      </c>
      <c r="C12" t="s">
        <v>336</v>
      </c>
      <c r="D12" t="s">
        <v>581</v>
      </c>
      <c r="E12" t="s">
        <v>74</v>
      </c>
      <c r="F12" t="s">
        <v>1870</v>
      </c>
      <c r="G12" t="s">
        <v>433</v>
      </c>
      <c r="H12">
        <v>500</v>
      </c>
      <c r="J12">
        <v>5525</v>
      </c>
      <c r="K12" t="s">
        <v>118</v>
      </c>
      <c r="L12">
        <v>55</v>
      </c>
      <c r="M12" t="s">
        <v>2219</v>
      </c>
      <c r="N12" t="s">
        <v>131</v>
      </c>
      <c r="O12" t="s">
        <v>549</v>
      </c>
      <c r="P12" t="s">
        <v>85</v>
      </c>
    </row>
    <row r="13" spans="1:16" hidden="1" x14ac:dyDescent="0.25">
      <c r="A13" t="s">
        <v>800</v>
      </c>
      <c r="B13" t="s">
        <v>335</v>
      </c>
      <c r="C13" t="s">
        <v>336</v>
      </c>
      <c r="D13" t="s">
        <v>581</v>
      </c>
      <c r="E13" t="s">
        <v>74</v>
      </c>
      <c r="F13" t="s">
        <v>1870</v>
      </c>
      <c r="G13" t="s">
        <v>432</v>
      </c>
      <c r="H13">
        <v>500</v>
      </c>
      <c r="J13">
        <v>5524</v>
      </c>
      <c r="K13" t="s">
        <v>117</v>
      </c>
      <c r="L13">
        <v>55</v>
      </c>
      <c r="M13" t="s">
        <v>2219</v>
      </c>
      <c r="N13" t="s">
        <v>131</v>
      </c>
      <c r="O13" t="s">
        <v>549</v>
      </c>
      <c r="P13" t="s">
        <v>85</v>
      </c>
    </row>
    <row r="14" spans="1:16" hidden="1" x14ac:dyDescent="0.25">
      <c r="A14" t="s">
        <v>800</v>
      </c>
      <c r="B14" t="s">
        <v>335</v>
      </c>
      <c r="C14" t="s">
        <v>336</v>
      </c>
      <c r="D14" t="s">
        <v>581</v>
      </c>
      <c r="E14" t="s">
        <v>74</v>
      </c>
      <c r="F14" t="s">
        <v>1870</v>
      </c>
      <c r="G14" t="s">
        <v>431</v>
      </c>
      <c r="H14">
        <v>100</v>
      </c>
      <c r="J14">
        <v>5524</v>
      </c>
      <c r="K14" t="s">
        <v>117</v>
      </c>
      <c r="L14">
        <v>55</v>
      </c>
      <c r="M14" t="s">
        <v>2219</v>
      </c>
      <c r="N14" t="s">
        <v>131</v>
      </c>
      <c r="O14" t="s">
        <v>549</v>
      </c>
      <c r="P14" t="s">
        <v>85</v>
      </c>
    </row>
    <row r="15" spans="1:16" hidden="1" x14ac:dyDescent="0.25">
      <c r="A15" t="s">
        <v>800</v>
      </c>
      <c r="B15" t="s">
        <v>335</v>
      </c>
      <c r="C15" t="s">
        <v>336</v>
      </c>
      <c r="D15" t="s">
        <v>581</v>
      </c>
      <c r="E15" t="s">
        <v>74</v>
      </c>
      <c r="F15" t="s">
        <v>1870</v>
      </c>
      <c r="G15" t="s">
        <v>430</v>
      </c>
      <c r="H15">
        <v>900</v>
      </c>
      <c r="J15">
        <v>5524</v>
      </c>
      <c r="K15" t="s">
        <v>117</v>
      </c>
      <c r="L15">
        <v>55</v>
      </c>
      <c r="M15" t="s">
        <v>2219</v>
      </c>
      <c r="N15" t="s">
        <v>131</v>
      </c>
      <c r="O15" t="s">
        <v>549</v>
      </c>
      <c r="P15" t="s">
        <v>85</v>
      </c>
    </row>
    <row r="16" spans="1:16" hidden="1" x14ac:dyDescent="0.25">
      <c r="A16" t="s">
        <v>800</v>
      </c>
      <c r="B16" t="s">
        <v>335</v>
      </c>
      <c r="C16" t="s">
        <v>336</v>
      </c>
      <c r="D16" t="s">
        <v>581</v>
      </c>
      <c r="E16" t="s">
        <v>74</v>
      </c>
      <c r="F16" t="s">
        <v>1870</v>
      </c>
      <c r="G16" t="s">
        <v>429</v>
      </c>
      <c r="H16">
        <v>800</v>
      </c>
      <c r="J16">
        <v>5524</v>
      </c>
      <c r="K16" t="s">
        <v>117</v>
      </c>
      <c r="L16">
        <v>55</v>
      </c>
      <c r="M16" t="s">
        <v>2219</v>
      </c>
      <c r="N16" t="s">
        <v>131</v>
      </c>
      <c r="O16" t="s">
        <v>549</v>
      </c>
      <c r="P16" t="s">
        <v>85</v>
      </c>
    </row>
    <row r="17" spans="1:16" hidden="1" x14ac:dyDescent="0.25">
      <c r="A17" t="s">
        <v>800</v>
      </c>
      <c r="B17" t="s">
        <v>335</v>
      </c>
      <c r="C17" t="s">
        <v>336</v>
      </c>
      <c r="D17" t="s">
        <v>581</v>
      </c>
      <c r="E17" t="s">
        <v>74</v>
      </c>
      <c r="F17" t="s">
        <v>1870</v>
      </c>
      <c r="G17" t="s">
        <v>428</v>
      </c>
      <c r="H17">
        <v>800</v>
      </c>
      <c r="J17">
        <v>5524</v>
      </c>
      <c r="K17" t="s">
        <v>117</v>
      </c>
      <c r="L17">
        <v>55</v>
      </c>
      <c r="M17" t="s">
        <v>2219</v>
      </c>
      <c r="N17" t="s">
        <v>131</v>
      </c>
      <c r="O17" t="s">
        <v>549</v>
      </c>
      <c r="P17" t="s">
        <v>85</v>
      </c>
    </row>
    <row r="18" spans="1:16" hidden="1" x14ac:dyDescent="0.25">
      <c r="A18" t="s">
        <v>800</v>
      </c>
      <c r="B18" t="s">
        <v>335</v>
      </c>
      <c r="C18" t="s">
        <v>336</v>
      </c>
      <c r="D18" t="s">
        <v>581</v>
      </c>
      <c r="E18" t="s">
        <v>74</v>
      </c>
      <c r="F18" t="s">
        <v>1870</v>
      </c>
      <c r="G18" t="s">
        <v>427</v>
      </c>
      <c r="H18">
        <v>300</v>
      </c>
      <c r="J18">
        <v>5522</v>
      </c>
      <c r="K18" t="s">
        <v>115</v>
      </c>
      <c r="L18">
        <v>55</v>
      </c>
      <c r="M18" t="s">
        <v>2219</v>
      </c>
      <c r="N18" t="s">
        <v>131</v>
      </c>
      <c r="O18" t="s">
        <v>549</v>
      </c>
      <c r="P18" t="s">
        <v>85</v>
      </c>
    </row>
    <row r="19" spans="1:16" hidden="1" x14ac:dyDescent="0.25">
      <c r="A19" t="s">
        <v>800</v>
      </c>
      <c r="B19" t="s">
        <v>335</v>
      </c>
      <c r="C19" t="s">
        <v>336</v>
      </c>
      <c r="D19" t="s">
        <v>581</v>
      </c>
      <c r="E19" t="s">
        <v>74</v>
      </c>
      <c r="F19" t="s">
        <v>1870</v>
      </c>
      <c r="G19" t="s">
        <v>426</v>
      </c>
      <c r="H19">
        <v>50</v>
      </c>
      <c r="J19">
        <v>5522</v>
      </c>
      <c r="K19" t="s">
        <v>115</v>
      </c>
      <c r="L19">
        <v>55</v>
      </c>
      <c r="M19" t="s">
        <v>2219</v>
      </c>
      <c r="N19" t="s">
        <v>131</v>
      </c>
      <c r="O19" t="s">
        <v>549</v>
      </c>
      <c r="P19" t="s">
        <v>85</v>
      </c>
    </row>
    <row r="20" spans="1:16" hidden="1" x14ac:dyDescent="0.25">
      <c r="A20" t="s">
        <v>800</v>
      </c>
      <c r="B20" t="s">
        <v>335</v>
      </c>
      <c r="C20" t="s">
        <v>336</v>
      </c>
      <c r="D20" t="s">
        <v>581</v>
      </c>
      <c r="E20" t="s">
        <v>74</v>
      </c>
      <c r="F20" t="s">
        <v>1870</v>
      </c>
      <c r="G20" t="s">
        <v>424</v>
      </c>
      <c r="H20">
        <v>50</v>
      </c>
      <c r="J20">
        <v>5522</v>
      </c>
      <c r="K20" t="s">
        <v>115</v>
      </c>
      <c r="L20">
        <v>55</v>
      </c>
      <c r="M20" t="s">
        <v>2219</v>
      </c>
      <c r="N20" t="s">
        <v>131</v>
      </c>
      <c r="O20" t="s">
        <v>549</v>
      </c>
      <c r="P20" t="s">
        <v>85</v>
      </c>
    </row>
    <row r="21" spans="1:16" hidden="1" x14ac:dyDescent="0.25">
      <c r="A21" t="s">
        <v>800</v>
      </c>
      <c r="B21" t="s">
        <v>335</v>
      </c>
      <c r="C21" t="s">
        <v>336</v>
      </c>
      <c r="D21" t="s">
        <v>581</v>
      </c>
      <c r="E21" t="s">
        <v>74</v>
      </c>
      <c r="F21" t="s">
        <v>1870</v>
      </c>
      <c r="G21" t="s">
        <v>1138</v>
      </c>
      <c r="H21">
        <v>8000</v>
      </c>
      <c r="J21">
        <v>5521</v>
      </c>
      <c r="K21" t="s">
        <v>114</v>
      </c>
      <c r="L21">
        <v>55</v>
      </c>
      <c r="M21" t="s">
        <v>2219</v>
      </c>
      <c r="N21" t="s">
        <v>131</v>
      </c>
      <c r="O21" t="s">
        <v>549</v>
      </c>
      <c r="P21" t="s">
        <v>85</v>
      </c>
    </row>
    <row r="22" spans="1:16" hidden="1" x14ac:dyDescent="0.25">
      <c r="A22" t="s">
        <v>800</v>
      </c>
      <c r="B22" t="s">
        <v>335</v>
      </c>
      <c r="C22" t="s">
        <v>336</v>
      </c>
      <c r="D22" t="s">
        <v>581</v>
      </c>
      <c r="E22" t="s">
        <v>74</v>
      </c>
      <c r="F22" t="s">
        <v>1870</v>
      </c>
      <c r="G22" t="s">
        <v>1874</v>
      </c>
      <c r="H22">
        <v>300</v>
      </c>
      <c r="J22">
        <v>5515</v>
      </c>
      <c r="K22" t="s">
        <v>112</v>
      </c>
      <c r="L22">
        <v>55</v>
      </c>
      <c r="M22" t="s">
        <v>2219</v>
      </c>
      <c r="N22" t="s">
        <v>131</v>
      </c>
      <c r="O22" t="s">
        <v>549</v>
      </c>
      <c r="P22" t="s">
        <v>85</v>
      </c>
    </row>
    <row r="23" spans="1:16" hidden="1" x14ac:dyDescent="0.25">
      <c r="A23" t="s">
        <v>800</v>
      </c>
      <c r="B23" t="s">
        <v>335</v>
      </c>
      <c r="C23" t="s">
        <v>336</v>
      </c>
      <c r="D23" t="s">
        <v>581</v>
      </c>
      <c r="E23" t="s">
        <v>74</v>
      </c>
      <c r="F23" t="s">
        <v>1870</v>
      </c>
      <c r="G23" t="s">
        <v>423</v>
      </c>
      <c r="H23">
        <v>500</v>
      </c>
      <c r="J23">
        <v>5515</v>
      </c>
      <c r="K23" t="s">
        <v>112</v>
      </c>
      <c r="L23">
        <v>55</v>
      </c>
      <c r="M23" t="s">
        <v>2219</v>
      </c>
      <c r="N23" t="s">
        <v>131</v>
      </c>
      <c r="O23" t="s">
        <v>549</v>
      </c>
      <c r="P23" t="s">
        <v>85</v>
      </c>
    </row>
    <row r="24" spans="1:16" hidden="1" x14ac:dyDescent="0.25">
      <c r="A24" t="s">
        <v>800</v>
      </c>
      <c r="B24" t="s">
        <v>335</v>
      </c>
      <c r="C24" t="s">
        <v>336</v>
      </c>
      <c r="D24" t="s">
        <v>581</v>
      </c>
      <c r="E24" t="s">
        <v>74</v>
      </c>
      <c r="F24" t="s">
        <v>1870</v>
      </c>
      <c r="G24" t="s">
        <v>417</v>
      </c>
      <c r="H24">
        <v>500</v>
      </c>
      <c r="J24">
        <v>5513</v>
      </c>
      <c r="K24" t="s">
        <v>111</v>
      </c>
      <c r="L24">
        <v>55</v>
      </c>
      <c r="M24" t="s">
        <v>2219</v>
      </c>
      <c r="N24" t="s">
        <v>131</v>
      </c>
      <c r="O24" t="s">
        <v>549</v>
      </c>
      <c r="P24" t="s">
        <v>85</v>
      </c>
    </row>
    <row r="25" spans="1:16" hidden="1" x14ac:dyDescent="0.25">
      <c r="A25" t="s">
        <v>800</v>
      </c>
      <c r="B25" t="s">
        <v>335</v>
      </c>
      <c r="C25" t="s">
        <v>336</v>
      </c>
      <c r="D25" t="s">
        <v>581</v>
      </c>
      <c r="E25" t="s">
        <v>74</v>
      </c>
      <c r="F25" t="s">
        <v>1870</v>
      </c>
      <c r="G25" t="s">
        <v>409</v>
      </c>
      <c r="H25">
        <v>500</v>
      </c>
      <c r="J25">
        <v>5504</v>
      </c>
      <c r="K25" t="s">
        <v>102</v>
      </c>
      <c r="L25">
        <v>55</v>
      </c>
      <c r="M25" t="s">
        <v>2219</v>
      </c>
      <c r="N25" t="s">
        <v>131</v>
      </c>
      <c r="O25" t="s">
        <v>549</v>
      </c>
      <c r="P25" t="s">
        <v>85</v>
      </c>
    </row>
    <row r="26" spans="1:16" hidden="1" x14ac:dyDescent="0.25">
      <c r="A26" t="s">
        <v>800</v>
      </c>
      <c r="B26" t="s">
        <v>335</v>
      </c>
      <c r="C26" t="s">
        <v>336</v>
      </c>
      <c r="D26" t="s">
        <v>581</v>
      </c>
      <c r="E26" t="s">
        <v>74</v>
      </c>
      <c r="F26" t="s">
        <v>1870</v>
      </c>
      <c r="G26" t="s">
        <v>1872</v>
      </c>
      <c r="H26">
        <v>100</v>
      </c>
      <c r="J26">
        <v>5500</v>
      </c>
      <c r="K26" t="s">
        <v>100</v>
      </c>
      <c r="L26">
        <v>55</v>
      </c>
      <c r="M26" t="s">
        <v>2219</v>
      </c>
      <c r="N26" t="s">
        <v>131</v>
      </c>
      <c r="O26" t="s">
        <v>549</v>
      </c>
      <c r="P26" t="s">
        <v>85</v>
      </c>
    </row>
    <row r="27" spans="1:16" hidden="1" x14ac:dyDescent="0.25">
      <c r="A27" t="s">
        <v>800</v>
      </c>
      <c r="B27" t="s">
        <v>335</v>
      </c>
      <c r="C27" t="s">
        <v>336</v>
      </c>
      <c r="D27" t="s">
        <v>581</v>
      </c>
      <c r="E27" t="s">
        <v>74</v>
      </c>
      <c r="F27" t="s">
        <v>1870</v>
      </c>
      <c r="G27" t="s">
        <v>408</v>
      </c>
      <c r="H27">
        <v>50</v>
      </c>
      <c r="J27">
        <v>5500</v>
      </c>
      <c r="K27" t="s">
        <v>100</v>
      </c>
      <c r="L27">
        <v>55</v>
      </c>
      <c r="M27" t="s">
        <v>2219</v>
      </c>
      <c r="N27" t="s">
        <v>131</v>
      </c>
      <c r="O27" t="s">
        <v>549</v>
      </c>
      <c r="P27" t="s">
        <v>85</v>
      </c>
    </row>
    <row r="28" spans="1:16" hidden="1" x14ac:dyDescent="0.25">
      <c r="A28" t="s">
        <v>800</v>
      </c>
      <c r="B28" t="s">
        <v>335</v>
      </c>
      <c r="C28" t="s">
        <v>336</v>
      </c>
      <c r="D28" t="s">
        <v>581</v>
      </c>
      <c r="E28" t="s">
        <v>74</v>
      </c>
      <c r="F28" t="s">
        <v>1870</v>
      </c>
      <c r="G28" t="s">
        <v>407</v>
      </c>
      <c r="H28">
        <v>130</v>
      </c>
      <c r="J28">
        <v>5500</v>
      </c>
      <c r="K28" t="s">
        <v>100</v>
      </c>
      <c r="L28">
        <v>55</v>
      </c>
      <c r="M28" t="s">
        <v>2219</v>
      </c>
      <c r="N28" t="s">
        <v>131</v>
      </c>
      <c r="O28" t="s">
        <v>549</v>
      </c>
      <c r="P28" t="s">
        <v>85</v>
      </c>
    </row>
    <row r="29" spans="1:16" hidden="1" x14ac:dyDescent="0.25">
      <c r="A29" t="s">
        <v>800</v>
      </c>
      <c r="B29" t="s">
        <v>335</v>
      </c>
      <c r="C29" t="s">
        <v>336</v>
      </c>
      <c r="D29" t="s">
        <v>581</v>
      </c>
      <c r="E29" t="s">
        <v>74</v>
      </c>
      <c r="F29" t="s">
        <v>1870</v>
      </c>
      <c r="G29" t="s">
        <v>406</v>
      </c>
      <c r="H29">
        <v>100</v>
      </c>
      <c r="J29">
        <v>5500</v>
      </c>
      <c r="K29" t="s">
        <v>100</v>
      </c>
      <c r="L29">
        <v>55</v>
      </c>
      <c r="M29" t="s">
        <v>2219</v>
      </c>
      <c r="N29" t="s">
        <v>131</v>
      </c>
      <c r="O29" t="s">
        <v>549</v>
      </c>
      <c r="P29" t="s">
        <v>85</v>
      </c>
    </row>
    <row r="30" spans="1:16" hidden="1" x14ac:dyDescent="0.25">
      <c r="A30" t="s">
        <v>800</v>
      </c>
      <c r="B30" t="s">
        <v>335</v>
      </c>
      <c r="C30" t="s">
        <v>336</v>
      </c>
      <c r="D30" t="s">
        <v>581</v>
      </c>
      <c r="E30" t="s">
        <v>74</v>
      </c>
      <c r="F30" t="s">
        <v>1870</v>
      </c>
      <c r="G30" t="s">
        <v>405</v>
      </c>
      <c r="H30">
        <v>0</v>
      </c>
      <c r="J30">
        <v>5500</v>
      </c>
      <c r="K30" t="s">
        <v>100</v>
      </c>
      <c r="L30">
        <v>55</v>
      </c>
      <c r="M30" t="s">
        <v>2219</v>
      </c>
      <c r="N30" t="s">
        <v>131</v>
      </c>
      <c r="O30" t="s">
        <v>549</v>
      </c>
      <c r="P30" t="s">
        <v>85</v>
      </c>
    </row>
    <row r="31" spans="1:16" hidden="1" x14ac:dyDescent="0.25">
      <c r="A31" t="s">
        <v>800</v>
      </c>
      <c r="B31" t="s">
        <v>335</v>
      </c>
      <c r="C31" t="s">
        <v>336</v>
      </c>
      <c r="D31" t="s">
        <v>581</v>
      </c>
      <c r="E31" t="s">
        <v>74</v>
      </c>
      <c r="F31" t="s">
        <v>1870</v>
      </c>
      <c r="G31" t="s">
        <v>404</v>
      </c>
      <c r="H31">
        <v>300</v>
      </c>
      <c r="J31">
        <v>5500</v>
      </c>
      <c r="K31" t="s">
        <v>100</v>
      </c>
      <c r="L31">
        <v>55</v>
      </c>
      <c r="M31" t="s">
        <v>2219</v>
      </c>
      <c r="N31" t="s">
        <v>131</v>
      </c>
      <c r="O31" t="s">
        <v>549</v>
      </c>
      <c r="P31" t="s">
        <v>85</v>
      </c>
    </row>
    <row r="32" spans="1:16" hidden="1" x14ac:dyDescent="0.25">
      <c r="A32" t="s">
        <v>800</v>
      </c>
      <c r="B32" t="s">
        <v>335</v>
      </c>
      <c r="C32" t="s">
        <v>336</v>
      </c>
      <c r="D32" t="s">
        <v>581</v>
      </c>
      <c r="E32" t="s">
        <v>74</v>
      </c>
      <c r="F32" t="s">
        <v>1870</v>
      </c>
      <c r="G32" t="s">
        <v>403</v>
      </c>
      <c r="H32">
        <v>50</v>
      </c>
      <c r="J32">
        <v>5500</v>
      </c>
      <c r="K32" t="s">
        <v>100</v>
      </c>
      <c r="L32">
        <v>55</v>
      </c>
      <c r="M32" t="s">
        <v>2219</v>
      </c>
      <c r="N32" t="s">
        <v>131</v>
      </c>
      <c r="O32" t="s">
        <v>549</v>
      </c>
      <c r="P32" t="s">
        <v>85</v>
      </c>
    </row>
    <row r="33" spans="1:16" hidden="1" x14ac:dyDescent="0.25">
      <c r="A33" t="s">
        <v>800</v>
      </c>
      <c r="B33" t="s">
        <v>335</v>
      </c>
      <c r="C33" t="s">
        <v>336</v>
      </c>
      <c r="D33" t="s">
        <v>581</v>
      </c>
      <c r="E33" t="s">
        <v>74</v>
      </c>
      <c r="F33" t="s">
        <v>1870</v>
      </c>
      <c r="G33" t="s">
        <v>402</v>
      </c>
      <c r="H33">
        <v>100</v>
      </c>
      <c r="J33">
        <v>5500</v>
      </c>
      <c r="K33" t="s">
        <v>100</v>
      </c>
      <c r="L33">
        <v>55</v>
      </c>
      <c r="M33" t="s">
        <v>2219</v>
      </c>
      <c r="N33" t="s">
        <v>131</v>
      </c>
      <c r="O33" t="s">
        <v>549</v>
      </c>
      <c r="P33" t="s">
        <v>85</v>
      </c>
    </row>
    <row r="34" spans="1:16" hidden="1" x14ac:dyDescent="0.25">
      <c r="A34" t="s">
        <v>800</v>
      </c>
      <c r="B34" t="s">
        <v>335</v>
      </c>
      <c r="C34" t="s">
        <v>336</v>
      </c>
      <c r="D34" t="s">
        <v>581</v>
      </c>
      <c r="E34" t="s">
        <v>74</v>
      </c>
      <c r="F34" t="s">
        <v>1870</v>
      </c>
      <c r="G34" t="s">
        <v>401</v>
      </c>
      <c r="H34">
        <v>400</v>
      </c>
      <c r="J34">
        <v>5500</v>
      </c>
      <c r="K34" t="s">
        <v>100</v>
      </c>
      <c r="L34">
        <v>55</v>
      </c>
      <c r="M34" t="s">
        <v>2219</v>
      </c>
      <c r="N34" t="s">
        <v>131</v>
      </c>
      <c r="O34" t="s">
        <v>549</v>
      </c>
      <c r="P34" t="s">
        <v>85</v>
      </c>
    </row>
    <row r="35" spans="1:16" hidden="1" x14ac:dyDescent="0.25">
      <c r="A35" t="s">
        <v>800</v>
      </c>
      <c r="B35" t="s">
        <v>335</v>
      </c>
      <c r="C35" t="s">
        <v>336</v>
      </c>
      <c r="D35" t="s">
        <v>581</v>
      </c>
      <c r="E35" t="s">
        <v>74</v>
      </c>
      <c r="F35" t="s">
        <v>1870</v>
      </c>
      <c r="G35" t="s">
        <v>1871</v>
      </c>
      <c r="H35">
        <v>600</v>
      </c>
      <c r="J35">
        <v>5500</v>
      </c>
      <c r="K35" t="s">
        <v>100</v>
      </c>
      <c r="L35">
        <v>55</v>
      </c>
      <c r="M35" t="s">
        <v>2219</v>
      </c>
      <c r="N35" t="s">
        <v>131</v>
      </c>
      <c r="O35" t="s">
        <v>549</v>
      </c>
      <c r="P35" t="s">
        <v>85</v>
      </c>
    </row>
    <row r="36" spans="1:16" hidden="1" x14ac:dyDescent="0.25">
      <c r="A36" t="s">
        <v>800</v>
      </c>
      <c r="B36" t="s">
        <v>335</v>
      </c>
      <c r="C36" t="s">
        <v>336</v>
      </c>
      <c r="D36" t="s">
        <v>581</v>
      </c>
      <c r="E36" t="s">
        <v>74</v>
      </c>
      <c r="F36" t="s">
        <v>1870</v>
      </c>
      <c r="G36" t="s">
        <v>436</v>
      </c>
      <c r="H36">
        <v>150</v>
      </c>
      <c r="J36">
        <v>5511</v>
      </c>
      <c r="K36" t="s">
        <v>106</v>
      </c>
      <c r="L36">
        <v>55</v>
      </c>
      <c r="M36" t="s">
        <v>2219</v>
      </c>
      <c r="N36" t="s">
        <v>131</v>
      </c>
      <c r="O36" t="s">
        <v>549</v>
      </c>
      <c r="P36" t="s">
        <v>85</v>
      </c>
    </row>
    <row r="37" spans="1:16" hidden="1" x14ac:dyDescent="0.25">
      <c r="A37" t="s">
        <v>800</v>
      </c>
      <c r="B37" t="s">
        <v>335</v>
      </c>
      <c r="C37" t="s">
        <v>336</v>
      </c>
      <c r="D37" t="s">
        <v>581</v>
      </c>
      <c r="E37" t="s">
        <v>74</v>
      </c>
      <c r="F37" t="s">
        <v>1870</v>
      </c>
      <c r="G37" t="s">
        <v>416</v>
      </c>
      <c r="H37">
        <v>500</v>
      </c>
      <c r="J37">
        <v>5511</v>
      </c>
      <c r="K37" t="s">
        <v>106</v>
      </c>
      <c r="L37">
        <v>55</v>
      </c>
      <c r="M37" t="s">
        <v>2219</v>
      </c>
      <c r="N37" t="s">
        <v>131</v>
      </c>
      <c r="O37" t="s">
        <v>549</v>
      </c>
      <c r="P37" t="s">
        <v>85</v>
      </c>
    </row>
    <row r="38" spans="1:16" hidden="1" x14ac:dyDescent="0.25">
      <c r="A38" t="s">
        <v>800</v>
      </c>
      <c r="B38" t="s">
        <v>335</v>
      </c>
      <c r="C38" t="s">
        <v>336</v>
      </c>
      <c r="D38" t="s">
        <v>581</v>
      </c>
      <c r="E38" t="s">
        <v>74</v>
      </c>
      <c r="F38" t="s">
        <v>1870</v>
      </c>
      <c r="G38" t="s">
        <v>1873</v>
      </c>
      <c r="H38">
        <v>200</v>
      </c>
      <c r="J38">
        <v>5511</v>
      </c>
      <c r="K38" t="s">
        <v>106</v>
      </c>
      <c r="L38">
        <v>55</v>
      </c>
      <c r="M38" t="s">
        <v>2219</v>
      </c>
      <c r="N38" t="s">
        <v>131</v>
      </c>
      <c r="O38" t="s">
        <v>549</v>
      </c>
      <c r="P38" t="s">
        <v>85</v>
      </c>
    </row>
    <row r="39" spans="1:16" hidden="1" x14ac:dyDescent="0.25">
      <c r="A39" t="s">
        <v>800</v>
      </c>
      <c r="B39" t="s">
        <v>335</v>
      </c>
      <c r="C39" t="s">
        <v>336</v>
      </c>
      <c r="D39" t="s">
        <v>581</v>
      </c>
      <c r="E39" t="s">
        <v>74</v>
      </c>
      <c r="F39" t="s">
        <v>1870</v>
      </c>
      <c r="G39" t="s">
        <v>415</v>
      </c>
      <c r="H39">
        <v>1200</v>
      </c>
      <c r="J39">
        <v>5511</v>
      </c>
      <c r="K39" t="s">
        <v>106</v>
      </c>
      <c r="L39">
        <v>55</v>
      </c>
      <c r="M39" t="s">
        <v>2219</v>
      </c>
      <c r="N39" t="s">
        <v>131</v>
      </c>
      <c r="O39" t="s">
        <v>549</v>
      </c>
      <c r="P39" t="s">
        <v>85</v>
      </c>
    </row>
    <row r="40" spans="1:16" hidden="1" x14ac:dyDescent="0.25">
      <c r="A40" t="s">
        <v>800</v>
      </c>
      <c r="B40" t="s">
        <v>335</v>
      </c>
      <c r="C40" t="s">
        <v>336</v>
      </c>
      <c r="D40" t="s">
        <v>581</v>
      </c>
      <c r="E40" t="s">
        <v>74</v>
      </c>
      <c r="F40" t="s">
        <v>1870</v>
      </c>
      <c r="G40" t="s">
        <v>414</v>
      </c>
      <c r="H40">
        <v>500</v>
      </c>
      <c r="J40">
        <v>5511</v>
      </c>
      <c r="K40" t="s">
        <v>106</v>
      </c>
      <c r="L40">
        <v>55</v>
      </c>
      <c r="M40" t="s">
        <v>2219</v>
      </c>
      <c r="N40" t="s">
        <v>131</v>
      </c>
      <c r="O40" t="s">
        <v>549</v>
      </c>
      <c r="P40" t="s">
        <v>85</v>
      </c>
    </row>
    <row r="41" spans="1:16" hidden="1" x14ac:dyDescent="0.25">
      <c r="A41" t="s">
        <v>800</v>
      </c>
      <c r="B41" t="s">
        <v>335</v>
      </c>
      <c r="C41" t="s">
        <v>336</v>
      </c>
      <c r="D41" t="s">
        <v>581</v>
      </c>
      <c r="E41" t="s">
        <v>74</v>
      </c>
      <c r="F41" t="s">
        <v>1870</v>
      </c>
      <c r="G41" t="s">
        <v>413</v>
      </c>
      <c r="H41">
        <v>1900</v>
      </c>
      <c r="J41">
        <v>5511</v>
      </c>
      <c r="K41" t="s">
        <v>106</v>
      </c>
      <c r="L41">
        <v>55</v>
      </c>
      <c r="M41" t="s">
        <v>2219</v>
      </c>
      <c r="N41" t="s">
        <v>131</v>
      </c>
      <c r="O41" t="s">
        <v>549</v>
      </c>
      <c r="P41" t="s">
        <v>85</v>
      </c>
    </row>
    <row r="42" spans="1:16" hidden="1" x14ac:dyDescent="0.25">
      <c r="A42" t="s">
        <v>800</v>
      </c>
      <c r="B42" t="s">
        <v>335</v>
      </c>
      <c r="C42" t="s">
        <v>336</v>
      </c>
      <c r="D42" t="s">
        <v>581</v>
      </c>
      <c r="E42" t="s">
        <v>74</v>
      </c>
      <c r="F42" t="s">
        <v>1870</v>
      </c>
      <c r="G42" t="s">
        <v>412</v>
      </c>
      <c r="H42">
        <v>0</v>
      </c>
      <c r="J42">
        <v>5511</v>
      </c>
      <c r="K42" t="s">
        <v>106</v>
      </c>
      <c r="L42">
        <v>55</v>
      </c>
      <c r="M42" t="s">
        <v>2219</v>
      </c>
      <c r="N42" t="s">
        <v>131</v>
      </c>
      <c r="O42" t="s">
        <v>549</v>
      </c>
      <c r="P42" t="s">
        <v>85</v>
      </c>
    </row>
    <row r="43" spans="1:16" hidden="1" x14ac:dyDescent="0.25">
      <c r="A43" t="s">
        <v>800</v>
      </c>
      <c r="B43" t="s">
        <v>335</v>
      </c>
      <c r="C43" t="s">
        <v>336</v>
      </c>
      <c r="D43" t="s">
        <v>581</v>
      </c>
      <c r="E43" t="s">
        <v>74</v>
      </c>
      <c r="F43" t="s">
        <v>1870</v>
      </c>
      <c r="G43" t="s">
        <v>180</v>
      </c>
      <c r="H43">
        <v>500</v>
      </c>
      <c r="J43">
        <v>5511</v>
      </c>
      <c r="K43" t="s">
        <v>106</v>
      </c>
      <c r="L43">
        <v>55</v>
      </c>
      <c r="M43" t="s">
        <v>2219</v>
      </c>
      <c r="N43" t="s">
        <v>131</v>
      </c>
      <c r="O43" t="s">
        <v>549</v>
      </c>
      <c r="P43" t="s">
        <v>85</v>
      </c>
    </row>
    <row r="44" spans="1:16" hidden="1" x14ac:dyDescent="0.25">
      <c r="A44" t="s">
        <v>800</v>
      </c>
      <c r="B44" t="s">
        <v>335</v>
      </c>
      <c r="C44" t="s">
        <v>336</v>
      </c>
      <c r="D44" t="s">
        <v>581</v>
      </c>
      <c r="E44" t="s">
        <v>74</v>
      </c>
      <c r="F44" t="s">
        <v>1870</v>
      </c>
      <c r="G44" t="s">
        <v>411</v>
      </c>
      <c r="H44">
        <v>3500</v>
      </c>
      <c r="J44">
        <v>5511</v>
      </c>
      <c r="K44" t="s">
        <v>106</v>
      </c>
      <c r="L44">
        <v>55</v>
      </c>
      <c r="M44" t="s">
        <v>2219</v>
      </c>
      <c r="N44" t="s">
        <v>131</v>
      </c>
      <c r="O44" t="s">
        <v>549</v>
      </c>
      <c r="P44" t="s">
        <v>85</v>
      </c>
    </row>
    <row r="45" spans="1:16" hidden="1" x14ac:dyDescent="0.25">
      <c r="A45" t="s">
        <v>800</v>
      </c>
      <c r="B45" t="s">
        <v>335</v>
      </c>
      <c r="C45" t="s">
        <v>336</v>
      </c>
      <c r="D45" t="s">
        <v>581</v>
      </c>
      <c r="E45" t="s">
        <v>74</v>
      </c>
      <c r="F45" t="s">
        <v>1870</v>
      </c>
      <c r="G45" t="s">
        <v>410</v>
      </c>
      <c r="H45">
        <v>400</v>
      </c>
      <c r="J45">
        <v>5511</v>
      </c>
      <c r="K45" t="s">
        <v>106</v>
      </c>
      <c r="L45">
        <v>55</v>
      </c>
      <c r="M45" t="s">
        <v>2219</v>
      </c>
      <c r="N45" t="s">
        <v>131</v>
      </c>
      <c r="O45" t="s">
        <v>549</v>
      </c>
      <c r="P45" t="s">
        <v>85</v>
      </c>
    </row>
    <row r="46" spans="1:16" hidden="1" x14ac:dyDescent="0.25">
      <c r="A46" t="s">
        <v>800</v>
      </c>
      <c r="B46" t="s">
        <v>335</v>
      </c>
      <c r="C46" t="s">
        <v>336</v>
      </c>
      <c r="D46" t="s">
        <v>581</v>
      </c>
      <c r="E46" t="s">
        <v>74</v>
      </c>
      <c r="F46" t="s">
        <v>1870</v>
      </c>
      <c r="G46" t="s">
        <v>178</v>
      </c>
      <c r="H46">
        <v>4000</v>
      </c>
      <c r="J46">
        <v>5511</v>
      </c>
      <c r="K46" t="s">
        <v>106</v>
      </c>
      <c r="L46">
        <v>55</v>
      </c>
      <c r="M46" t="s">
        <v>2219</v>
      </c>
      <c r="N46" t="s">
        <v>131</v>
      </c>
      <c r="O46" t="s">
        <v>549</v>
      </c>
      <c r="P46" t="s">
        <v>85</v>
      </c>
    </row>
    <row r="47" spans="1:16" hidden="1" x14ac:dyDescent="0.25">
      <c r="A47" t="s">
        <v>800</v>
      </c>
      <c r="B47" t="s">
        <v>335</v>
      </c>
      <c r="C47" t="s">
        <v>336</v>
      </c>
      <c r="D47" t="s">
        <v>581</v>
      </c>
      <c r="E47" t="s">
        <v>74</v>
      </c>
      <c r="F47" t="s">
        <v>1870</v>
      </c>
      <c r="G47" t="s">
        <v>177</v>
      </c>
      <c r="H47">
        <v>9000</v>
      </c>
      <c r="J47">
        <v>5511</v>
      </c>
      <c r="K47" t="s">
        <v>106</v>
      </c>
      <c r="L47">
        <v>55</v>
      </c>
      <c r="M47" t="s">
        <v>2219</v>
      </c>
      <c r="N47" t="s">
        <v>131</v>
      </c>
      <c r="O47" t="s">
        <v>549</v>
      </c>
      <c r="P47" t="s">
        <v>85</v>
      </c>
    </row>
    <row r="48" spans="1:16" hidden="1" x14ac:dyDescent="0.25">
      <c r="A48" t="s">
        <v>800</v>
      </c>
      <c r="B48" t="s">
        <v>333</v>
      </c>
      <c r="C48" t="s">
        <v>334</v>
      </c>
      <c r="D48" t="s">
        <v>581</v>
      </c>
      <c r="E48" t="s">
        <v>74</v>
      </c>
      <c r="F48" t="s">
        <v>1374</v>
      </c>
      <c r="G48" t="s">
        <v>1381</v>
      </c>
      <c r="H48">
        <v>500</v>
      </c>
      <c r="J48">
        <v>5514</v>
      </c>
      <c r="K48" t="s">
        <v>110</v>
      </c>
      <c r="L48">
        <v>55</v>
      </c>
      <c r="M48" t="s">
        <v>2219</v>
      </c>
      <c r="N48" t="s">
        <v>131</v>
      </c>
      <c r="O48" t="s">
        <v>549</v>
      </c>
      <c r="P48" t="s">
        <v>85</v>
      </c>
    </row>
    <row r="49" spans="1:16" hidden="1" x14ac:dyDescent="0.25">
      <c r="A49" t="s">
        <v>800</v>
      </c>
      <c r="B49" t="s">
        <v>333</v>
      </c>
      <c r="C49" t="s">
        <v>334</v>
      </c>
      <c r="D49" t="s">
        <v>581</v>
      </c>
      <c r="E49" t="s">
        <v>74</v>
      </c>
      <c r="F49" t="s">
        <v>1374</v>
      </c>
      <c r="G49" t="s">
        <v>1380</v>
      </c>
      <c r="H49">
        <v>100</v>
      </c>
      <c r="J49">
        <v>5511</v>
      </c>
      <c r="K49" t="s">
        <v>106</v>
      </c>
      <c r="L49">
        <v>55</v>
      </c>
      <c r="M49" t="s">
        <v>2219</v>
      </c>
      <c r="N49" t="s">
        <v>131</v>
      </c>
      <c r="O49" t="s">
        <v>549</v>
      </c>
      <c r="P49" t="s">
        <v>85</v>
      </c>
    </row>
    <row r="50" spans="1:16" hidden="1" x14ac:dyDescent="0.25">
      <c r="A50" t="s">
        <v>800</v>
      </c>
      <c r="B50" t="s">
        <v>333</v>
      </c>
      <c r="C50" t="s">
        <v>334</v>
      </c>
      <c r="D50" t="s">
        <v>581</v>
      </c>
      <c r="E50" t="s">
        <v>74</v>
      </c>
      <c r="F50" t="s">
        <v>1374</v>
      </c>
      <c r="G50" t="s">
        <v>1379</v>
      </c>
      <c r="H50">
        <v>6000</v>
      </c>
      <c r="J50">
        <v>5511</v>
      </c>
      <c r="K50" t="s">
        <v>106</v>
      </c>
      <c r="L50">
        <v>55</v>
      </c>
      <c r="M50" t="s">
        <v>2219</v>
      </c>
      <c r="N50" t="s">
        <v>131</v>
      </c>
      <c r="O50" t="s">
        <v>549</v>
      </c>
      <c r="P50" t="s">
        <v>85</v>
      </c>
    </row>
    <row r="51" spans="1:16" hidden="1" x14ac:dyDescent="0.25">
      <c r="A51" t="s">
        <v>800</v>
      </c>
      <c r="B51" t="s">
        <v>333</v>
      </c>
      <c r="C51" t="s">
        <v>334</v>
      </c>
      <c r="D51" t="s">
        <v>581</v>
      </c>
      <c r="E51" t="s">
        <v>74</v>
      </c>
      <c r="F51" t="s">
        <v>1374</v>
      </c>
      <c r="G51" t="s">
        <v>1378</v>
      </c>
      <c r="H51">
        <v>2400</v>
      </c>
      <c r="J51">
        <v>5511</v>
      </c>
      <c r="K51" t="s">
        <v>106</v>
      </c>
      <c r="L51">
        <v>55</v>
      </c>
      <c r="M51" t="s">
        <v>2219</v>
      </c>
      <c r="N51" t="s">
        <v>131</v>
      </c>
      <c r="O51" t="s">
        <v>549</v>
      </c>
      <c r="P51" t="s">
        <v>85</v>
      </c>
    </row>
    <row r="52" spans="1:16" hidden="1" x14ac:dyDescent="0.25">
      <c r="A52" t="s">
        <v>800</v>
      </c>
      <c r="B52" t="s">
        <v>333</v>
      </c>
      <c r="C52" t="s">
        <v>334</v>
      </c>
      <c r="D52" t="s">
        <v>581</v>
      </c>
      <c r="E52" t="s">
        <v>74</v>
      </c>
      <c r="F52" t="s">
        <v>1374</v>
      </c>
      <c r="G52" t="s">
        <v>180</v>
      </c>
      <c r="H52">
        <v>250</v>
      </c>
      <c r="J52">
        <v>5511</v>
      </c>
      <c r="K52" t="s">
        <v>106</v>
      </c>
      <c r="L52">
        <v>55</v>
      </c>
      <c r="M52" t="s">
        <v>2219</v>
      </c>
      <c r="N52" t="s">
        <v>131</v>
      </c>
      <c r="O52" t="s">
        <v>549</v>
      </c>
      <c r="P52" t="s">
        <v>85</v>
      </c>
    </row>
    <row r="53" spans="1:16" hidden="1" x14ac:dyDescent="0.25">
      <c r="A53" t="s">
        <v>800</v>
      </c>
      <c r="B53" t="s">
        <v>333</v>
      </c>
      <c r="C53" t="s">
        <v>334</v>
      </c>
      <c r="D53" t="s">
        <v>581</v>
      </c>
      <c r="E53" t="s">
        <v>74</v>
      </c>
      <c r="F53" t="s">
        <v>1374</v>
      </c>
      <c r="G53" t="s">
        <v>1377</v>
      </c>
      <c r="H53">
        <v>1000</v>
      </c>
      <c r="J53">
        <v>5511</v>
      </c>
      <c r="K53" t="s">
        <v>106</v>
      </c>
      <c r="L53">
        <v>55</v>
      </c>
      <c r="M53" t="s">
        <v>2219</v>
      </c>
      <c r="N53" t="s">
        <v>131</v>
      </c>
      <c r="O53" t="s">
        <v>549</v>
      </c>
      <c r="P53" t="s">
        <v>85</v>
      </c>
    </row>
    <row r="54" spans="1:16" hidden="1" x14ac:dyDescent="0.25">
      <c r="A54" t="s">
        <v>800</v>
      </c>
      <c r="B54" t="s">
        <v>333</v>
      </c>
      <c r="C54" t="s">
        <v>334</v>
      </c>
      <c r="D54" t="s">
        <v>581</v>
      </c>
      <c r="E54" t="s">
        <v>74</v>
      </c>
      <c r="F54" t="s">
        <v>1374</v>
      </c>
      <c r="G54" t="s">
        <v>178</v>
      </c>
      <c r="H54">
        <v>3500</v>
      </c>
      <c r="J54">
        <v>5511</v>
      </c>
      <c r="K54" t="s">
        <v>106</v>
      </c>
      <c r="L54">
        <v>55</v>
      </c>
      <c r="M54" t="s">
        <v>2219</v>
      </c>
      <c r="N54" t="s">
        <v>131</v>
      </c>
      <c r="O54" t="s">
        <v>549</v>
      </c>
      <c r="P54" t="s">
        <v>85</v>
      </c>
    </row>
    <row r="55" spans="1:16" hidden="1" x14ac:dyDescent="0.25">
      <c r="A55" t="s">
        <v>800</v>
      </c>
      <c r="B55" t="s">
        <v>333</v>
      </c>
      <c r="C55" t="s">
        <v>334</v>
      </c>
      <c r="D55" t="s">
        <v>581</v>
      </c>
      <c r="E55" t="s">
        <v>74</v>
      </c>
      <c r="F55" t="s">
        <v>1374</v>
      </c>
      <c r="G55" t="s">
        <v>1376</v>
      </c>
      <c r="H55">
        <v>200</v>
      </c>
      <c r="J55">
        <v>5511</v>
      </c>
      <c r="K55" t="s">
        <v>106</v>
      </c>
      <c r="L55">
        <v>55</v>
      </c>
      <c r="M55" t="s">
        <v>2219</v>
      </c>
      <c r="N55" t="s">
        <v>131</v>
      </c>
      <c r="O55" t="s">
        <v>549</v>
      </c>
      <c r="P55" t="s">
        <v>85</v>
      </c>
    </row>
    <row r="56" spans="1:16" hidden="1" x14ac:dyDescent="0.25">
      <c r="A56" t="s">
        <v>800</v>
      </c>
      <c r="B56" t="s">
        <v>333</v>
      </c>
      <c r="C56" t="s">
        <v>334</v>
      </c>
      <c r="D56" t="s">
        <v>581</v>
      </c>
      <c r="E56" t="s">
        <v>74</v>
      </c>
      <c r="F56" t="s">
        <v>1374</v>
      </c>
      <c r="G56" t="s">
        <v>1375</v>
      </c>
      <c r="H56">
        <v>4500</v>
      </c>
      <c r="J56">
        <v>5511</v>
      </c>
      <c r="K56" t="s">
        <v>106</v>
      </c>
      <c r="L56">
        <v>55</v>
      </c>
      <c r="M56" t="s">
        <v>2219</v>
      </c>
      <c r="N56" t="s">
        <v>131</v>
      </c>
      <c r="O56" t="s">
        <v>549</v>
      </c>
      <c r="P56" t="s">
        <v>85</v>
      </c>
    </row>
    <row r="57" spans="1:16" hidden="1" x14ac:dyDescent="0.25">
      <c r="A57" t="s">
        <v>800</v>
      </c>
      <c r="B57" t="s">
        <v>333</v>
      </c>
      <c r="C57" t="s">
        <v>334</v>
      </c>
      <c r="D57" t="s">
        <v>581</v>
      </c>
      <c r="E57" t="s">
        <v>74</v>
      </c>
      <c r="F57" t="s">
        <v>1374</v>
      </c>
      <c r="G57" t="s">
        <v>1394</v>
      </c>
      <c r="H57">
        <v>250</v>
      </c>
      <c r="J57">
        <v>5525</v>
      </c>
      <c r="K57" t="s">
        <v>118</v>
      </c>
      <c r="L57">
        <v>55</v>
      </c>
      <c r="M57" t="s">
        <v>2219</v>
      </c>
      <c r="N57" t="s">
        <v>131</v>
      </c>
      <c r="O57" t="s">
        <v>549</v>
      </c>
      <c r="P57" t="s">
        <v>85</v>
      </c>
    </row>
    <row r="58" spans="1:16" hidden="1" x14ac:dyDescent="0.25">
      <c r="A58" t="s">
        <v>800</v>
      </c>
      <c r="B58" t="s">
        <v>333</v>
      </c>
      <c r="C58" t="s">
        <v>334</v>
      </c>
      <c r="D58" t="s">
        <v>581</v>
      </c>
      <c r="E58" t="s">
        <v>74</v>
      </c>
      <c r="F58" t="s">
        <v>1374</v>
      </c>
      <c r="G58" t="s">
        <v>1393</v>
      </c>
      <c r="H58">
        <v>250</v>
      </c>
      <c r="J58">
        <v>5525</v>
      </c>
      <c r="K58" t="s">
        <v>118</v>
      </c>
      <c r="L58">
        <v>55</v>
      </c>
      <c r="M58" t="s">
        <v>2219</v>
      </c>
      <c r="N58" t="s">
        <v>131</v>
      </c>
      <c r="O58" t="s">
        <v>549</v>
      </c>
      <c r="P58" t="s">
        <v>85</v>
      </c>
    </row>
    <row r="59" spans="1:16" hidden="1" x14ac:dyDescent="0.25">
      <c r="A59" t="s">
        <v>800</v>
      </c>
      <c r="B59" t="s">
        <v>333</v>
      </c>
      <c r="C59" t="s">
        <v>334</v>
      </c>
      <c r="D59" t="s">
        <v>581</v>
      </c>
      <c r="E59" t="s">
        <v>74</v>
      </c>
      <c r="F59" t="s">
        <v>1374</v>
      </c>
      <c r="G59" t="s">
        <v>430</v>
      </c>
      <c r="H59">
        <v>2000</v>
      </c>
      <c r="J59">
        <v>5524</v>
      </c>
      <c r="K59" t="s">
        <v>117</v>
      </c>
      <c r="L59">
        <v>55</v>
      </c>
      <c r="M59" t="s">
        <v>2219</v>
      </c>
      <c r="N59" t="s">
        <v>131</v>
      </c>
      <c r="O59" t="s">
        <v>549</v>
      </c>
      <c r="P59" t="s">
        <v>85</v>
      </c>
    </row>
    <row r="60" spans="1:16" hidden="1" x14ac:dyDescent="0.25">
      <c r="A60" t="s">
        <v>800</v>
      </c>
      <c r="B60" t="s">
        <v>333</v>
      </c>
      <c r="C60" t="s">
        <v>334</v>
      </c>
      <c r="D60" t="s">
        <v>581</v>
      </c>
      <c r="E60" t="s">
        <v>74</v>
      </c>
      <c r="F60" t="s">
        <v>1374</v>
      </c>
      <c r="G60" t="s">
        <v>117</v>
      </c>
      <c r="H60">
        <v>1000</v>
      </c>
      <c r="J60">
        <v>5524</v>
      </c>
      <c r="K60" t="s">
        <v>117</v>
      </c>
      <c r="L60">
        <v>55</v>
      </c>
      <c r="M60" t="s">
        <v>2219</v>
      </c>
      <c r="N60" t="s">
        <v>131</v>
      </c>
      <c r="O60" t="s">
        <v>549</v>
      </c>
      <c r="P60" t="s">
        <v>85</v>
      </c>
    </row>
    <row r="61" spans="1:16" hidden="1" x14ac:dyDescent="0.25">
      <c r="A61" t="s">
        <v>800</v>
      </c>
      <c r="B61" t="s">
        <v>333</v>
      </c>
      <c r="C61" t="s">
        <v>334</v>
      </c>
      <c r="D61" t="s">
        <v>581</v>
      </c>
      <c r="E61" t="s">
        <v>74</v>
      </c>
      <c r="F61" t="s">
        <v>1374</v>
      </c>
      <c r="G61" t="s">
        <v>1368</v>
      </c>
      <c r="H61">
        <v>1000</v>
      </c>
      <c r="J61">
        <v>5524</v>
      </c>
      <c r="K61" t="s">
        <v>117</v>
      </c>
      <c r="L61">
        <v>55</v>
      </c>
      <c r="M61" t="s">
        <v>2219</v>
      </c>
      <c r="N61" t="s">
        <v>131</v>
      </c>
      <c r="O61" t="s">
        <v>549</v>
      </c>
      <c r="P61" t="s">
        <v>85</v>
      </c>
    </row>
    <row r="62" spans="1:16" hidden="1" x14ac:dyDescent="0.25">
      <c r="A62" t="s">
        <v>800</v>
      </c>
      <c r="B62" t="s">
        <v>333</v>
      </c>
      <c r="C62" t="s">
        <v>334</v>
      </c>
      <c r="D62" t="s">
        <v>581</v>
      </c>
      <c r="E62" t="s">
        <v>74</v>
      </c>
      <c r="F62" t="s">
        <v>1374</v>
      </c>
      <c r="G62" t="s">
        <v>1392</v>
      </c>
      <c r="H62">
        <v>100</v>
      </c>
      <c r="J62">
        <v>5522</v>
      </c>
      <c r="K62" t="s">
        <v>115</v>
      </c>
      <c r="L62">
        <v>55</v>
      </c>
      <c r="M62" t="s">
        <v>2219</v>
      </c>
      <c r="N62" t="s">
        <v>131</v>
      </c>
      <c r="O62" t="s">
        <v>549</v>
      </c>
      <c r="P62" t="s">
        <v>85</v>
      </c>
    </row>
    <row r="63" spans="1:16" hidden="1" x14ac:dyDescent="0.25">
      <c r="A63" t="s">
        <v>800</v>
      </c>
      <c r="B63" t="s">
        <v>333</v>
      </c>
      <c r="C63" t="s">
        <v>334</v>
      </c>
      <c r="D63" t="s">
        <v>581</v>
      </c>
      <c r="E63" t="s">
        <v>74</v>
      </c>
      <c r="F63" t="s">
        <v>1374</v>
      </c>
      <c r="G63" t="s">
        <v>1391</v>
      </c>
      <c r="H63">
        <v>7000</v>
      </c>
      <c r="J63">
        <v>5521</v>
      </c>
      <c r="K63" t="s">
        <v>114</v>
      </c>
      <c r="L63">
        <v>55</v>
      </c>
      <c r="M63" t="s">
        <v>2219</v>
      </c>
      <c r="N63" t="s">
        <v>131</v>
      </c>
      <c r="O63" t="s">
        <v>549</v>
      </c>
      <c r="P63" t="s">
        <v>85</v>
      </c>
    </row>
    <row r="64" spans="1:16" hidden="1" x14ac:dyDescent="0.25">
      <c r="A64" t="s">
        <v>800</v>
      </c>
      <c r="B64" t="s">
        <v>333</v>
      </c>
      <c r="C64" t="s">
        <v>334</v>
      </c>
      <c r="D64" t="s">
        <v>581</v>
      </c>
      <c r="E64" t="s">
        <v>74</v>
      </c>
      <c r="F64" t="s">
        <v>1374</v>
      </c>
      <c r="G64" t="s">
        <v>1389</v>
      </c>
      <c r="H64">
        <v>500</v>
      </c>
      <c r="I64" t="s">
        <v>1390</v>
      </c>
      <c r="J64">
        <v>5515</v>
      </c>
      <c r="K64" t="s">
        <v>112</v>
      </c>
      <c r="L64">
        <v>55</v>
      </c>
      <c r="M64" t="s">
        <v>2219</v>
      </c>
      <c r="N64" t="s">
        <v>131</v>
      </c>
      <c r="O64" t="s">
        <v>549</v>
      </c>
      <c r="P64" t="s">
        <v>85</v>
      </c>
    </row>
    <row r="65" spans="1:16" hidden="1" x14ac:dyDescent="0.25">
      <c r="A65" t="s">
        <v>800</v>
      </c>
      <c r="B65" t="s">
        <v>333</v>
      </c>
      <c r="C65" t="s">
        <v>334</v>
      </c>
      <c r="D65" t="s">
        <v>581</v>
      </c>
      <c r="E65" t="s">
        <v>74</v>
      </c>
      <c r="F65" t="s">
        <v>1374</v>
      </c>
      <c r="G65" t="s">
        <v>1388</v>
      </c>
      <c r="H65">
        <v>500</v>
      </c>
      <c r="I65" t="s">
        <v>1387</v>
      </c>
      <c r="J65">
        <v>5515</v>
      </c>
      <c r="K65" t="s">
        <v>112</v>
      </c>
      <c r="L65">
        <v>55</v>
      </c>
      <c r="M65" t="s">
        <v>2219</v>
      </c>
      <c r="N65" t="s">
        <v>131</v>
      </c>
      <c r="O65" t="s">
        <v>549</v>
      </c>
      <c r="P65" t="s">
        <v>85</v>
      </c>
    </row>
    <row r="66" spans="1:16" hidden="1" x14ac:dyDescent="0.25">
      <c r="A66" t="s">
        <v>800</v>
      </c>
      <c r="B66" t="s">
        <v>333</v>
      </c>
      <c r="C66" t="s">
        <v>334</v>
      </c>
      <c r="D66" t="s">
        <v>581</v>
      </c>
      <c r="E66" t="s">
        <v>74</v>
      </c>
      <c r="F66" t="s">
        <v>1374</v>
      </c>
      <c r="G66" t="s">
        <v>1386</v>
      </c>
      <c r="H66">
        <v>600</v>
      </c>
      <c r="I66" t="s">
        <v>1387</v>
      </c>
      <c r="J66">
        <v>5515</v>
      </c>
      <c r="K66" t="s">
        <v>112</v>
      </c>
      <c r="L66">
        <v>55</v>
      </c>
      <c r="M66" t="s">
        <v>2219</v>
      </c>
      <c r="N66" t="s">
        <v>131</v>
      </c>
      <c r="O66" t="s">
        <v>549</v>
      </c>
      <c r="P66" t="s">
        <v>85</v>
      </c>
    </row>
    <row r="67" spans="1:16" hidden="1" x14ac:dyDescent="0.25">
      <c r="A67" t="s">
        <v>800</v>
      </c>
      <c r="B67" t="s">
        <v>333</v>
      </c>
      <c r="C67" t="s">
        <v>334</v>
      </c>
      <c r="D67" t="s">
        <v>581</v>
      </c>
      <c r="E67" t="s">
        <v>74</v>
      </c>
      <c r="F67" t="s">
        <v>1374</v>
      </c>
      <c r="G67" t="s">
        <v>1385</v>
      </c>
      <c r="H67">
        <v>100</v>
      </c>
      <c r="J67">
        <v>5515</v>
      </c>
      <c r="K67" t="s">
        <v>112</v>
      </c>
      <c r="L67">
        <v>55</v>
      </c>
      <c r="M67" t="s">
        <v>2219</v>
      </c>
      <c r="N67" t="s">
        <v>131</v>
      </c>
      <c r="O67" t="s">
        <v>549</v>
      </c>
      <c r="P67" t="s">
        <v>85</v>
      </c>
    </row>
    <row r="68" spans="1:16" hidden="1" x14ac:dyDescent="0.25">
      <c r="A68" t="s">
        <v>800</v>
      </c>
      <c r="B68" t="s">
        <v>333</v>
      </c>
      <c r="C68" t="s">
        <v>334</v>
      </c>
      <c r="D68" t="s">
        <v>581</v>
      </c>
      <c r="E68" t="s">
        <v>74</v>
      </c>
      <c r="F68" t="s">
        <v>1374</v>
      </c>
      <c r="G68" t="s">
        <v>1383</v>
      </c>
      <c r="H68">
        <v>200</v>
      </c>
      <c r="I68" t="s">
        <v>1384</v>
      </c>
      <c r="J68">
        <v>5515</v>
      </c>
      <c r="K68" t="s">
        <v>112</v>
      </c>
      <c r="L68">
        <v>55</v>
      </c>
      <c r="M68" t="s">
        <v>2219</v>
      </c>
      <c r="N68" t="s">
        <v>131</v>
      </c>
      <c r="O68" t="s">
        <v>549</v>
      </c>
      <c r="P68" t="s">
        <v>85</v>
      </c>
    </row>
    <row r="69" spans="1:16" hidden="1" x14ac:dyDescent="0.25">
      <c r="A69" t="s">
        <v>800</v>
      </c>
      <c r="B69" t="s">
        <v>333</v>
      </c>
      <c r="C69" t="s">
        <v>334</v>
      </c>
      <c r="D69" t="s">
        <v>581</v>
      </c>
      <c r="E69" t="s">
        <v>74</v>
      </c>
      <c r="F69" t="s">
        <v>1374</v>
      </c>
      <c r="G69" t="s">
        <v>1382</v>
      </c>
      <c r="H69">
        <v>150</v>
      </c>
      <c r="J69">
        <v>5515</v>
      </c>
      <c r="K69" t="s">
        <v>112</v>
      </c>
      <c r="L69">
        <v>55</v>
      </c>
      <c r="M69" t="s">
        <v>2219</v>
      </c>
      <c r="N69" t="s">
        <v>131</v>
      </c>
      <c r="O69" t="s">
        <v>549</v>
      </c>
      <c r="P69" t="s">
        <v>85</v>
      </c>
    </row>
    <row r="70" spans="1:16" hidden="1" x14ac:dyDescent="0.25">
      <c r="A70" t="s">
        <v>800</v>
      </c>
      <c r="B70" t="s">
        <v>333</v>
      </c>
      <c r="C70" t="s">
        <v>334</v>
      </c>
      <c r="D70" t="s">
        <v>581</v>
      </c>
      <c r="E70" t="s">
        <v>74</v>
      </c>
      <c r="F70" t="s">
        <v>1374</v>
      </c>
      <c r="G70" t="s">
        <v>409</v>
      </c>
      <c r="H70">
        <v>600</v>
      </c>
      <c r="J70">
        <v>5504</v>
      </c>
      <c r="K70" t="s">
        <v>102</v>
      </c>
      <c r="L70">
        <v>55</v>
      </c>
      <c r="M70" t="s">
        <v>2219</v>
      </c>
      <c r="N70" t="s">
        <v>131</v>
      </c>
      <c r="O70" t="s">
        <v>549</v>
      </c>
      <c r="P70" t="s">
        <v>85</v>
      </c>
    </row>
    <row r="71" spans="1:16" hidden="1" x14ac:dyDescent="0.25">
      <c r="A71" t="s">
        <v>800</v>
      </c>
      <c r="B71" t="s">
        <v>331</v>
      </c>
      <c r="C71" t="s">
        <v>332</v>
      </c>
      <c r="D71" t="s">
        <v>581</v>
      </c>
      <c r="E71" t="s">
        <v>74</v>
      </c>
      <c r="F71" t="s">
        <v>1741</v>
      </c>
      <c r="G71" t="s">
        <v>1764</v>
      </c>
      <c r="H71">
        <v>900</v>
      </c>
      <c r="J71">
        <v>5524</v>
      </c>
      <c r="K71" t="s">
        <v>117</v>
      </c>
      <c r="L71">
        <v>55</v>
      </c>
      <c r="M71" t="s">
        <v>2219</v>
      </c>
      <c r="N71" t="s">
        <v>131</v>
      </c>
      <c r="O71" t="s">
        <v>549</v>
      </c>
      <c r="P71" t="s">
        <v>85</v>
      </c>
    </row>
    <row r="72" spans="1:16" hidden="1" x14ac:dyDescent="0.25">
      <c r="A72" t="s">
        <v>800</v>
      </c>
      <c r="B72" t="s">
        <v>331</v>
      </c>
      <c r="C72" t="s">
        <v>332</v>
      </c>
      <c r="D72" t="s">
        <v>581</v>
      </c>
      <c r="E72" t="s">
        <v>74</v>
      </c>
      <c r="F72" t="s">
        <v>1741</v>
      </c>
      <c r="G72" t="s">
        <v>1763</v>
      </c>
      <c r="H72">
        <v>150</v>
      </c>
      <c r="J72">
        <v>5524</v>
      </c>
      <c r="K72" t="s">
        <v>117</v>
      </c>
      <c r="L72">
        <v>55</v>
      </c>
      <c r="M72" t="s">
        <v>2219</v>
      </c>
      <c r="N72" t="s">
        <v>131</v>
      </c>
      <c r="O72" t="s">
        <v>549</v>
      </c>
      <c r="P72" t="s">
        <v>85</v>
      </c>
    </row>
    <row r="73" spans="1:16" hidden="1" x14ac:dyDescent="0.25">
      <c r="A73" t="s">
        <v>800</v>
      </c>
      <c r="B73" t="s">
        <v>331</v>
      </c>
      <c r="C73" t="s">
        <v>332</v>
      </c>
      <c r="D73" t="s">
        <v>581</v>
      </c>
      <c r="E73" t="s">
        <v>74</v>
      </c>
      <c r="F73" t="s">
        <v>1741</v>
      </c>
      <c r="G73" t="s">
        <v>218</v>
      </c>
      <c r="H73">
        <v>50</v>
      </c>
      <c r="J73">
        <v>5524</v>
      </c>
      <c r="K73" t="s">
        <v>117</v>
      </c>
      <c r="L73">
        <v>55</v>
      </c>
      <c r="M73" t="s">
        <v>2219</v>
      </c>
      <c r="N73" t="s">
        <v>131</v>
      </c>
      <c r="O73" t="s">
        <v>549</v>
      </c>
      <c r="P73" t="s">
        <v>85</v>
      </c>
    </row>
    <row r="74" spans="1:16" hidden="1" x14ac:dyDescent="0.25">
      <c r="A74" t="s">
        <v>800</v>
      </c>
      <c r="B74" t="s">
        <v>331</v>
      </c>
      <c r="C74" t="s">
        <v>332</v>
      </c>
      <c r="D74" t="s">
        <v>581</v>
      </c>
      <c r="E74" t="s">
        <v>74</v>
      </c>
      <c r="F74" t="s">
        <v>1741</v>
      </c>
      <c r="G74" t="s">
        <v>1762</v>
      </c>
      <c r="H74">
        <v>150</v>
      </c>
      <c r="J74">
        <v>5524</v>
      </c>
      <c r="K74" t="s">
        <v>117</v>
      </c>
      <c r="L74">
        <v>55</v>
      </c>
      <c r="M74" t="s">
        <v>2219</v>
      </c>
      <c r="N74" t="s">
        <v>131</v>
      </c>
      <c r="O74" t="s">
        <v>549</v>
      </c>
      <c r="P74" t="s">
        <v>85</v>
      </c>
    </row>
    <row r="75" spans="1:16" hidden="1" x14ac:dyDescent="0.25">
      <c r="A75" t="s">
        <v>800</v>
      </c>
      <c r="B75" t="s">
        <v>331</v>
      </c>
      <c r="C75" t="s">
        <v>332</v>
      </c>
      <c r="D75" t="s">
        <v>581</v>
      </c>
      <c r="E75" t="s">
        <v>74</v>
      </c>
      <c r="F75" t="s">
        <v>1741</v>
      </c>
      <c r="G75" t="s">
        <v>1759</v>
      </c>
      <c r="H75">
        <v>4073</v>
      </c>
      <c r="J75">
        <v>5521</v>
      </c>
      <c r="K75" t="s">
        <v>114</v>
      </c>
      <c r="L75">
        <v>55</v>
      </c>
      <c r="M75" t="s">
        <v>2219</v>
      </c>
      <c r="N75" t="s">
        <v>131</v>
      </c>
      <c r="O75" t="s">
        <v>549</v>
      </c>
      <c r="P75" t="s">
        <v>85</v>
      </c>
    </row>
    <row r="76" spans="1:16" hidden="1" x14ac:dyDescent="0.25">
      <c r="A76" t="s">
        <v>800</v>
      </c>
      <c r="B76" t="s">
        <v>331</v>
      </c>
      <c r="C76" t="s">
        <v>332</v>
      </c>
      <c r="D76" t="s">
        <v>581</v>
      </c>
      <c r="E76" t="s">
        <v>74</v>
      </c>
      <c r="F76" t="s">
        <v>1741</v>
      </c>
      <c r="G76" t="s">
        <v>1739</v>
      </c>
      <c r="H76">
        <v>100</v>
      </c>
      <c r="J76">
        <v>5504</v>
      </c>
      <c r="K76" t="s">
        <v>102</v>
      </c>
      <c r="L76">
        <v>55</v>
      </c>
      <c r="M76" t="s">
        <v>2219</v>
      </c>
      <c r="N76" t="s">
        <v>131</v>
      </c>
      <c r="O76" t="s">
        <v>549</v>
      </c>
      <c r="P76" t="s">
        <v>85</v>
      </c>
    </row>
    <row r="77" spans="1:16" hidden="1" x14ac:dyDescent="0.25">
      <c r="A77" t="s">
        <v>800</v>
      </c>
      <c r="B77" t="s">
        <v>329</v>
      </c>
      <c r="C77" t="s">
        <v>330</v>
      </c>
      <c r="D77" t="s">
        <v>581</v>
      </c>
      <c r="E77" t="s">
        <v>74</v>
      </c>
      <c r="F77" t="s">
        <v>1314</v>
      </c>
      <c r="G77" t="s">
        <v>1345</v>
      </c>
      <c r="H77">
        <v>50</v>
      </c>
      <c r="I77" t="s">
        <v>1347</v>
      </c>
      <c r="J77">
        <v>5514</v>
      </c>
      <c r="K77" t="s">
        <v>110</v>
      </c>
      <c r="L77">
        <v>55</v>
      </c>
      <c r="M77" t="s">
        <v>2219</v>
      </c>
      <c r="N77" t="s">
        <v>131</v>
      </c>
      <c r="O77" t="s">
        <v>549</v>
      </c>
      <c r="P77" t="s">
        <v>85</v>
      </c>
    </row>
    <row r="78" spans="1:16" hidden="1" x14ac:dyDescent="0.25">
      <c r="A78" t="s">
        <v>800</v>
      </c>
      <c r="B78" t="s">
        <v>329</v>
      </c>
      <c r="C78" t="s">
        <v>330</v>
      </c>
      <c r="D78" t="s">
        <v>581</v>
      </c>
      <c r="E78" t="s">
        <v>74</v>
      </c>
      <c r="F78" t="s">
        <v>1314</v>
      </c>
      <c r="G78" t="s">
        <v>1354</v>
      </c>
      <c r="H78">
        <v>975</v>
      </c>
      <c r="I78" t="s">
        <v>1360</v>
      </c>
      <c r="J78">
        <v>5511</v>
      </c>
      <c r="K78" t="s">
        <v>106</v>
      </c>
      <c r="L78">
        <v>55</v>
      </c>
      <c r="M78" t="s">
        <v>2219</v>
      </c>
      <c r="N78" t="s">
        <v>131</v>
      </c>
      <c r="O78" t="s">
        <v>549</v>
      </c>
      <c r="P78" t="s">
        <v>85</v>
      </c>
    </row>
    <row r="79" spans="1:16" hidden="1" x14ac:dyDescent="0.25">
      <c r="A79" t="s">
        <v>800</v>
      </c>
      <c r="B79" t="s">
        <v>329</v>
      </c>
      <c r="C79" t="s">
        <v>330</v>
      </c>
      <c r="D79" t="s">
        <v>581</v>
      </c>
      <c r="E79" t="s">
        <v>74</v>
      </c>
      <c r="F79" t="s">
        <v>1314</v>
      </c>
      <c r="G79" t="s">
        <v>1333</v>
      </c>
      <c r="H79">
        <v>200</v>
      </c>
      <c r="I79" t="s">
        <v>1343</v>
      </c>
      <c r="J79">
        <v>5511</v>
      </c>
      <c r="K79" t="s">
        <v>106</v>
      </c>
      <c r="L79">
        <v>55</v>
      </c>
      <c r="M79" t="s">
        <v>2219</v>
      </c>
      <c r="N79" t="s">
        <v>131</v>
      </c>
      <c r="O79" t="s">
        <v>549</v>
      </c>
      <c r="P79" t="s">
        <v>85</v>
      </c>
    </row>
    <row r="80" spans="1:16" hidden="1" x14ac:dyDescent="0.25">
      <c r="A80" t="s">
        <v>800</v>
      </c>
      <c r="B80" t="s">
        <v>329</v>
      </c>
      <c r="C80" t="s">
        <v>330</v>
      </c>
      <c r="D80" t="s">
        <v>581</v>
      </c>
      <c r="E80" t="s">
        <v>74</v>
      </c>
      <c r="F80" t="s">
        <v>1314</v>
      </c>
      <c r="G80" t="s">
        <v>1332</v>
      </c>
      <c r="H80">
        <v>120</v>
      </c>
      <c r="I80" t="s">
        <v>1342</v>
      </c>
      <c r="J80">
        <v>5511</v>
      </c>
      <c r="K80" t="s">
        <v>106</v>
      </c>
      <c r="L80">
        <v>55</v>
      </c>
      <c r="M80" t="s">
        <v>2219</v>
      </c>
      <c r="N80" t="s">
        <v>131</v>
      </c>
      <c r="O80" t="s">
        <v>549</v>
      </c>
      <c r="P80" t="s">
        <v>85</v>
      </c>
    </row>
    <row r="81" spans="1:16" hidden="1" x14ac:dyDescent="0.25">
      <c r="A81" t="s">
        <v>800</v>
      </c>
      <c r="B81" t="s">
        <v>329</v>
      </c>
      <c r="C81" t="s">
        <v>330</v>
      </c>
      <c r="D81" t="s">
        <v>581</v>
      </c>
      <c r="E81" t="s">
        <v>74</v>
      </c>
      <c r="F81" t="s">
        <v>1314</v>
      </c>
      <c r="G81" t="s">
        <v>1331</v>
      </c>
      <c r="H81">
        <v>690</v>
      </c>
      <c r="I81" t="s">
        <v>1341</v>
      </c>
      <c r="J81">
        <v>5511</v>
      </c>
      <c r="K81" t="s">
        <v>106</v>
      </c>
      <c r="L81">
        <v>55</v>
      </c>
      <c r="M81" t="s">
        <v>2219</v>
      </c>
      <c r="N81" t="s">
        <v>131</v>
      </c>
      <c r="O81" t="s">
        <v>549</v>
      </c>
      <c r="P81" t="s">
        <v>85</v>
      </c>
    </row>
    <row r="82" spans="1:16" hidden="1" x14ac:dyDescent="0.25">
      <c r="A82" t="s">
        <v>800</v>
      </c>
      <c r="B82" t="s">
        <v>329</v>
      </c>
      <c r="C82" t="s">
        <v>330</v>
      </c>
      <c r="D82" t="s">
        <v>581</v>
      </c>
      <c r="E82" t="s">
        <v>74</v>
      </c>
      <c r="F82" t="s">
        <v>1314</v>
      </c>
      <c r="G82" t="s">
        <v>1330</v>
      </c>
      <c r="H82">
        <v>110</v>
      </c>
      <c r="I82" t="s">
        <v>1340</v>
      </c>
      <c r="J82">
        <v>5511</v>
      </c>
      <c r="K82" t="s">
        <v>106</v>
      </c>
      <c r="L82">
        <v>55</v>
      </c>
      <c r="M82" t="s">
        <v>2219</v>
      </c>
      <c r="N82" t="s">
        <v>131</v>
      </c>
      <c r="O82" t="s">
        <v>549</v>
      </c>
      <c r="P82" t="s">
        <v>85</v>
      </c>
    </row>
    <row r="83" spans="1:16" hidden="1" x14ac:dyDescent="0.25">
      <c r="A83" t="s">
        <v>800</v>
      </c>
      <c r="B83" t="s">
        <v>329</v>
      </c>
      <c r="C83" t="s">
        <v>330</v>
      </c>
      <c r="D83" t="s">
        <v>581</v>
      </c>
      <c r="E83" t="s">
        <v>74</v>
      </c>
      <c r="F83" t="s">
        <v>1314</v>
      </c>
      <c r="G83" t="s">
        <v>1329</v>
      </c>
      <c r="H83">
        <v>145</v>
      </c>
      <c r="I83" t="s">
        <v>1339</v>
      </c>
      <c r="J83">
        <v>5511</v>
      </c>
      <c r="K83" t="s">
        <v>106</v>
      </c>
      <c r="L83">
        <v>55</v>
      </c>
      <c r="M83" t="s">
        <v>2219</v>
      </c>
      <c r="N83" t="s">
        <v>131</v>
      </c>
      <c r="O83" t="s">
        <v>549</v>
      </c>
      <c r="P83" t="s">
        <v>85</v>
      </c>
    </row>
    <row r="84" spans="1:16" hidden="1" x14ac:dyDescent="0.25">
      <c r="A84" t="s">
        <v>800</v>
      </c>
      <c r="B84" t="s">
        <v>329</v>
      </c>
      <c r="C84" t="s">
        <v>330</v>
      </c>
      <c r="D84" t="s">
        <v>581</v>
      </c>
      <c r="E84" t="s">
        <v>74</v>
      </c>
      <c r="F84" t="s">
        <v>1314</v>
      </c>
      <c r="G84" t="s">
        <v>1289</v>
      </c>
      <c r="H84">
        <v>276</v>
      </c>
      <c r="I84" t="s">
        <v>1338</v>
      </c>
      <c r="J84">
        <v>5511</v>
      </c>
      <c r="K84" t="s">
        <v>106</v>
      </c>
      <c r="L84">
        <v>55</v>
      </c>
      <c r="M84" t="s">
        <v>2219</v>
      </c>
      <c r="N84" t="s">
        <v>131</v>
      </c>
      <c r="O84" t="s">
        <v>549</v>
      </c>
      <c r="P84" t="s">
        <v>85</v>
      </c>
    </row>
    <row r="85" spans="1:16" hidden="1" x14ac:dyDescent="0.25">
      <c r="A85" t="s">
        <v>800</v>
      </c>
      <c r="B85" t="s">
        <v>329</v>
      </c>
      <c r="C85" t="s">
        <v>330</v>
      </c>
      <c r="D85" t="s">
        <v>581</v>
      </c>
      <c r="E85" t="s">
        <v>74</v>
      </c>
      <c r="F85" t="s">
        <v>1314</v>
      </c>
      <c r="G85" t="s">
        <v>180</v>
      </c>
      <c r="H85">
        <v>160</v>
      </c>
      <c r="I85" t="s">
        <v>1337</v>
      </c>
      <c r="J85">
        <v>5511</v>
      </c>
      <c r="K85" t="s">
        <v>106</v>
      </c>
      <c r="L85">
        <v>55</v>
      </c>
      <c r="M85" t="s">
        <v>2219</v>
      </c>
      <c r="N85" t="s">
        <v>131</v>
      </c>
      <c r="O85" t="s">
        <v>549</v>
      </c>
      <c r="P85" t="s">
        <v>85</v>
      </c>
    </row>
    <row r="86" spans="1:16" hidden="1" x14ac:dyDescent="0.25">
      <c r="A86" t="s">
        <v>800</v>
      </c>
      <c r="B86" t="s">
        <v>329</v>
      </c>
      <c r="C86" t="s">
        <v>330</v>
      </c>
      <c r="D86" t="s">
        <v>581</v>
      </c>
      <c r="E86" t="s">
        <v>74</v>
      </c>
      <c r="F86" t="s">
        <v>1314</v>
      </c>
      <c r="G86" t="s">
        <v>1000</v>
      </c>
      <c r="H86">
        <v>600</v>
      </c>
      <c r="I86" t="s">
        <v>1336</v>
      </c>
      <c r="J86">
        <v>5511</v>
      </c>
      <c r="K86" t="s">
        <v>106</v>
      </c>
      <c r="L86">
        <v>55</v>
      </c>
      <c r="M86" t="s">
        <v>2219</v>
      </c>
      <c r="N86" t="s">
        <v>131</v>
      </c>
      <c r="O86" t="s">
        <v>549</v>
      </c>
      <c r="P86" t="s">
        <v>85</v>
      </c>
    </row>
    <row r="87" spans="1:16" hidden="1" x14ac:dyDescent="0.25">
      <c r="A87" t="s">
        <v>800</v>
      </c>
      <c r="B87" t="s">
        <v>329</v>
      </c>
      <c r="C87" t="s">
        <v>330</v>
      </c>
      <c r="D87" t="s">
        <v>581</v>
      </c>
      <c r="E87" t="s">
        <v>74</v>
      </c>
      <c r="F87" t="s">
        <v>1314</v>
      </c>
      <c r="G87" t="s">
        <v>1328</v>
      </c>
      <c r="H87">
        <v>360</v>
      </c>
      <c r="I87" t="s">
        <v>1335</v>
      </c>
      <c r="J87">
        <v>5511</v>
      </c>
      <c r="K87" t="s">
        <v>106</v>
      </c>
      <c r="L87">
        <v>55</v>
      </c>
      <c r="M87" t="s">
        <v>2219</v>
      </c>
      <c r="N87" t="s">
        <v>131</v>
      </c>
      <c r="O87" t="s">
        <v>549</v>
      </c>
      <c r="P87" t="s">
        <v>85</v>
      </c>
    </row>
    <row r="88" spans="1:16" hidden="1" x14ac:dyDescent="0.25">
      <c r="A88" t="s">
        <v>800</v>
      </c>
      <c r="B88" t="s">
        <v>329</v>
      </c>
      <c r="C88" t="s">
        <v>330</v>
      </c>
      <c r="D88" t="s">
        <v>581</v>
      </c>
      <c r="E88" t="s">
        <v>74</v>
      </c>
      <c r="F88" t="s">
        <v>1314</v>
      </c>
      <c r="G88" t="s">
        <v>178</v>
      </c>
      <c r="H88">
        <v>6000</v>
      </c>
      <c r="I88" t="s">
        <v>1334</v>
      </c>
      <c r="J88">
        <v>5511</v>
      </c>
      <c r="K88" t="s">
        <v>106</v>
      </c>
      <c r="L88">
        <v>55</v>
      </c>
      <c r="M88" t="s">
        <v>2219</v>
      </c>
      <c r="N88" t="s">
        <v>131</v>
      </c>
      <c r="O88" t="s">
        <v>549</v>
      </c>
      <c r="P88" t="s">
        <v>85</v>
      </c>
    </row>
    <row r="89" spans="1:16" hidden="1" x14ac:dyDescent="0.25">
      <c r="A89" t="s">
        <v>800</v>
      </c>
      <c r="B89" t="s">
        <v>329</v>
      </c>
      <c r="C89" t="s">
        <v>330</v>
      </c>
      <c r="D89" t="s">
        <v>581</v>
      </c>
      <c r="E89" t="s">
        <v>74</v>
      </c>
      <c r="F89" t="s">
        <v>1314</v>
      </c>
      <c r="G89" t="s">
        <v>1368</v>
      </c>
      <c r="H89">
        <v>500</v>
      </c>
      <c r="I89" t="s">
        <v>1369</v>
      </c>
      <c r="J89">
        <v>5525</v>
      </c>
      <c r="K89" t="s">
        <v>118</v>
      </c>
      <c r="L89">
        <v>55</v>
      </c>
      <c r="M89" t="s">
        <v>2219</v>
      </c>
      <c r="N89" t="s">
        <v>131</v>
      </c>
      <c r="O89" t="s">
        <v>549</v>
      </c>
      <c r="P89" t="s">
        <v>85</v>
      </c>
    </row>
    <row r="90" spans="1:16" hidden="1" x14ac:dyDescent="0.25">
      <c r="A90" t="s">
        <v>800</v>
      </c>
      <c r="B90" t="s">
        <v>329</v>
      </c>
      <c r="C90" t="s">
        <v>330</v>
      </c>
      <c r="D90" t="s">
        <v>581</v>
      </c>
      <c r="E90" t="s">
        <v>74</v>
      </c>
      <c r="F90" t="s">
        <v>1314</v>
      </c>
      <c r="G90" t="s">
        <v>1365</v>
      </c>
      <c r="H90">
        <v>740</v>
      </c>
      <c r="I90" t="s">
        <v>1367</v>
      </c>
      <c r="J90">
        <v>5524</v>
      </c>
      <c r="K90" t="s">
        <v>117</v>
      </c>
      <c r="L90">
        <v>55</v>
      </c>
      <c r="M90" t="s">
        <v>2219</v>
      </c>
      <c r="N90" t="s">
        <v>131</v>
      </c>
      <c r="O90" t="s">
        <v>549</v>
      </c>
      <c r="P90" t="s">
        <v>85</v>
      </c>
    </row>
    <row r="91" spans="1:16" hidden="1" x14ac:dyDescent="0.25">
      <c r="A91" t="s">
        <v>800</v>
      </c>
      <c r="B91" t="s">
        <v>329</v>
      </c>
      <c r="C91" t="s">
        <v>330</v>
      </c>
      <c r="D91" t="s">
        <v>581</v>
      </c>
      <c r="E91" t="s">
        <v>74</v>
      </c>
      <c r="F91" t="s">
        <v>1314</v>
      </c>
      <c r="G91" t="s">
        <v>1364</v>
      </c>
      <c r="H91">
        <v>1700</v>
      </c>
      <c r="I91" t="s">
        <v>1366</v>
      </c>
      <c r="J91">
        <v>5524</v>
      </c>
      <c r="K91" t="s">
        <v>117</v>
      </c>
      <c r="L91">
        <v>55</v>
      </c>
      <c r="M91" t="s">
        <v>2219</v>
      </c>
      <c r="N91" t="s">
        <v>131</v>
      </c>
      <c r="O91" t="s">
        <v>549</v>
      </c>
      <c r="P91" t="s">
        <v>85</v>
      </c>
    </row>
    <row r="92" spans="1:16" hidden="1" x14ac:dyDescent="0.25">
      <c r="A92" t="s">
        <v>800</v>
      </c>
      <c r="B92" t="s">
        <v>329</v>
      </c>
      <c r="C92" t="s">
        <v>330</v>
      </c>
      <c r="D92" t="s">
        <v>581</v>
      </c>
      <c r="E92" t="s">
        <v>74</v>
      </c>
      <c r="F92" t="s">
        <v>1314</v>
      </c>
      <c r="G92" t="s">
        <v>426</v>
      </c>
      <c r="H92">
        <v>120</v>
      </c>
      <c r="I92" t="s">
        <v>1363</v>
      </c>
      <c r="J92">
        <v>5522</v>
      </c>
      <c r="K92" t="s">
        <v>115</v>
      </c>
      <c r="L92">
        <v>55</v>
      </c>
      <c r="M92" t="s">
        <v>2219</v>
      </c>
      <c r="N92" t="s">
        <v>131</v>
      </c>
      <c r="O92" t="s">
        <v>549</v>
      </c>
      <c r="P92" t="s">
        <v>85</v>
      </c>
    </row>
    <row r="93" spans="1:16" hidden="1" x14ac:dyDescent="0.25">
      <c r="A93" t="s">
        <v>800</v>
      </c>
      <c r="B93" t="s">
        <v>329</v>
      </c>
      <c r="C93" t="s">
        <v>330</v>
      </c>
      <c r="D93" t="s">
        <v>581</v>
      </c>
      <c r="E93" t="s">
        <v>74</v>
      </c>
      <c r="F93" t="s">
        <v>1314</v>
      </c>
      <c r="G93" t="s">
        <v>1361</v>
      </c>
      <c r="H93">
        <v>6200</v>
      </c>
      <c r="I93" t="s">
        <v>1362</v>
      </c>
      <c r="J93">
        <v>5521</v>
      </c>
      <c r="K93" t="s">
        <v>114</v>
      </c>
      <c r="L93">
        <v>55</v>
      </c>
      <c r="M93" t="s">
        <v>2219</v>
      </c>
      <c r="N93" t="s">
        <v>131</v>
      </c>
      <c r="O93" t="s">
        <v>549</v>
      </c>
      <c r="P93" t="s">
        <v>85</v>
      </c>
    </row>
    <row r="94" spans="1:16" hidden="1" x14ac:dyDescent="0.25">
      <c r="A94" t="s">
        <v>800</v>
      </c>
      <c r="B94" t="s">
        <v>329</v>
      </c>
      <c r="C94" t="s">
        <v>330</v>
      </c>
      <c r="D94" t="s">
        <v>581</v>
      </c>
      <c r="E94" t="s">
        <v>74</v>
      </c>
      <c r="F94" t="s">
        <v>1314</v>
      </c>
      <c r="G94" t="s">
        <v>1353</v>
      </c>
      <c r="H94">
        <v>250</v>
      </c>
      <c r="I94" t="s">
        <v>1359</v>
      </c>
      <c r="J94">
        <v>5515</v>
      </c>
      <c r="K94" t="s">
        <v>112</v>
      </c>
      <c r="L94">
        <v>55</v>
      </c>
      <c r="M94" t="s">
        <v>2219</v>
      </c>
      <c r="N94" t="s">
        <v>131</v>
      </c>
      <c r="O94" t="s">
        <v>549</v>
      </c>
      <c r="P94" t="s">
        <v>85</v>
      </c>
    </row>
    <row r="95" spans="1:16" hidden="1" x14ac:dyDescent="0.25">
      <c r="A95" t="s">
        <v>800</v>
      </c>
      <c r="B95" t="s">
        <v>329</v>
      </c>
      <c r="C95" t="s">
        <v>330</v>
      </c>
      <c r="D95" t="s">
        <v>581</v>
      </c>
      <c r="E95" t="s">
        <v>74</v>
      </c>
      <c r="F95" t="s">
        <v>1314</v>
      </c>
      <c r="G95" t="s">
        <v>1352</v>
      </c>
      <c r="H95">
        <v>75</v>
      </c>
      <c r="I95" t="s">
        <v>1358</v>
      </c>
      <c r="J95">
        <v>5515</v>
      </c>
      <c r="K95" t="s">
        <v>112</v>
      </c>
      <c r="L95">
        <v>55</v>
      </c>
      <c r="M95" t="s">
        <v>2219</v>
      </c>
      <c r="N95" t="s">
        <v>131</v>
      </c>
      <c r="O95" t="s">
        <v>549</v>
      </c>
      <c r="P95" t="s">
        <v>85</v>
      </c>
    </row>
    <row r="96" spans="1:16" hidden="1" x14ac:dyDescent="0.25">
      <c r="A96" t="s">
        <v>800</v>
      </c>
      <c r="B96" t="s">
        <v>329</v>
      </c>
      <c r="C96" t="s">
        <v>330</v>
      </c>
      <c r="D96" t="s">
        <v>581</v>
      </c>
      <c r="E96" t="s">
        <v>74</v>
      </c>
      <c r="F96" t="s">
        <v>1314</v>
      </c>
      <c r="G96" t="s">
        <v>1351</v>
      </c>
      <c r="H96">
        <v>80</v>
      </c>
      <c r="I96" t="s">
        <v>1357</v>
      </c>
      <c r="J96">
        <v>5515</v>
      </c>
      <c r="K96" t="s">
        <v>112</v>
      </c>
      <c r="L96">
        <v>55</v>
      </c>
      <c r="M96" t="s">
        <v>2219</v>
      </c>
      <c r="N96" t="s">
        <v>131</v>
      </c>
      <c r="O96" t="s">
        <v>549</v>
      </c>
      <c r="P96" t="s">
        <v>85</v>
      </c>
    </row>
    <row r="97" spans="1:16" hidden="1" x14ac:dyDescent="0.25">
      <c r="A97" t="s">
        <v>800</v>
      </c>
      <c r="B97" t="s">
        <v>329</v>
      </c>
      <c r="C97" t="s">
        <v>330</v>
      </c>
      <c r="D97" t="s">
        <v>581</v>
      </c>
      <c r="E97" t="s">
        <v>74</v>
      </c>
      <c r="F97" t="s">
        <v>1314</v>
      </c>
      <c r="G97" t="s">
        <v>1350</v>
      </c>
      <c r="H97">
        <v>300</v>
      </c>
      <c r="I97" t="s">
        <v>1356</v>
      </c>
      <c r="J97">
        <v>5515</v>
      </c>
      <c r="K97" t="s">
        <v>112</v>
      </c>
      <c r="L97">
        <v>55</v>
      </c>
      <c r="M97" t="s">
        <v>2219</v>
      </c>
      <c r="N97" t="s">
        <v>131</v>
      </c>
      <c r="O97" t="s">
        <v>549</v>
      </c>
      <c r="P97" t="s">
        <v>85</v>
      </c>
    </row>
    <row r="98" spans="1:16" hidden="1" x14ac:dyDescent="0.25">
      <c r="A98" t="s">
        <v>800</v>
      </c>
      <c r="B98" t="s">
        <v>329</v>
      </c>
      <c r="C98" t="s">
        <v>330</v>
      </c>
      <c r="D98" t="s">
        <v>581</v>
      </c>
      <c r="E98" t="s">
        <v>74</v>
      </c>
      <c r="F98" t="s">
        <v>1314</v>
      </c>
      <c r="G98" t="s">
        <v>1349</v>
      </c>
      <c r="H98">
        <v>350</v>
      </c>
      <c r="I98" t="s">
        <v>1355</v>
      </c>
      <c r="J98">
        <v>5515</v>
      </c>
      <c r="K98" t="s">
        <v>112</v>
      </c>
      <c r="L98">
        <v>55</v>
      </c>
      <c r="M98" t="s">
        <v>2219</v>
      </c>
      <c r="N98" t="s">
        <v>131</v>
      </c>
      <c r="O98" t="s">
        <v>549</v>
      </c>
      <c r="P98" t="s">
        <v>85</v>
      </c>
    </row>
    <row r="99" spans="1:16" hidden="1" x14ac:dyDescent="0.25">
      <c r="A99" t="s">
        <v>800</v>
      </c>
      <c r="B99" t="s">
        <v>329</v>
      </c>
      <c r="C99" t="s">
        <v>330</v>
      </c>
      <c r="D99" t="s">
        <v>581</v>
      </c>
      <c r="E99" t="s">
        <v>74</v>
      </c>
      <c r="F99" t="s">
        <v>1314</v>
      </c>
      <c r="G99" t="s">
        <v>1346</v>
      </c>
      <c r="H99">
        <v>250</v>
      </c>
      <c r="I99" t="s">
        <v>1348</v>
      </c>
      <c r="J99">
        <v>5515</v>
      </c>
      <c r="K99" t="s">
        <v>112</v>
      </c>
      <c r="L99">
        <v>55</v>
      </c>
      <c r="M99" t="s">
        <v>2219</v>
      </c>
      <c r="N99" t="s">
        <v>131</v>
      </c>
      <c r="O99" t="s">
        <v>549</v>
      </c>
      <c r="P99" t="s">
        <v>85</v>
      </c>
    </row>
    <row r="100" spans="1:16" hidden="1" x14ac:dyDescent="0.25">
      <c r="A100" t="s">
        <v>800</v>
      </c>
      <c r="B100" t="s">
        <v>329</v>
      </c>
      <c r="C100" t="s">
        <v>330</v>
      </c>
      <c r="D100" t="s">
        <v>581</v>
      </c>
      <c r="E100" t="s">
        <v>74</v>
      </c>
      <c r="F100" t="s">
        <v>1314</v>
      </c>
      <c r="G100" t="s">
        <v>442</v>
      </c>
      <c r="H100">
        <v>1430</v>
      </c>
      <c r="I100" t="s">
        <v>1344</v>
      </c>
      <c r="J100">
        <v>5513</v>
      </c>
      <c r="K100" t="s">
        <v>111</v>
      </c>
      <c r="L100">
        <v>55</v>
      </c>
      <c r="M100" t="s">
        <v>2219</v>
      </c>
      <c r="N100" t="s">
        <v>131</v>
      </c>
      <c r="O100" t="s">
        <v>549</v>
      </c>
      <c r="P100" t="s">
        <v>85</v>
      </c>
    </row>
    <row r="101" spans="1:16" hidden="1" x14ac:dyDescent="0.25">
      <c r="A101" t="s">
        <v>800</v>
      </c>
      <c r="B101" t="s">
        <v>329</v>
      </c>
      <c r="C101" t="s">
        <v>330</v>
      </c>
      <c r="D101" t="s">
        <v>581</v>
      </c>
      <c r="E101" t="s">
        <v>74</v>
      </c>
      <c r="F101" t="s">
        <v>1314</v>
      </c>
      <c r="G101" t="s">
        <v>1327</v>
      </c>
      <c r="H101">
        <v>165</v>
      </c>
      <c r="J101">
        <v>5504</v>
      </c>
      <c r="K101" t="s">
        <v>102</v>
      </c>
      <c r="L101">
        <v>55</v>
      </c>
      <c r="M101" t="s">
        <v>2219</v>
      </c>
      <c r="N101" t="s">
        <v>131</v>
      </c>
      <c r="O101" t="s">
        <v>549</v>
      </c>
      <c r="P101" t="s">
        <v>85</v>
      </c>
    </row>
    <row r="102" spans="1:16" hidden="1" x14ac:dyDescent="0.25">
      <c r="A102" t="s">
        <v>800</v>
      </c>
      <c r="B102" t="s">
        <v>329</v>
      </c>
      <c r="C102" t="s">
        <v>330</v>
      </c>
      <c r="D102" t="s">
        <v>581</v>
      </c>
      <c r="E102" t="s">
        <v>74</v>
      </c>
      <c r="F102" t="s">
        <v>1314</v>
      </c>
      <c r="G102" t="s">
        <v>176</v>
      </c>
      <c r="H102">
        <v>504</v>
      </c>
      <c r="J102">
        <v>5504</v>
      </c>
      <c r="K102" t="s">
        <v>102</v>
      </c>
      <c r="L102">
        <v>55</v>
      </c>
      <c r="M102" t="s">
        <v>2219</v>
      </c>
      <c r="N102" t="s">
        <v>131</v>
      </c>
      <c r="O102" t="s">
        <v>549</v>
      </c>
      <c r="P102" t="s">
        <v>85</v>
      </c>
    </row>
    <row r="103" spans="1:16" hidden="1" x14ac:dyDescent="0.25">
      <c r="A103" t="s">
        <v>800</v>
      </c>
      <c r="B103" t="s">
        <v>329</v>
      </c>
      <c r="C103" t="s">
        <v>330</v>
      </c>
      <c r="D103" t="s">
        <v>581</v>
      </c>
      <c r="E103" t="s">
        <v>74</v>
      </c>
      <c r="F103" t="s">
        <v>1314</v>
      </c>
      <c r="G103" t="s">
        <v>1320</v>
      </c>
      <c r="H103">
        <v>18</v>
      </c>
      <c r="I103" t="s">
        <v>1326</v>
      </c>
      <c r="J103">
        <v>5500</v>
      </c>
      <c r="K103" t="s">
        <v>100</v>
      </c>
      <c r="L103">
        <v>55</v>
      </c>
      <c r="M103" t="s">
        <v>2219</v>
      </c>
      <c r="N103" t="s">
        <v>131</v>
      </c>
      <c r="O103" t="s">
        <v>549</v>
      </c>
      <c r="P103" t="s">
        <v>85</v>
      </c>
    </row>
    <row r="104" spans="1:16" hidden="1" x14ac:dyDescent="0.25">
      <c r="A104" t="s">
        <v>800</v>
      </c>
      <c r="B104" t="s">
        <v>329</v>
      </c>
      <c r="C104" t="s">
        <v>330</v>
      </c>
      <c r="D104" t="s">
        <v>581</v>
      </c>
      <c r="E104" t="s">
        <v>74</v>
      </c>
      <c r="F104" t="s">
        <v>1314</v>
      </c>
      <c r="G104" t="s">
        <v>1319</v>
      </c>
      <c r="H104">
        <v>28</v>
      </c>
      <c r="I104" t="s">
        <v>1326</v>
      </c>
      <c r="J104">
        <v>5500</v>
      </c>
      <c r="K104" t="s">
        <v>100</v>
      </c>
      <c r="L104">
        <v>55</v>
      </c>
      <c r="M104" t="s">
        <v>2219</v>
      </c>
      <c r="N104" t="s">
        <v>131</v>
      </c>
      <c r="O104" t="s">
        <v>549</v>
      </c>
      <c r="P104" t="s">
        <v>85</v>
      </c>
    </row>
    <row r="105" spans="1:16" hidden="1" x14ac:dyDescent="0.25">
      <c r="A105" t="s">
        <v>800</v>
      </c>
      <c r="B105" t="s">
        <v>329</v>
      </c>
      <c r="C105" t="s">
        <v>330</v>
      </c>
      <c r="D105" t="s">
        <v>581</v>
      </c>
      <c r="E105" t="s">
        <v>74</v>
      </c>
      <c r="F105" t="s">
        <v>1314</v>
      </c>
      <c r="G105" t="s">
        <v>1318</v>
      </c>
      <c r="H105">
        <v>288</v>
      </c>
      <c r="I105" t="s">
        <v>1325</v>
      </c>
      <c r="J105">
        <v>5500</v>
      </c>
      <c r="K105" t="s">
        <v>100</v>
      </c>
      <c r="L105">
        <v>55</v>
      </c>
      <c r="M105" t="s">
        <v>2219</v>
      </c>
      <c r="N105" t="s">
        <v>131</v>
      </c>
      <c r="O105" t="s">
        <v>549</v>
      </c>
      <c r="P105" t="s">
        <v>85</v>
      </c>
    </row>
    <row r="106" spans="1:16" hidden="1" x14ac:dyDescent="0.25">
      <c r="A106" t="s">
        <v>800</v>
      </c>
      <c r="B106" t="s">
        <v>329</v>
      </c>
      <c r="C106" t="s">
        <v>330</v>
      </c>
      <c r="D106" t="s">
        <v>581</v>
      </c>
      <c r="E106" t="s">
        <v>74</v>
      </c>
      <c r="F106" t="s">
        <v>1314</v>
      </c>
      <c r="G106" t="s">
        <v>1317</v>
      </c>
      <c r="H106">
        <v>25</v>
      </c>
      <c r="I106" t="s">
        <v>1324</v>
      </c>
      <c r="J106">
        <v>5500</v>
      </c>
      <c r="K106" t="s">
        <v>100</v>
      </c>
      <c r="L106">
        <v>55</v>
      </c>
      <c r="M106" t="s">
        <v>2219</v>
      </c>
      <c r="N106" t="s">
        <v>131</v>
      </c>
      <c r="O106" t="s">
        <v>549</v>
      </c>
      <c r="P106" t="s">
        <v>85</v>
      </c>
    </row>
    <row r="107" spans="1:16" hidden="1" x14ac:dyDescent="0.25">
      <c r="A107" t="s">
        <v>800</v>
      </c>
      <c r="B107" t="s">
        <v>329</v>
      </c>
      <c r="C107" t="s">
        <v>330</v>
      </c>
      <c r="D107" t="s">
        <v>581</v>
      </c>
      <c r="E107" t="s">
        <v>74</v>
      </c>
      <c r="F107" t="s">
        <v>1314</v>
      </c>
      <c r="G107" t="s">
        <v>1316</v>
      </c>
      <c r="H107">
        <v>16</v>
      </c>
      <c r="I107" t="s">
        <v>1323</v>
      </c>
      <c r="J107">
        <v>5500</v>
      </c>
      <c r="K107" t="s">
        <v>100</v>
      </c>
      <c r="L107">
        <v>55</v>
      </c>
      <c r="M107" t="s">
        <v>2219</v>
      </c>
      <c r="N107" t="s">
        <v>131</v>
      </c>
      <c r="O107" t="s">
        <v>549</v>
      </c>
      <c r="P107" t="s">
        <v>85</v>
      </c>
    </row>
    <row r="108" spans="1:16" hidden="1" x14ac:dyDescent="0.25">
      <c r="A108" t="s">
        <v>800</v>
      </c>
      <c r="B108" t="s">
        <v>329</v>
      </c>
      <c r="C108" t="s">
        <v>330</v>
      </c>
      <c r="D108" t="s">
        <v>581</v>
      </c>
      <c r="E108" t="s">
        <v>74</v>
      </c>
      <c r="F108" t="s">
        <v>1314</v>
      </c>
      <c r="G108" t="s">
        <v>1315</v>
      </c>
      <c r="H108">
        <v>120</v>
      </c>
      <c r="J108">
        <v>5500</v>
      </c>
      <c r="K108" t="s">
        <v>100</v>
      </c>
      <c r="L108">
        <v>55</v>
      </c>
      <c r="M108" t="s">
        <v>2219</v>
      </c>
      <c r="N108" t="s">
        <v>131</v>
      </c>
      <c r="O108" t="s">
        <v>549</v>
      </c>
      <c r="P108" t="s">
        <v>85</v>
      </c>
    </row>
    <row r="109" spans="1:16" hidden="1" x14ac:dyDescent="0.25">
      <c r="A109" t="s">
        <v>800</v>
      </c>
      <c r="B109" t="s">
        <v>329</v>
      </c>
      <c r="C109" t="s">
        <v>330</v>
      </c>
      <c r="D109" t="s">
        <v>581</v>
      </c>
      <c r="E109" t="s">
        <v>74</v>
      </c>
      <c r="F109" t="s">
        <v>1314</v>
      </c>
      <c r="G109" t="s">
        <v>1091</v>
      </c>
      <c r="H109">
        <v>100</v>
      </c>
      <c r="I109" t="s">
        <v>1322</v>
      </c>
      <c r="J109">
        <v>5500</v>
      </c>
      <c r="K109" t="s">
        <v>100</v>
      </c>
      <c r="L109">
        <v>55</v>
      </c>
      <c r="M109" t="s">
        <v>2219</v>
      </c>
      <c r="N109" t="s">
        <v>131</v>
      </c>
      <c r="O109" t="s">
        <v>549</v>
      </c>
      <c r="P109" t="s">
        <v>85</v>
      </c>
    </row>
    <row r="110" spans="1:16" hidden="1" x14ac:dyDescent="0.25">
      <c r="A110" t="s">
        <v>800</v>
      </c>
      <c r="B110" t="s">
        <v>329</v>
      </c>
      <c r="C110" t="s">
        <v>330</v>
      </c>
      <c r="D110" t="s">
        <v>581</v>
      </c>
      <c r="E110" t="s">
        <v>74</v>
      </c>
      <c r="F110" t="s">
        <v>1314</v>
      </c>
      <c r="G110" t="s">
        <v>1144</v>
      </c>
      <c r="H110">
        <v>650</v>
      </c>
      <c r="I110" t="s">
        <v>1321</v>
      </c>
      <c r="J110">
        <v>5500</v>
      </c>
      <c r="K110" t="s">
        <v>100</v>
      </c>
      <c r="L110">
        <v>55</v>
      </c>
      <c r="M110" t="s">
        <v>2219</v>
      </c>
      <c r="N110" t="s">
        <v>131</v>
      </c>
      <c r="O110" t="s">
        <v>549</v>
      </c>
      <c r="P110" t="s">
        <v>85</v>
      </c>
    </row>
    <row r="111" spans="1:16" hidden="1" x14ac:dyDescent="0.25">
      <c r="A111" t="s">
        <v>800</v>
      </c>
      <c r="B111" t="s">
        <v>327</v>
      </c>
      <c r="C111" t="s">
        <v>328</v>
      </c>
      <c r="D111" t="s">
        <v>581</v>
      </c>
      <c r="E111" t="s">
        <v>74</v>
      </c>
      <c r="F111" t="s">
        <v>1273</v>
      </c>
      <c r="G111" t="s">
        <v>2188</v>
      </c>
      <c r="H111">
        <v>5500</v>
      </c>
      <c r="J111">
        <v>5511</v>
      </c>
      <c r="K111" t="s">
        <v>106</v>
      </c>
      <c r="L111">
        <v>55</v>
      </c>
      <c r="M111" t="s">
        <v>2219</v>
      </c>
      <c r="N111" t="s">
        <v>131</v>
      </c>
      <c r="O111" t="s">
        <v>549</v>
      </c>
      <c r="P111" t="s">
        <v>85</v>
      </c>
    </row>
    <row r="112" spans="1:16" hidden="1" x14ac:dyDescent="0.25">
      <c r="A112" t="s">
        <v>800</v>
      </c>
      <c r="B112" t="s">
        <v>327</v>
      </c>
      <c r="C112" t="s">
        <v>328</v>
      </c>
      <c r="D112" t="s">
        <v>581</v>
      </c>
      <c r="E112" t="s">
        <v>74</v>
      </c>
      <c r="F112" t="s">
        <v>1273</v>
      </c>
      <c r="G112" t="s">
        <v>2168</v>
      </c>
      <c r="H112">
        <v>967</v>
      </c>
      <c r="J112">
        <v>5511</v>
      </c>
      <c r="K112" t="s">
        <v>106</v>
      </c>
      <c r="L112">
        <v>55</v>
      </c>
      <c r="M112" t="s">
        <v>2219</v>
      </c>
      <c r="N112" t="s">
        <v>131</v>
      </c>
      <c r="O112" t="s">
        <v>549</v>
      </c>
      <c r="P112" t="s">
        <v>85</v>
      </c>
    </row>
    <row r="113" spans="1:16" x14ac:dyDescent="0.25">
      <c r="A113" t="s">
        <v>800</v>
      </c>
      <c r="B113" t="s">
        <v>327</v>
      </c>
      <c r="C113" t="s">
        <v>328</v>
      </c>
      <c r="D113" t="s">
        <v>581</v>
      </c>
      <c r="E113" t="s">
        <v>74</v>
      </c>
      <c r="F113" t="s">
        <v>841</v>
      </c>
      <c r="G113" t="s">
        <v>2059</v>
      </c>
      <c r="H113">
        <v>80000</v>
      </c>
      <c r="J113">
        <v>1551</v>
      </c>
      <c r="K113" t="s">
        <v>92</v>
      </c>
      <c r="L113">
        <v>15</v>
      </c>
      <c r="M113" t="s">
        <v>2220</v>
      </c>
      <c r="N113" t="s">
        <v>4</v>
      </c>
      <c r="O113" t="s">
        <v>4</v>
      </c>
      <c r="P113" t="s">
        <v>87</v>
      </c>
    </row>
    <row r="114" spans="1:16" hidden="1" x14ac:dyDescent="0.25">
      <c r="A114" t="s">
        <v>800</v>
      </c>
      <c r="B114" t="s">
        <v>327</v>
      </c>
      <c r="C114" t="s">
        <v>328</v>
      </c>
      <c r="D114" t="s">
        <v>581</v>
      </c>
      <c r="E114" t="s">
        <v>74</v>
      </c>
      <c r="F114" t="s">
        <v>1273</v>
      </c>
      <c r="G114" t="s">
        <v>1299</v>
      </c>
      <c r="H114">
        <v>120</v>
      </c>
      <c r="J114">
        <v>5514</v>
      </c>
      <c r="K114" t="s">
        <v>110</v>
      </c>
      <c r="L114">
        <v>55</v>
      </c>
      <c r="M114" t="s">
        <v>2219</v>
      </c>
      <c r="N114" t="s">
        <v>131</v>
      </c>
      <c r="O114" t="s">
        <v>549</v>
      </c>
      <c r="P114" t="s">
        <v>85</v>
      </c>
    </row>
    <row r="115" spans="1:16" hidden="1" x14ac:dyDescent="0.25">
      <c r="A115" t="s">
        <v>800</v>
      </c>
      <c r="B115" t="s">
        <v>327</v>
      </c>
      <c r="C115" t="s">
        <v>328</v>
      </c>
      <c r="D115" t="s">
        <v>581</v>
      </c>
      <c r="E115" t="s">
        <v>74</v>
      </c>
      <c r="F115" t="s">
        <v>1273</v>
      </c>
      <c r="G115" t="s">
        <v>1283</v>
      </c>
      <c r="H115">
        <v>260</v>
      </c>
      <c r="J115">
        <v>5514</v>
      </c>
      <c r="K115" t="s">
        <v>110</v>
      </c>
      <c r="L115">
        <v>55</v>
      </c>
      <c r="M115" t="s">
        <v>2219</v>
      </c>
      <c r="N115" t="s">
        <v>131</v>
      </c>
      <c r="O115" t="s">
        <v>549</v>
      </c>
      <c r="P115" t="s">
        <v>85</v>
      </c>
    </row>
    <row r="116" spans="1:16" hidden="1" x14ac:dyDescent="0.25">
      <c r="A116" t="s">
        <v>800</v>
      </c>
      <c r="B116" t="s">
        <v>327</v>
      </c>
      <c r="C116" t="s">
        <v>328</v>
      </c>
      <c r="D116" t="s">
        <v>581</v>
      </c>
      <c r="E116" t="s">
        <v>74</v>
      </c>
      <c r="F116" t="s">
        <v>1273</v>
      </c>
      <c r="G116" t="s">
        <v>1295</v>
      </c>
      <c r="H116">
        <v>117</v>
      </c>
      <c r="I116" t="s">
        <v>1296</v>
      </c>
      <c r="J116">
        <v>5511</v>
      </c>
      <c r="K116" t="s">
        <v>106</v>
      </c>
      <c r="L116">
        <v>55</v>
      </c>
      <c r="M116" t="s">
        <v>2219</v>
      </c>
      <c r="N116" t="s">
        <v>131</v>
      </c>
      <c r="O116" t="s">
        <v>549</v>
      </c>
      <c r="P116" t="s">
        <v>85</v>
      </c>
    </row>
    <row r="117" spans="1:16" hidden="1" x14ac:dyDescent="0.25">
      <c r="A117" t="s">
        <v>800</v>
      </c>
      <c r="B117" t="s">
        <v>327</v>
      </c>
      <c r="C117" t="s">
        <v>328</v>
      </c>
      <c r="D117" t="s">
        <v>581</v>
      </c>
      <c r="E117" t="s">
        <v>74</v>
      </c>
      <c r="F117" t="s">
        <v>1273</v>
      </c>
      <c r="G117" t="s">
        <v>1293</v>
      </c>
      <c r="H117">
        <v>240</v>
      </c>
      <c r="I117" t="s">
        <v>1294</v>
      </c>
      <c r="J117">
        <v>5511</v>
      </c>
      <c r="K117" t="s">
        <v>106</v>
      </c>
      <c r="L117">
        <v>55</v>
      </c>
      <c r="M117" t="s">
        <v>2219</v>
      </c>
      <c r="N117" t="s">
        <v>131</v>
      </c>
      <c r="O117" t="s">
        <v>549</v>
      </c>
      <c r="P117" t="s">
        <v>85</v>
      </c>
    </row>
    <row r="118" spans="1:16" hidden="1" x14ac:dyDescent="0.25">
      <c r="A118" t="s">
        <v>800</v>
      </c>
      <c r="B118" t="s">
        <v>327</v>
      </c>
      <c r="C118" t="s">
        <v>328</v>
      </c>
      <c r="D118" t="s">
        <v>581</v>
      </c>
      <c r="E118" t="s">
        <v>74</v>
      </c>
      <c r="F118" t="s">
        <v>1273</v>
      </c>
      <c r="G118" t="s">
        <v>1291</v>
      </c>
      <c r="H118">
        <v>540</v>
      </c>
      <c r="I118" t="s">
        <v>1292</v>
      </c>
      <c r="J118">
        <v>5511</v>
      </c>
      <c r="K118" t="s">
        <v>106</v>
      </c>
      <c r="L118">
        <v>55</v>
      </c>
      <c r="M118" t="s">
        <v>2219</v>
      </c>
      <c r="N118" t="s">
        <v>131</v>
      </c>
      <c r="O118" t="s">
        <v>549</v>
      </c>
      <c r="P118" t="s">
        <v>85</v>
      </c>
    </row>
    <row r="119" spans="1:16" hidden="1" x14ac:dyDescent="0.25">
      <c r="A119" t="s">
        <v>800</v>
      </c>
      <c r="B119" t="s">
        <v>327</v>
      </c>
      <c r="C119" t="s">
        <v>328</v>
      </c>
      <c r="D119" t="s">
        <v>581</v>
      </c>
      <c r="E119" t="s">
        <v>74</v>
      </c>
      <c r="F119" t="s">
        <v>1273</v>
      </c>
      <c r="G119" t="s">
        <v>1289</v>
      </c>
      <c r="H119">
        <v>184</v>
      </c>
      <c r="I119" t="s">
        <v>1290</v>
      </c>
      <c r="J119">
        <v>5511</v>
      </c>
      <c r="K119" t="s">
        <v>106</v>
      </c>
      <c r="L119">
        <v>55</v>
      </c>
      <c r="M119" t="s">
        <v>2219</v>
      </c>
      <c r="N119" t="s">
        <v>131</v>
      </c>
      <c r="O119" t="s">
        <v>549</v>
      </c>
      <c r="P119" t="s">
        <v>85</v>
      </c>
    </row>
    <row r="120" spans="1:16" hidden="1" x14ac:dyDescent="0.25">
      <c r="A120" t="s">
        <v>800</v>
      </c>
      <c r="B120" t="s">
        <v>327</v>
      </c>
      <c r="C120" t="s">
        <v>328</v>
      </c>
      <c r="D120" t="s">
        <v>581</v>
      </c>
      <c r="E120" t="s">
        <v>74</v>
      </c>
      <c r="F120" t="s">
        <v>1273</v>
      </c>
      <c r="G120" t="s">
        <v>194</v>
      </c>
      <c r="H120">
        <v>1300</v>
      </c>
      <c r="I120" t="s">
        <v>1288</v>
      </c>
      <c r="J120">
        <v>5511</v>
      </c>
      <c r="K120" t="s">
        <v>106</v>
      </c>
      <c r="L120">
        <v>55</v>
      </c>
      <c r="M120" t="s">
        <v>2219</v>
      </c>
      <c r="N120" t="s">
        <v>131</v>
      </c>
      <c r="O120" t="s">
        <v>549</v>
      </c>
      <c r="P120" t="s">
        <v>85</v>
      </c>
    </row>
    <row r="121" spans="1:16" hidden="1" x14ac:dyDescent="0.25">
      <c r="A121" t="s">
        <v>800</v>
      </c>
      <c r="B121" t="s">
        <v>327</v>
      </c>
      <c r="C121" t="s">
        <v>328</v>
      </c>
      <c r="D121" t="s">
        <v>581</v>
      </c>
      <c r="E121" t="s">
        <v>74</v>
      </c>
      <c r="F121" t="s">
        <v>1273</v>
      </c>
      <c r="G121" t="s">
        <v>443</v>
      </c>
      <c r="H121">
        <v>927</v>
      </c>
      <c r="I121" t="s">
        <v>1287</v>
      </c>
      <c r="J121">
        <v>5511</v>
      </c>
      <c r="K121" t="s">
        <v>106</v>
      </c>
      <c r="L121">
        <v>55</v>
      </c>
      <c r="M121" t="s">
        <v>2219</v>
      </c>
      <c r="N121" t="s">
        <v>131</v>
      </c>
      <c r="O121" t="s">
        <v>549</v>
      </c>
      <c r="P121" t="s">
        <v>85</v>
      </c>
    </row>
    <row r="122" spans="1:16" hidden="1" x14ac:dyDescent="0.25">
      <c r="A122" t="s">
        <v>800</v>
      </c>
      <c r="B122" t="s">
        <v>327</v>
      </c>
      <c r="C122" t="s">
        <v>328</v>
      </c>
      <c r="D122" t="s">
        <v>581</v>
      </c>
      <c r="E122" t="s">
        <v>74</v>
      </c>
      <c r="F122" t="s">
        <v>1273</v>
      </c>
      <c r="G122" t="s">
        <v>178</v>
      </c>
      <c r="H122">
        <v>2860</v>
      </c>
      <c r="I122" t="s">
        <v>1286</v>
      </c>
      <c r="J122">
        <v>5511</v>
      </c>
      <c r="K122" t="s">
        <v>106</v>
      </c>
      <c r="L122">
        <v>55</v>
      </c>
      <c r="M122" t="s">
        <v>2219</v>
      </c>
      <c r="N122" t="s">
        <v>131</v>
      </c>
      <c r="O122" t="s">
        <v>549</v>
      </c>
      <c r="P122" t="s">
        <v>85</v>
      </c>
    </row>
    <row r="123" spans="1:16" hidden="1" x14ac:dyDescent="0.25">
      <c r="A123" t="s">
        <v>800</v>
      </c>
      <c r="B123" t="s">
        <v>327</v>
      </c>
      <c r="C123" t="s">
        <v>328</v>
      </c>
      <c r="D123" t="s">
        <v>581</v>
      </c>
      <c r="E123" t="s">
        <v>74</v>
      </c>
      <c r="F123" t="s">
        <v>1273</v>
      </c>
      <c r="G123" t="s">
        <v>177</v>
      </c>
      <c r="H123">
        <v>6951</v>
      </c>
      <c r="I123" t="s">
        <v>1285</v>
      </c>
      <c r="J123">
        <v>5511</v>
      </c>
      <c r="K123" t="s">
        <v>106</v>
      </c>
      <c r="L123">
        <v>55</v>
      </c>
      <c r="M123" t="s">
        <v>2219</v>
      </c>
      <c r="N123" t="s">
        <v>131</v>
      </c>
      <c r="O123" t="s">
        <v>549</v>
      </c>
      <c r="P123" t="s">
        <v>85</v>
      </c>
    </row>
    <row r="124" spans="1:16" hidden="1" x14ac:dyDescent="0.25">
      <c r="A124" t="s">
        <v>800</v>
      </c>
      <c r="B124" t="s">
        <v>327</v>
      </c>
      <c r="C124" t="s">
        <v>328</v>
      </c>
      <c r="D124" t="s">
        <v>581</v>
      </c>
      <c r="E124" t="s">
        <v>74</v>
      </c>
      <c r="F124" t="s">
        <v>1273</v>
      </c>
      <c r="G124" t="s">
        <v>1307</v>
      </c>
      <c r="H124">
        <v>350</v>
      </c>
      <c r="J124">
        <v>5525</v>
      </c>
      <c r="K124" t="s">
        <v>118</v>
      </c>
      <c r="L124">
        <v>55</v>
      </c>
      <c r="M124" t="s">
        <v>2219</v>
      </c>
      <c r="N124" t="s">
        <v>131</v>
      </c>
      <c r="O124" t="s">
        <v>549</v>
      </c>
      <c r="P124" t="s">
        <v>85</v>
      </c>
    </row>
    <row r="125" spans="1:16" hidden="1" x14ac:dyDescent="0.25">
      <c r="A125" t="s">
        <v>800</v>
      </c>
      <c r="B125" t="s">
        <v>327</v>
      </c>
      <c r="C125" t="s">
        <v>328</v>
      </c>
      <c r="D125" t="s">
        <v>581</v>
      </c>
      <c r="E125" t="s">
        <v>74</v>
      </c>
      <c r="F125" t="s">
        <v>1273</v>
      </c>
      <c r="G125" t="s">
        <v>1306</v>
      </c>
      <c r="H125">
        <v>200</v>
      </c>
      <c r="J125">
        <v>5525</v>
      </c>
      <c r="K125" t="s">
        <v>118</v>
      </c>
      <c r="L125">
        <v>55</v>
      </c>
      <c r="M125" t="s">
        <v>2219</v>
      </c>
      <c r="N125" t="s">
        <v>131</v>
      </c>
      <c r="O125" t="s">
        <v>549</v>
      </c>
      <c r="P125" t="s">
        <v>85</v>
      </c>
    </row>
    <row r="126" spans="1:16" hidden="1" x14ac:dyDescent="0.25">
      <c r="A126" t="s">
        <v>800</v>
      </c>
      <c r="B126" t="s">
        <v>327</v>
      </c>
      <c r="C126" t="s">
        <v>328</v>
      </c>
      <c r="D126" t="s">
        <v>581</v>
      </c>
      <c r="E126" t="s">
        <v>74</v>
      </c>
      <c r="F126" t="s">
        <v>1273</v>
      </c>
      <c r="G126" t="s">
        <v>1305</v>
      </c>
      <c r="H126">
        <v>4800</v>
      </c>
      <c r="J126">
        <v>5524</v>
      </c>
      <c r="K126" t="s">
        <v>117</v>
      </c>
      <c r="L126">
        <v>55</v>
      </c>
      <c r="M126" t="s">
        <v>2219</v>
      </c>
      <c r="N126" t="s">
        <v>131</v>
      </c>
      <c r="O126" t="s">
        <v>549</v>
      </c>
      <c r="P126" t="s">
        <v>85</v>
      </c>
    </row>
    <row r="127" spans="1:16" hidden="1" x14ac:dyDescent="0.25">
      <c r="A127" t="s">
        <v>800</v>
      </c>
      <c r="B127" t="s">
        <v>327</v>
      </c>
      <c r="C127" t="s">
        <v>328</v>
      </c>
      <c r="D127" t="s">
        <v>581</v>
      </c>
      <c r="E127" t="s">
        <v>74</v>
      </c>
      <c r="F127" t="s">
        <v>1273</v>
      </c>
      <c r="G127" t="s">
        <v>1304</v>
      </c>
      <c r="H127">
        <v>80</v>
      </c>
      <c r="J127">
        <v>5522</v>
      </c>
      <c r="K127" t="s">
        <v>115</v>
      </c>
      <c r="L127">
        <v>55</v>
      </c>
      <c r="M127" t="s">
        <v>2219</v>
      </c>
      <c r="N127" t="s">
        <v>131</v>
      </c>
      <c r="O127" t="s">
        <v>549</v>
      </c>
      <c r="P127" t="s">
        <v>85</v>
      </c>
    </row>
    <row r="128" spans="1:16" hidden="1" x14ac:dyDescent="0.25">
      <c r="A128" t="s">
        <v>800</v>
      </c>
      <c r="B128" t="s">
        <v>327</v>
      </c>
      <c r="C128" t="s">
        <v>328</v>
      </c>
      <c r="D128" t="s">
        <v>581</v>
      </c>
      <c r="E128" t="s">
        <v>74</v>
      </c>
      <c r="F128" t="s">
        <v>1273</v>
      </c>
      <c r="G128" t="s">
        <v>1302</v>
      </c>
      <c r="H128">
        <v>6500</v>
      </c>
      <c r="I128" t="s">
        <v>1303</v>
      </c>
      <c r="J128">
        <v>5521</v>
      </c>
      <c r="K128" t="s">
        <v>114</v>
      </c>
      <c r="L128">
        <v>55</v>
      </c>
      <c r="M128" t="s">
        <v>2219</v>
      </c>
      <c r="N128" t="s">
        <v>131</v>
      </c>
      <c r="O128" t="s">
        <v>549</v>
      </c>
      <c r="P128" t="s">
        <v>85</v>
      </c>
    </row>
    <row r="129" spans="1:16" hidden="1" x14ac:dyDescent="0.25">
      <c r="A129" t="s">
        <v>800</v>
      </c>
      <c r="B129" t="s">
        <v>327</v>
      </c>
      <c r="C129" t="s">
        <v>328</v>
      </c>
      <c r="D129" t="s">
        <v>581</v>
      </c>
      <c r="E129" t="s">
        <v>74</v>
      </c>
      <c r="F129" t="s">
        <v>1273</v>
      </c>
      <c r="G129" t="s">
        <v>1301</v>
      </c>
      <c r="H129">
        <v>140</v>
      </c>
      <c r="J129">
        <v>5515</v>
      </c>
      <c r="K129" t="s">
        <v>112</v>
      </c>
      <c r="L129">
        <v>55</v>
      </c>
      <c r="M129" t="s">
        <v>2219</v>
      </c>
      <c r="N129" t="s">
        <v>131</v>
      </c>
      <c r="O129" t="s">
        <v>549</v>
      </c>
      <c r="P129" t="s">
        <v>85</v>
      </c>
    </row>
    <row r="130" spans="1:16" hidden="1" x14ac:dyDescent="0.25">
      <c r="A130" t="s">
        <v>800</v>
      </c>
      <c r="B130" t="s">
        <v>327</v>
      </c>
      <c r="C130" t="s">
        <v>328</v>
      </c>
      <c r="D130" t="s">
        <v>581</v>
      </c>
      <c r="E130" t="s">
        <v>74</v>
      </c>
      <c r="F130" t="s">
        <v>1273</v>
      </c>
      <c r="G130" t="s">
        <v>1300</v>
      </c>
      <c r="H130">
        <v>600</v>
      </c>
      <c r="J130">
        <v>5515</v>
      </c>
      <c r="K130" t="s">
        <v>112</v>
      </c>
      <c r="L130">
        <v>55</v>
      </c>
      <c r="M130" t="s">
        <v>2219</v>
      </c>
      <c r="N130" t="s">
        <v>131</v>
      </c>
      <c r="O130" t="s">
        <v>549</v>
      </c>
      <c r="P130" t="s">
        <v>85</v>
      </c>
    </row>
    <row r="131" spans="1:16" hidden="1" x14ac:dyDescent="0.25">
      <c r="A131" t="s">
        <v>800</v>
      </c>
      <c r="B131" t="s">
        <v>327</v>
      </c>
      <c r="C131" t="s">
        <v>328</v>
      </c>
      <c r="D131" t="s">
        <v>581</v>
      </c>
      <c r="E131" t="s">
        <v>74</v>
      </c>
      <c r="F131" t="s">
        <v>1273</v>
      </c>
      <c r="G131" t="s">
        <v>1297</v>
      </c>
      <c r="H131">
        <v>704</v>
      </c>
      <c r="I131" t="s">
        <v>1298</v>
      </c>
      <c r="J131">
        <v>5513</v>
      </c>
      <c r="K131" t="s">
        <v>111</v>
      </c>
      <c r="L131">
        <v>55</v>
      </c>
      <c r="M131" t="s">
        <v>2219</v>
      </c>
      <c r="N131" t="s">
        <v>131</v>
      </c>
      <c r="O131" t="s">
        <v>549</v>
      </c>
      <c r="P131" t="s">
        <v>85</v>
      </c>
    </row>
    <row r="132" spans="1:16" hidden="1" x14ac:dyDescent="0.25">
      <c r="A132" t="s">
        <v>800</v>
      </c>
      <c r="B132" t="s">
        <v>327</v>
      </c>
      <c r="C132" t="s">
        <v>328</v>
      </c>
      <c r="D132" t="s">
        <v>581</v>
      </c>
      <c r="E132" t="s">
        <v>74</v>
      </c>
      <c r="F132" t="s">
        <v>1273</v>
      </c>
      <c r="G132" t="s">
        <v>409</v>
      </c>
      <c r="H132">
        <v>300</v>
      </c>
      <c r="J132">
        <v>5504</v>
      </c>
      <c r="K132" t="s">
        <v>102</v>
      </c>
      <c r="L132">
        <v>55</v>
      </c>
      <c r="M132" t="s">
        <v>2219</v>
      </c>
      <c r="N132" t="s">
        <v>131</v>
      </c>
      <c r="O132" t="s">
        <v>549</v>
      </c>
      <c r="P132" t="s">
        <v>85</v>
      </c>
    </row>
    <row r="133" spans="1:16" hidden="1" x14ac:dyDescent="0.25">
      <c r="A133" t="s">
        <v>800</v>
      </c>
      <c r="B133" t="s">
        <v>327</v>
      </c>
      <c r="C133" t="s">
        <v>328</v>
      </c>
      <c r="D133" t="s">
        <v>581</v>
      </c>
      <c r="E133" t="s">
        <v>74</v>
      </c>
      <c r="F133" t="s">
        <v>1273</v>
      </c>
      <c r="G133" t="s">
        <v>1284</v>
      </c>
      <c r="H133">
        <v>500</v>
      </c>
      <c r="J133">
        <v>5500</v>
      </c>
      <c r="K133" t="s">
        <v>100</v>
      </c>
      <c r="L133">
        <v>55</v>
      </c>
      <c r="M133" t="s">
        <v>2219</v>
      </c>
      <c r="N133" t="s">
        <v>131</v>
      </c>
      <c r="O133" t="s">
        <v>549</v>
      </c>
      <c r="P133" t="s">
        <v>85</v>
      </c>
    </row>
    <row r="134" spans="1:16" hidden="1" x14ac:dyDescent="0.25">
      <c r="A134" t="s">
        <v>800</v>
      </c>
      <c r="B134" t="s">
        <v>327</v>
      </c>
      <c r="C134" t="s">
        <v>328</v>
      </c>
      <c r="D134" t="s">
        <v>581</v>
      </c>
      <c r="E134" t="s">
        <v>74</v>
      </c>
      <c r="F134" t="s">
        <v>1273</v>
      </c>
      <c r="G134" t="s">
        <v>1282</v>
      </c>
      <c r="H134">
        <v>60</v>
      </c>
      <c r="J134">
        <v>5500</v>
      </c>
      <c r="K134" t="s">
        <v>100</v>
      </c>
      <c r="L134">
        <v>55</v>
      </c>
      <c r="M134" t="s">
        <v>2219</v>
      </c>
      <c r="N134" t="s">
        <v>131</v>
      </c>
      <c r="O134" t="s">
        <v>549</v>
      </c>
      <c r="P134" t="s">
        <v>85</v>
      </c>
    </row>
    <row r="135" spans="1:16" hidden="1" x14ac:dyDescent="0.25">
      <c r="A135" t="s">
        <v>800</v>
      </c>
      <c r="B135" t="s">
        <v>327</v>
      </c>
      <c r="C135" t="s">
        <v>328</v>
      </c>
      <c r="D135" t="s">
        <v>581</v>
      </c>
      <c r="E135" t="s">
        <v>74</v>
      </c>
      <c r="F135" t="s">
        <v>1273</v>
      </c>
      <c r="G135" t="s">
        <v>1281</v>
      </c>
      <c r="H135">
        <v>25</v>
      </c>
      <c r="J135">
        <v>5500</v>
      </c>
      <c r="K135" t="s">
        <v>100</v>
      </c>
      <c r="L135">
        <v>55</v>
      </c>
      <c r="M135" t="s">
        <v>2219</v>
      </c>
      <c r="N135" t="s">
        <v>131</v>
      </c>
      <c r="O135" t="s">
        <v>549</v>
      </c>
      <c r="P135" t="s">
        <v>85</v>
      </c>
    </row>
    <row r="136" spans="1:16" hidden="1" x14ac:dyDescent="0.25">
      <c r="A136" t="s">
        <v>800</v>
      </c>
      <c r="B136" t="s">
        <v>327</v>
      </c>
      <c r="C136" t="s">
        <v>328</v>
      </c>
      <c r="D136" t="s">
        <v>581</v>
      </c>
      <c r="E136" t="s">
        <v>74</v>
      </c>
      <c r="F136" t="s">
        <v>1273</v>
      </c>
      <c r="G136" t="s">
        <v>167</v>
      </c>
      <c r="H136">
        <v>760</v>
      </c>
      <c r="J136">
        <v>5500</v>
      </c>
      <c r="K136" t="s">
        <v>100</v>
      </c>
      <c r="L136">
        <v>55</v>
      </c>
      <c r="M136" t="s">
        <v>2219</v>
      </c>
      <c r="N136" t="s">
        <v>131</v>
      </c>
      <c r="O136" t="s">
        <v>549</v>
      </c>
      <c r="P136" t="s">
        <v>85</v>
      </c>
    </row>
    <row r="137" spans="1:16" hidden="1" x14ac:dyDescent="0.25">
      <c r="A137" t="s">
        <v>800</v>
      </c>
      <c r="B137" t="s">
        <v>325</v>
      </c>
      <c r="C137" t="s">
        <v>326</v>
      </c>
      <c r="D137" t="s">
        <v>581</v>
      </c>
      <c r="E137" t="s">
        <v>74</v>
      </c>
      <c r="F137" t="s">
        <v>1203</v>
      </c>
      <c r="G137" t="s">
        <v>2186</v>
      </c>
      <c r="H137">
        <v>500</v>
      </c>
      <c r="I137" t="s">
        <v>2191</v>
      </c>
      <c r="J137">
        <v>5511</v>
      </c>
      <c r="K137" t="s">
        <v>106</v>
      </c>
      <c r="L137">
        <v>55</v>
      </c>
      <c r="M137" t="s">
        <v>2219</v>
      </c>
      <c r="N137" t="s">
        <v>131</v>
      </c>
      <c r="O137" t="s">
        <v>549</v>
      </c>
      <c r="P137" t="s">
        <v>85</v>
      </c>
    </row>
    <row r="138" spans="1:16" hidden="1" x14ac:dyDescent="0.25">
      <c r="A138" t="s">
        <v>800</v>
      </c>
      <c r="B138" t="s">
        <v>325</v>
      </c>
      <c r="C138" t="s">
        <v>326</v>
      </c>
      <c r="D138" t="s">
        <v>581</v>
      </c>
      <c r="E138" t="s">
        <v>74</v>
      </c>
      <c r="F138" t="s">
        <v>1203</v>
      </c>
      <c r="G138" t="s">
        <v>1199</v>
      </c>
      <c r="H138">
        <v>5000</v>
      </c>
      <c r="I138" t="s">
        <v>2187</v>
      </c>
      <c r="J138">
        <v>5511</v>
      </c>
      <c r="K138" t="s">
        <v>106</v>
      </c>
      <c r="L138">
        <v>55</v>
      </c>
      <c r="M138" t="s">
        <v>2219</v>
      </c>
      <c r="N138" t="s">
        <v>131</v>
      </c>
      <c r="O138" t="s">
        <v>549</v>
      </c>
      <c r="P138" t="s">
        <v>85</v>
      </c>
    </row>
    <row r="139" spans="1:16" hidden="1" x14ac:dyDescent="0.25">
      <c r="A139" t="s">
        <v>800</v>
      </c>
      <c r="B139" t="s">
        <v>325</v>
      </c>
      <c r="C139" t="s">
        <v>326</v>
      </c>
      <c r="D139" t="s">
        <v>581</v>
      </c>
      <c r="E139" t="s">
        <v>74</v>
      </c>
      <c r="F139" t="s">
        <v>1203</v>
      </c>
      <c r="G139" t="s">
        <v>1249</v>
      </c>
      <c r="H139">
        <v>200</v>
      </c>
      <c r="J139">
        <v>5514</v>
      </c>
      <c r="K139" t="s">
        <v>110</v>
      </c>
      <c r="L139">
        <v>55</v>
      </c>
      <c r="M139" t="s">
        <v>2219</v>
      </c>
      <c r="N139" t="s">
        <v>131</v>
      </c>
      <c r="O139" t="s">
        <v>549</v>
      </c>
      <c r="P139" t="s">
        <v>85</v>
      </c>
    </row>
    <row r="140" spans="1:16" hidden="1" x14ac:dyDescent="0.25">
      <c r="A140" t="s">
        <v>800</v>
      </c>
      <c r="B140" t="s">
        <v>325</v>
      </c>
      <c r="C140" t="s">
        <v>326</v>
      </c>
      <c r="D140" t="s">
        <v>581</v>
      </c>
      <c r="E140" t="s">
        <v>74</v>
      </c>
      <c r="F140" t="s">
        <v>1203</v>
      </c>
      <c r="G140" t="s">
        <v>1247</v>
      </c>
      <c r="H140">
        <v>350</v>
      </c>
      <c r="I140" t="s">
        <v>1248</v>
      </c>
      <c r="J140">
        <v>5514</v>
      </c>
      <c r="K140" t="s">
        <v>110</v>
      </c>
      <c r="L140">
        <v>55</v>
      </c>
      <c r="M140" t="s">
        <v>2219</v>
      </c>
      <c r="N140" t="s">
        <v>131</v>
      </c>
      <c r="O140" t="s">
        <v>549</v>
      </c>
      <c r="P140" t="s">
        <v>85</v>
      </c>
    </row>
    <row r="141" spans="1:16" hidden="1" x14ac:dyDescent="0.25">
      <c r="A141" t="s">
        <v>800</v>
      </c>
      <c r="B141" t="s">
        <v>325</v>
      </c>
      <c r="C141" t="s">
        <v>326</v>
      </c>
      <c r="D141" t="s">
        <v>581</v>
      </c>
      <c r="E141" t="s">
        <v>74</v>
      </c>
      <c r="F141" t="s">
        <v>1203</v>
      </c>
      <c r="G141" t="s">
        <v>1246</v>
      </c>
      <c r="H141">
        <v>850</v>
      </c>
      <c r="J141">
        <v>5514</v>
      </c>
      <c r="K141" t="s">
        <v>110</v>
      </c>
      <c r="L141">
        <v>55</v>
      </c>
      <c r="M141" t="s">
        <v>2219</v>
      </c>
      <c r="N141" t="s">
        <v>131</v>
      </c>
      <c r="O141" t="s">
        <v>549</v>
      </c>
      <c r="P141" t="s">
        <v>85</v>
      </c>
    </row>
    <row r="142" spans="1:16" hidden="1" x14ac:dyDescent="0.25">
      <c r="A142" t="s">
        <v>800</v>
      </c>
      <c r="B142" t="s">
        <v>325</v>
      </c>
      <c r="C142" t="s">
        <v>326</v>
      </c>
      <c r="D142" t="s">
        <v>581</v>
      </c>
      <c r="E142" t="s">
        <v>74</v>
      </c>
      <c r="F142" t="s">
        <v>1203</v>
      </c>
      <c r="G142" t="s">
        <v>1242</v>
      </c>
      <c r="H142">
        <v>3000</v>
      </c>
      <c r="I142" t="s">
        <v>1243</v>
      </c>
      <c r="J142">
        <v>5511</v>
      </c>
      <c r="K142" t="s">
        <v>106</v>
      </c>
      <c r="L142">
        <v>55</v>
      </c>
      <c r="M142" t="s">
        <v>2219</v>
      </c>
      <c r="N142" t="s">
        <v>131</v>
      </c>
      <c r="O142" t="s">
        <v>549</v>
      </c>
      <c r="P142" t="s">
        <v>85</v>
      </c>
    </row>
    <row r="143" spans="1:16" hidden="1" x14ac:dyDescent="0.25">
      <c r="A143" t="s">
        <v>800</v>
      </c>
      <c r="B143" t="s">
        <v>325</v>
      </c>
      <c r="C143" t="s">
        <v>326</v>
      </c>
      <c r="D143" t="s">
        <v>581</v>
      </c>
      <c r="E143" t="s">
        <v>74</v>
      </c>
      <c r="F143" t="s">
        <v>1203</v>
      </c>
      <c r="G143" t="s">
        <v>1240</v>
      </c>
      <c r="H143">
        <v>4000</v>
      </c>
      <c r="I143" t="s">
        <v>1241</v>
      </c>
      <c r="J143">
        <v>5511</v>
      </c>
      <c r="K143" t="s">
        <v>106</v>
      </c>
      <c r="L143">
        <v>55</v>
      </c>
      <c r="M143" t="s">
        <v>2219</v>
      </c>
      <c r="N143" t="s">
        <v>131</v>
      </c>
      <c r="O143" t="s">
        <v>549</v>
      </c>
      <c r="P143" t="s">
        <v>85</v>
      </c>
    </row>
    <row r="144" spans="1:16" hidden="1" x14ac:dyDescent="0.25">
      <c r="A144" t="s">
        <v>800</v>
      </c>
      <c r="B144" t="s">
        <v>325</v>
      </c>
      <c r="C144" t="s">
        <v>326</v>
      </c>
      <c r="D144" t="s">
        <v>581</v>
      </c>
      <c r="E144" t="s">
        <v>74</v>
      </c>
      <c r="F144" t="s">
        <v>1203</v>
      </c>
      <c r="G144" t="s">
        <v>1238</v>
      </c>
      <c r="H144">
        <v>200</v>
      </c>
      <c r="I144" t="s">
        <v>1239</v>
      </c>
      <c r="J144">
        <v>5511</v>
      </c>
      <c r="K144" t="s">
        <v>106</v>
      </c>
      <c r="L144">
        <v>55</v>
      </c>
      <c r="M144" t="s">
        <v>2219</v>
      </c>
      <c r="N144" t="s">
        <v>131</v>
      </c>
      <c r="O144" t="s">
        <v>549</v>
      </c>
      <c r="P144" t="s">
        <v>85</v>
      </c>
    </row>
    <row r="145" spans="1:16" hidden="1" x14ac:dyDescent="0.25">
      <c r="A145" t="s">
        <v>800</v>
      </c>
      <c r="B145" t="s">
        <v>325</v>
      </c>
      <c r="C145" t="s">
        <v>326</v>
      </c>
      <c r="D145" t="s">
        <v>581</v>
      </c>
      <c r="E145" t="s">
        <v>74</v>
      </c>
      <c r="F145" t="s">
        <v>1203</v>
      </c>
      <c r="G145" t="s">
        <v>1236</v>
      </c>
      <c r="H145">
        <v>192</v>
      </c>
      <c r="I145" t="s">
        <v>1237</v>
      </c>
      <c r="J145">
        <v>5511</v>
      </c>
      <c r="K145" t="s">
        <v>106</v>
      </c>
      <c r="L145">
        <v>55</v>
      </c>
      <c r="M145" t="s">
        <v>2219</v>
      </c>
      <c r="N145" t="s">
        <v>131</v>
      </c>
      <c r="O145" t="s">
        <v>549</v>
      </c>
      <c r="P145" t="s">
        <v>85</v>
      </c>
    </row>
    <row r="146" spans="1:16" hidden="1" x14ac:dyDescent="0.25">
      <c r="A146" t="s">
        <v>800</v>
      </c>
      <c r="B146" t="s">
        <v>325</v>
      </c>
      <c r="C146" t="s">
        <v>326</v>
      </c>
      <c r="D146" t="s">
        <v>581</v>
      </c>
      <c r="E146" t="s">
        <v>74</v>
      </c>
      <c r="F146" t="s">
        <v>1203</v>
      </c>
      <c r="G146" t="s">
        <v>1234</v>
      </c>
      <c r="H146">
        <v>1200</v>
      </c>
      <c r="I146" t="s">
        <v>1235</v>
      </c>
      <c r="J146">
        <v>5511</v>
      </c>
      <c r="K146" t="s">
        <v>106</v>
      </c>
      <c r="L146">
        <v>55</v>
      </c>
      <c r="M146" t="s">
        <v>2219</v>
      </c>
      <c r="N146" t="s">
        <v>131</v>
      </c>
      <c r="O146" t="s">
        <v>549</v>
      </c>
      <c r="P146" t="s">
        <v>85</v>
      </c>
    </row>
    <row r="147" spans="1:16" hidden="1" x14ac:dyDescent="0.25">
      <c r="A147" t="s">
        <v>800</v>
      </c>
      <c r="B147" t="s">
        <v>325</v>
      </c>
      <c r="C147" t="s">
        <v>326</v>
      </c>
      <c r="D147" t="s">
        <v>581</v>
      </c>
      <c r="E147" t="s">
        <v>74</v>
      </c>
      <c r="F147" t="s">
        <v>1203</v>
      </c>
      <c r="G147" t="s">
        <v>1232</v>
      </c>
      <c r="H147">
        <v>460</v>
      </c>
      <c r="I147" t="s">
        <v>1233</v>
      </c>
      <c r="J147">
        <v>5511</v>
      </c>
      <c r="K147" t="s">
        <v>106</v>
      </c>
      <c r="L147">
        <v>55</v>
      </c>
      <c r="M147" t="s">
        <v>2219</v>
      </c>
      <c r="N147" t="s">
        <v>131</v>
      </c>
      <c r="O147" t="s">
        <v>549</v>
      </c>
      <c r="P147" t="s">
        <v>85</v>
      </c>
    </row>
    <row r="148" spans="1:16" hidden="1" x14ac:dyDescent="0.25">
      <c r="A148" t="s">
        <v>800</v>
      </c>
      <c r="B148" t="s">
        <v>325</v>
      </c>
      <c r="C148" t="s">
        <v>326</v>
      </c>
      <c r="D148" t="s">
        <v>581</v>
      </c>
      <c r="E148" t="s">
        <v>74</v>
      </c>
      <c r="F148" t="s">
        <v>1203</v>
      </c>
      <c r="G148" t="s">
        <v>1230</v>
      </c>
      <c r="H148">
        <v>1020</v>
      </c>
      <c r="I148" t="s">
        <v>1231</v>
      </c>
      <c r="J148">
        <v>5511</v>
      </c>
      <c r="K148" t="s">
        <v>106</v>
      </c>
      <c r="L148">
        <v>55</v>
      </c>
      <c r="M148" t="s">
        <v>2219</v>
      </c>
      <c r="N148" t="s">
        <v>131</v>
      </c>
      <c r="O148" t="s">
        <v>549</v>
      </c>
      <c r="P148" t="s">
        <v>85</v>
      </c>
    </row>
    <row r="149" spans="1:16" hidden="1" x14ac:dyDescent="0.25">
      <c r="A149" t="s">
        <v>800</v>
      </c>
      <c r="B149" t="s">
        <v>325</v>
      </c>
      <c r="C149" t="s">
        <v>326</v>
      </c>
      <c r="D149" t="s">
        <v>581</v>
      </c>
      <c r="E149" t="s">
        <v>74</v>
      </c>
      <c r="F149" t="s">
        <v>1203</v>
      </c>
      <c r="G149" t="s">
        <v>1059</v>
      </c>
      <c r="H149">
        <v>360</v>
      </c>
      <c r="I149" t="s">
        <v>1229</v>
      </c>
      <c r="J149">
        <v>5511</v>
      </c>
      <c r="K149" t="s">
        <v>106</v>
      </c>
      <c r="L149">
        <v>55</v>
      </c>
      <c r="M149" t="s">
        <v>2219</v>
      </c>
      <c r="N149" t="s">
        <v>131</v>
      </c>
      <c r="O149" t="s">
        <v>549</v>
      </c>
      <c r="P149" t="s">
        <v>85</v>
      </c>
    </row>
    <row r="150" spans="1:16" hidden="1" x14ac:dyDescent="0.25">
      <c r="A150" t="s">
        <v>800</v>
      </c>
      <c r="B150" t="s">
        <v>325</v>
      </c>
      <c r="C150" t="s">
        <v>326</v>
      </c>
      <c r="D150" t="s">
        <v>581</v>
      </c>
      <c r="E150" t="s">
        <v>74</v>
      </c>
      <c r="F150" t="s">
        <v>1203</v>
      </c>
      <c r="G150" t="s">
        <v>943</v>
      </c>
      <c r="H150">
        <v>6000</v>
      </c>
      <c r="I150" t="s">
        <v>1157</v>
      </c>
      <c r="J150">
        <v>5511</v>
      </c>
      <c r="K150" t="s">
        <v>106</v>
      </c>
      <c r="L150">
        <v>55</v>
      </c>
      <c r="M150" t="s">
        <v>2219</v>
      </c>
      <c r="N150" t="s">
        <v>131</v>
      </c>
      <c r="O150" t="s">
        <v>549</v>
      </c>
      <c r="P150" t="s">
        <v>85</v>
      </c>
    </row>
    <row r="151" spans="1:16" hidden="1" x14ac:dyDescent="0.25">
      <c r="A151" t="s">
        <v>800</v>
      </c>
      <c r="B151" t="s">
        <v>325</v>
      </c>
      <c r="C151" t="s">
        <v>326</v>
      </c>
      <c r="D151" t="s">
        <v>581</v>
      </c>
      <c r="E151" t="s">
        <v>74</v>
      </c>
      <c r="F151" t="s">
        <v>1203</v>
      </c>
      <c r="G151" t="s">
        <v>1129</v>
      </c>
      <c r="H151">
        <v>2500</v>
      </c>
      <c r="I151" t="s">
        <v>1228</v>
      </c>
      <c r="J151">
        <v>5511</v>
      </c>
      <c r="K151" t="s">
        <v>106</v>
      </c>
      <c r="L151">
        <v>55</v>
      </c>
      <c r="M151" t="s">
        <v>2219</v>
      </c>
      <c r="N151" t="s">
        <v>131</v>
      </c>
      <c r="O151" t="s">
        <v>549</v>
      </c>
      <c r="P151" t="s">
        <v>85</v>
      </c>
    </row>
    <row r="152" spans="1:16" hidden="1" x14ac:dyDescent="0.25">
      <c r="A152" t="s">
        <v>800</v>
      </c>
      <c r="B152" t="s">
        <v>325</v>
      </c>
      <c r="C152" t="s">
        <v>326</v>
      </c>
      <c r="D152" t="s">
        <v>581</v>
      </c>
      <c r="E152" t="s">
        <v>74</v>
      </c>
      <c r="F152" t="s">
        <v>1203</v>
      </c>
      <c r="G152" t="s">
        <v>1226</v>
      </c>
      <c r="H152">
        <v>18000</v>
      </c>
      <c r="I152" t="s">
        <v>1227</v>
      </c>
      <c r="J152">
        <v>5511</v>
      </c>
      <c r="K152" t="s">
        <v>106</v>
      </c>
      <c r="L152">
        <v>55</v>
      </c>
      <c r="M152" t="s">
        <v>2219</v>
      </c>
      <c r="N152" t="s">
        <v>131</v>
      </c>
      <c r="O152" t="s">
        <v>549</v>
      </c>
      <c r="P152" t="s">
        <v>85</v>
      </c>
    </row>
    <row r="153" spans="1:16" hidden="1" x14ac:dyDescent="0.25">
      <c r="A153" t="s">
        <v>800</v>
      </c>
      <c r="B153" t="s">
        <v>325</v>
      </c>
      <c r="C153" t="s">
        <v>326</v>
      </c>
      <c r="D153" t="s">
        <v>581</v>
      </c>
      <c r="E153" t="s">
        <v>74</v>
      </c>
      <c r="F153" t="s">
        <v>1203</v>
      </c>
      <c r="G153" t="s">
        <v>1263</v>
      </c>
      <c r="H153">
        <v>2000</v>
      </c>
      <c r="I153" t="s">
        <v>1264</v>
      </c>
      <c r="J153">
        <v>5525</v>
      </c>
      <c r="K153" t="s">
        <v>118</v>
      </c>
      <c r="L153">
        <v>55</v>
      </c>
      <c r="M153" t="s">
        <v>2219</v>
      </c>
      <c r="N153" t="s">
        <v>131</v>
      </c>
      <c r="O153" t="s">
        <v>549</v>
      </c>
      <c r="P153" t="s">
        <v>85</v>
      </c>
    </row>
    <row r="154" spans="1:16" hidden="1" x14ac:dyDescent="0.25">
      <c r="A154" t="s">
        <v>800</v>
      </c>
      <c r="B154" t="s">
        <v>325</v>
      </c>
      <c r="C154" t="s">
        <v>326</v>
      </c>
      <c r="D154" t="s">
        <v>581</v>
      </c>
      <c r="E154" t="s">
        <v>74</v>
      </c>
      <c r="F154" t="s">
        <v>1203</v>
      </c>
      <c r="G154" t="s">
        <v>1261</v>
      </c>
      <c r="H154">
        <v>2000</v>
      </c>
      <c r="I154" t="s">
        <v>1262</v>
      </c>
      <c r="J154">
        <v>5525</v>
      </c>
      <c r="K154" t="s">
        <v>118</v>
      </c>
      <c r="L154">
        <v>55</v>
      </c>
      <c r="M154" t="s">
        <v>2219</v>
      </c>
      <c r="N154" t="s">
        <v>131</v>
      </c>
      <c r="O154" t="s">
        <v>549</v>
      </c>
      <c r="P154" t="s">
        <v>85</v>
      </c>
    </row>
    <row r="155" spans="1:16" hidden="1" x14ac:dyDescent="0.25">
      <c r="A155" t="s">
        <v>800</v>
      </c>
      <c r="B155" t="s">
        <v>325</v>
      </c>
      <c r="C155" t="s">
        <v>326</v>
      </c>
      <c r="D155" t="s">
        <v>581</v>
      </c>
      <c r="E155" t="s">
        <v>74</v>
      </c>
      <c r="F155" t="s">
        <v>1203</v>
      </c>
      <c r="G155" t="s">
        <v>1260</v>
      </c>
      <c r="H155">
        <v>4400</v>
      </c>
      <c r="J155">
        <v>5524</v>
      </c>
      <c r="K155" t="s">
        <v>117</v>
      </c>
      <c r="L155">
        <v>55</v>
      </c>
      <c r="M155" t="s">
        <v>2219</v>
      </c>
      <c r="N155" t="s">
        <v>131</v>
      </c>
      <c r="O155" t="s">
        <v>549</v>
      </c>
      <c r="P155" t="s">
        <v>85</v>
      </c>
    </row>
    <row r="156" spans="1:16" hidden="1" x14ac:dyDescent="0.25">
      <c r="A156" t="s">
        <v>800</v>
      </c>
      <c r="B156" t="s">
        <v>325</v>
      </c>
      <c r="C156" t="s">
        <v>326</v>
      </c>
      <c r="D156" t="s">
        <v>581</v>
      </c>
      <c r="E156" t="s">
        <v>74</v>
      </c>
      <c r="F156" t="s">
        <v>1203</v>
      </c>
      <c r="G156" t="s">
        <v>1259</v>
      </c>
      <c r="H156">
        <v>4400</v>
      </c>
      <c r="J156">
        <v>5524</v>
      </c>
      <c r="K156" t="s">
        <v>117</v>
      </c>
      <c r="L156">
        <v>55</v>
      </c>
      <c r="M156" t="s">
        <v>2219</v>
      </c>
      <c r="N156" t="s">
        <v>131</v>
      </c>
      <c r="O156" t="s">
        <v>549</v>
      </c>
      <c r="P156" t="s">
        <v>85</v>
      </c>
    </row>
    <row r="157" spans="1:16" hidden="1" x14ac:dyDescent="0.25">
      <c r="A157" t="s">
        <v>800</v>
      </c>
      <c r="B157" t="s">
        <v>325</v>
      </c>
      <c r="C157" t="s">
        <v>326</v>
      </c>
      <c r="D157" t="s">
        <v>581</v>
      </c>
      <c r="E157" t="s">
        <v>74</v>
      </c>
      <c r="F157" t="s">
        <v>1203</v>
      </c>
      <c r="G157" t="s">
        <v>1258</v>
      </c>
      <c r="H157">
        <v>500</v>
      </c>
      <c r="J157">
        <v>5523</v>
      </c>
      <c r="K157" t="s">
        <v>116</v>
      </c>
      <c r="L157">
        <v>55</v>
      </c>
      <c r="M157" t="s">
        <v>2219</v>
      </c>
      <c r="N157" t="s">
        <v>131</v>
      </c>
      <c r="O157" t="s">
        <v>549</v>
      </c>
      <c r="P157" t="s">
        <v>85</v>
      </c>
    </row>
    <row r="158" spans="1:16" hidden="1" x14ac:dyDescent="0.25">
      <c r="A158" t="s">
        <v>800</v>
      </c>
      <c r="B158" t="s">
        <v>325</v>
      </c>
      <c r="C158" t="s">
        <v>326</v>
      </c>
      <c r="D158" t="s">
        <v>581</v>
      </c>
      <c r="E158" t="s">
        <v>74</v>
      </c>
      <c r="F158" t="s">
        <v>1203</v>
      </c>
      <c r="G158" t="s">
        <v>1257</v>
      </c>
      <c r="H158">
        <v>500</v>
      </c>
      <c r="J158">
        <v>5523</v>
      </c>
      <c r="K158" t="s">
        <v>116</v>
      </c>
      <c r="L158">
        <v>55</v>
      </c>
      <c r="M158" t="s">
        <v>2219</v>
      </c>
      <c r="N158" t="s">
        <v>131</v>
      </c>
      <c r="O158" t="s">
        <v>549</v>
      </c>
      <c r="P158" t="s">
        <v>85</v>
      </c>
    </row>
    <row r="159" spans="1:16" hidden="1" x14ac:dyDescent="0.25">
      <c r="A159" t="s">
        <v>800</v>
      </c>
      <c r="B159" t="s">
        <v>325</v>
      </c>
      <c r="C159" t="s">
        <v>326</v>
      </c>
      <c r="D159" t="s">
        <v>581</v>
      </c>
      <c r="E159" t="s">
        <v>74</v>
      </c>
      <c r="F159" t="s">
        <v>1203</v>
      </c>
      <c r="G159" t="s">
        <v>1255</v>
      </c>
      <c r="H159">
        <v>200</v>
      </c>
      <c r="I159" t="s">
        <v>1256</v>
      </c>
      <c r="J159">
        <v>5522</v>
      </c>
      <c r="K159" t="s">
        <v>115</v>
      </c>
      <c r="L159">
        <v>55</v>
      </c>
      <c r="M159" t="s">
        <v>2219</v>
      </c>
      <c r="N159" t="s">
        <v>131</v>
      </c>
      <c r="O159" t="s">
        <v>549</v>
      </c>
      <c r="P159" t="s">
        <v>85</v>
      </c>
    </row>
    <row r="160" spans="1:16" hidden="1" x14ac:dyDescent="0.25">
      <c r="A160" t="s">
        <v>800</v>
      </c>
      <c r="B160" t="s">
        <v>325</v>
      </c>
      <c r="C160" t="s">
        <v>326</v>
      </c>
      <c r="D160" t="s">
        <v>581</v>
      </c>
      <c r="E160" t="s">
        <v>74</v>
      </c>
      <c r="F160" t="s">
        <v>1203</v>
      </c>
      <c r="G160" t="s">
        <v>1253</v>
      </c>
      <c r="H160">
        <v>300</v>
      </c>
      <c r="I160" t="s">
        <v>1254</v>
      </c>
      <c r="J160">
        <v>5522</v>
      </c>
      <c r="K160" t="s">
        <v>115</v>
      </c>
      <c r="L160">
        <v>55</v>
      </c>
      <c r="M160" t="s">
        <v>2219</v>
      </c>
      <c r="N160" t="s">
        <v>131</v>
      </c>
      <c r="O160" t="s">
        <v>549</v>
      </c>
      <c r="P160" t="s">
        <v>85</v>
      </c>
    </row>
    <row r="161" spans="1:16" hidden="1" x14ac:dyDescent="0.25">
      <c r="A161" t="s">
        <v>800</v>
      </c>
      <c r="B161" t="s">
        <v>325</v>
      </c>
      <c r="C161" t="s">
        <v>326</v>
      </c>
      <c r="D161" t="s">
        <v>581</v>
      </c>
      <c r="E161" t="s">
        <v>74</v>
      </c>
      <c r="F161" t="s">
        <v>1203</v>
      </c>
      <c r="G161" t="s">
        <v>1252</v>
      </c>
      <c r="H161">
        <v>22000</v>
      </c>
      <c r="J161">
        <v>5521</v>
      </c>
      <c r="K161" t="s">
        <v>114</v>
      </c>
      <c r="L161">
        <v>55</v>
      </c>
      <c r="M161" t="s">
        <v>2219</v>
      </c>
      <c r="N161" t="s">
        <v>131</v>
      </c>
      <c r="O161" t="s">
        <v>549</v>
      </c>
      <c r="P161" t="s">
        <v>85</v>
      </c>
    </row>
    <row r="162" spans="1:16" hidden="1" x14ac:dyDescent="0.25">
      <c r="A162" t="s">
        <v>800</v>
      </c>
      <c r="B162" t="s">
        <v>325</v>
      </c>
      <c r="C162" t="s">
        <v>326</v>
      </c>
      <c r="D162" t="s">
        <v>581</v>
      </c>
      <c r="E162" t="s">
        <v>74</v>
      </c>
      <c r="F162" t="s">
        <v>1203</v>
      </c>
      <c r="G162" t="s">
        <v>1251</v>
      </c>
      <c r="H162">
        <v>1000</v>
      </c>
      <c r="J162">
        <v>5515</v>
      </c>
      <c r="K162" t="s">
        <v>112</v>
      </c>
      <c r="L162">
        <v>55</v>
      </c>
      <c r="M162" t="s">
        <v>2219</v>
      </c>
      <c r="N162" t="s">
        <v>131</v>
      </c>
      <c r="O162" t="s">
        <v>549</v>
      </c>
      <c r="P162" t="s">
        <v>85</v>
      </c>
    </row>
    <row r="163" spans="1:16" hidden="1" x14ac:dyDescent="0.25">
      <c r="A163" t="s">
        <v>800</v>
      </c>
      <c r="B163" t="s">
        <v>325</v>
      </c>
      <c r="C163" t="s">
        <v>326</v>
      </c>
      <c r="D163" t="s">
        <v>581</v>
      </c>
      <c r="E163" t="s">
        <v>74</v>
      </c>
      <c r="F163" t="s">
        <v>1203</v>
      </c>
      <c r="G163" t="s">
        <v>1250</v>
      </c>
      <c r="H163">
        <v>1500</v>
      </c>
      <c r="J163">
        <v>5515</v>
      </c>
      <c r="K163" t="s">
        <v>112</v>
      </c>
      <c r="L163">
        <v>55</v>
      </c>
      <c r="M163" t="s">
        <v>2219</v>
      </c>
      <c r="N163" t="s">
        <v>131</v>
      </c>
      <c r="O163" t="s">
        <v>549</v>
      </c>
      <c r="P163" t="s">
        <v>85</v>
      </c>
    </row>
    <row r="164" spans="1:16" hidden="1" x14ac:dyDescent="0.25">
      <c r="A164" t="s">
        <v>800</v>
      </c>
      <c r="B164" t="s">
        <v>325</v>
      </c>
      <c r="C164" t="s">
        <v>326</v>
      </c>
      <c r="D164" t="s">
        <v>581</v>
      </c>
      <c r="E164" t="s">
        <v>74</v>
      </c>
      <c r="F164" t="s">
        <v>1203</v>
      </c>
      <c r="G164" t="s">
        <v>1244</v>
      </c>
      <c r="H164">
        <v>1536</v>
      </c>
      <c r="I164" t="s">
        <v>1245</v>
      </c>
      <c r="J164">
        <v>5513</v>
      </c>
      <c r="K164" t="s">
        <v>111</v>
      </c>
      <c r="L164">
        <v>55</v>
      </c>
      <c r="M164" t="s">
        <v>2219</v>
      </c>
      <c r="N164" t="s">
        <v>131</v>
      </c>
      <c r="O164" t="s">
        <v>549</v>
      </c>
      <c r="P164" t="s">
        <v>85</v>
      </c>
    </row>
    <row r="165" spans="1:16" hidden="1" x14ac:dyDescent="0.25">
      <c r="A165" t="s">
        <v>800</v>
      </c>
      <c r="B165" t="s">
        <v>325</v>
      </c>
      <c r="C165" t="s">
        <v>326</v>
      </c>
      <c r="D165" t="s">
        <v>581</v>
      </c>
      <c r="E165" t="s">
        <v>74</v>
      </c>
      <c r="F165" t="s">
        <v>1203</v>
      </c>
      <c r="G165" t="s">
        <v>1224</v>
      </c>
      <c r="H165">
        <v>300</v>
      </c>
      <c r="I165" t="s">
        <v>1225</v>
      </c>
      <c r="J165">
        <v>5504</v>
      </c>
      <c r="K165" t="s">
        <v>102</v>
      </c>
      <c r="L165">
        <v>55</v>
      </c>
      <c r="M165" t="s">
        <v>2219</v>
      </c>
      <c r="N165" t="s">
        <v>131</v>
      </c>
      <c r="O165" t="s">
        <v>549</v>
      </c>
      <c r="P165" t="s">
        <v>85</v>
      </c>
    </row>
    <row r="166" spans="1:16" hidden="1" x14ac:dyDescent="0.25">
      <c r="A166" t="s">
        <v>800</v>
      </c>
      <c r="B166" t="s">
        <v>325</v>
      </c>
      <c r="C166" t="s">
        <v>326</v>
      </c>
      <c r="D166" t="s">
        <v>581</v>
      </c>
      <c r="E166" t="s">
        <v>74</v>
      </c>
      <c r="F166" t="s">
        <v>1203</v>
      </c>
      <c r="G166" t="s">
        <v>1223</v>
      </c>
      <c r="H166">
        <v>300</v>
      </c>
      <c r="J166">
        <v>5504</v>
      </c>
      <c r="K166" t="s">
        <v>102</v>
      </c>
      <c r="L166">
        <v>55</v>
      </c>
      <c r="M166" t="s">
        <v>2219</v>
      </c>
      <c r="N166" t="s">
        <v>131</v>
      </c>
      <c r="O166" t="s">
        <v>549</v>
      </c>
      <c r="P166" t="s">
        <v>85</v>
      </c>
    </row>
    <row r="167" spans="1:16" hidden="1" x14ac:dyDescent="0.25">
      <c r="A167" t="s">
        <v>800</v>
      </c>
      <c r="B167" t="s">
        <v>325</v>
      </c>
      <c r="C167" t="s">
        <v>326</v>
      </c>
      <c r="D167" t="s">
        <v>581</v>
      </c>
      <c r="E167" t="s">
        <v>74</v>
      </c>
      <c r="F167" t="s">
        <v>1203</v>
      </c>
      <c r="G167" t="s">
        <v>1222</v>
      </c>
      <c r="H167">
        <v>500</v>
      </c>
      <c r="J167">
        <v>5504</v>
      </c>
      <c r="K167" t="s">
        <v>102</v>
      </c>
      <c r="L167">
        <v>55</v>
      </c>
      <c r="M167" t="s">
        <v>2219</v>
      </c>
      <c r="N167" t="s">
        <v>131</v>
      </c>
      <c r="O167" t="s">
        <v>549</v>
      </c>
      <c r="P167" t="s">
        <v>85</v>
      </c>
    </row>
    <row r="168" spans="1:16" hidden="1" x14ac:dyDescent="0.25">
      <c r="A168" t="s">
        <v>800</v>
      </c>
      <c r="B168" t="s">
        <v>325</v>
      </c>
      <c r="C168" t="s">
        <v>326</v>
      </c>
      <c r="D168" t="s">
        <v>581</v>
      </c>
      <c r="E168" t="s">
        <v>74</v>
      </c>
      <c r="F168" t="s">
        <v>1203</v>
      </c>
      <c r="G168" t="s">
        <v>1221</v>
      </c>
      <c r="H168">
        <v>1200</v>
      </c>
      <c r="J168">
        <v>5504</v>
      </c>
      <c r="K168" t="s">
        <v>102</v>
      </c>
      <c r="L168">
        <v>55</v>
      </c>
      <c r="M168" t="s">
        <v>2219</v>
      </c>
      <c r="N168" t="s">
        <v>131</v>
      </c>
      <c r="O168" t="s">
        <v>549</v>
      </c>
      <c r="P168" t="s">
        <v>85</v>
      </c>
    </row>
    <row r="169" spans="1:16" hidden="1" x14ac:dyDescent="0.25">
      <c r="A169" t="s">
        <v>800</v>
      </c>
      <c r="B169" t="s">
        <v>325</v>
      </c>
      <c r="C169" t="s">
        <v>326</v>
      </c>
      <c r="D169" t="s">
        <v>581</v>
      </c>
      <c r="E169" t="s">
        <v>74</v>
      </c>
      <c r="F169" t="s">
        <v>1203</v>
      </c>
      <c r="G169" t="s">
        <v>1219</v>
      </c>
      <c r="H169">
        <v>450</v>
      </c>
      <c r="I169" t="s">
        <v>1220</v>
      </c>
      <c r="J169">
        <v>5500</v>
      </c>
      <c r="K169" t="s">
        <v>100</v>
      </c>
      <c r="L169">
        <v>55</v>
      </c>
      <c r="M169" t="s">
        <v>2219</v>
      </c>
      <c r="N169" t="s">
        <v>131</v>
      </c>
      <c r="O169" t="s">
        <v>549</v>
      </c>
      <c r="P169" t="s">
        <v>85</v>
      </c>
    </row>
    <row r="170" spans="1:16" hidden="1" x14ac:dyDescent="0.25">
      <c r="A170" t="s">
        <v>800</v>
      </c>
      <c r="B170" t="s">
        <v>325</v>
      </c>
      <c r="C170" t="s">
        <v>326</v>
      </c>
      <c r="D170" t="s">
        <v>581</v>
      </c>
      <c r="E170" t="s">
        <v>74</v>
      </c>
      <c r="F170" t="s">
        <v>1203</v>
      </c>
      <c r="G170" t="s">
        <v>1217</v>
      </c>
      <c r="H170">
        <v>500</v>
      </c>
      <c r="I170" t="s">
        <v>1218</v>
      </c>
      <c r="J170">
        <v>5500</v>
      </c>
      <c r="K170" t="s">
        <v>100</v>
      </c>
      <c r="L170">
        <v>55</v>
      </c>
      <c r="M170" t="s">
        <v>2219</v>
      </c>
      <c r="N170" t="s">
        <v>131</v>
      </c>
      <c r="O170" t="s">
        <v>549</v>
      </c>
      <c r="P170" t="s">
        <v>85</v>
      </c>
    </row>
    <row r="171" spans="1:16" hidden="1" x14ac:dyDescent="0.25">
      <c r="A171" t="s">
        <v>800</v>
      </c>
      <c r="B171" t="s">
        <v>325</v>
      </c>
      <c r="C171" t="s">
        <v>326</v>
      </c>
      <c r="D171" t="s">
        <v>581</v>
      </c>
      <c r="E171" t="s">
        <v>74</v>
      </c>
      <c r="F171" t="s">
        <v>1203</v>
      </c>
      <c r="G171" t="s">
        <v>1215</v>
      </c>
      <c r="H171">
        <v>800</v>
      </c>
      <c r="I171" t="s">
        <v>1216</v>
      </c>
      <c r="J171">
        <v>5500</v>
      </c>
      <c r="K171" t="s">
        <v>100</v>
      </c>
      <c r="L171">
        <v>55</v>
      </c>
      <c r="M171" t="s">
        <v>2219</v>
      </c>
      <c r="N171" t="s">
        <v>131</v>
      </c>
      <c r="O171" t="s">
        <v>549</v>
      </c>
      <c r="P171" t="s">
        <v>85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1"/>
  <sheetViews>
    <sheetView workbookViewId="0">
      <selection activeCell="D10" sqref="D10"/>
    </sheetView>
  </sheetViews>
  <sheetFormatPr defaultRowHeight="15" x14ac:dyDescent="0.25"/>
  <cols>
    <col min="1" max="1" width="40.5703125" bestFit="1" customWidth="1"/>
    <col min="2" max="2" width="15.42578125" customWidth="1"/>
    <col min="3" max="3" width="9.140625" customWidth="1"/>
    <col min="4" max="4" width="9.140625" style="7"/>
    <col min="5" max="5" width="40.5703125" bestFit="1" customWidth="1"/>
  </cols>
  <sheetData>
    <row r="3" spans="1:8" x14ac:dyDescent="0.25">
      <c r="A3" s="4" t="s">
        <v>396</v>
      </c>
      <c r="B3" t="s">
        <v>399</v>
      </c>
    </row>
    <row r="4" spans="1:8" x14ac:dyDescent="0.25">
      <c r="A4" s="5" t="s">
        <v>339</v>
      </c>
      <c r="B4" s="3">
        <v>87579</v>
      </c>
      <c r="D4" s="7">
        <f>SUM(B4:C4)</f>
        <v>87579</v>
      </c>
      <c r="E4" t="s">
        <v>342</v>
      </c>
      <c r="F4">
        <v>300145.40600000002</v>
      </c>
      <c r="G4">
        <v>101449.147228</v>
      </c>
      <c r="H4">
        <f>SUM(F4:G4)</f>
        <v>401594.553228</v>
      </c>
    </row>
    <row r="5" spans="1:8" x14ac:dyDescent="0.25">
      <c r="A5" s="5" t="s">
        <v>2170</v>
      </c>
      <c r="B5" s="3">
        <v>65655</v>
      </c>
      <c r="C5">
        <f t="shared" ref="C5:C10" si="0">VLOOKUP(A5,$E$4:$H$49,4,FALSE)</f>
        <v>72425.886480000001</v>
      </c>
      <c r="D5" s="7">
        <f t="shared" ref="D5:D10" si="1">SUM(B5:C5)</f>
        <v>138080.88647999999</v>
      </c>
      <c r="E5" t="s">
        <v>346</v>
      </c>
      <c r="F5">
        <v>874631.16599999997</v>
      </c>
      <c r="G5">
        <v>295625.33410800004</v>
      </c>
      <c r="H5">
        <f t="shared" ref="H5:H9" si="2">SUM(F5:G5)</f>
        <v>1170256.5001079999</v>
      </c>
    </row>
    <row r="6" spans="1:8" x14ac:dyDescent="0.25">
      <c r="A6" s="5" t="s">
        <v>2169</v>
      </c>
      <c r="B6" s="3">
        <v>435445</v>
      </c>
      <c r="C6">
        <f t="shared" si="0"/>
        <v>517352.46482999995</v>
      </c>
      <c r="D6" s="7">
        <f t="shared" si="1"/>
        <v>952797.46482999995</v>
      </c>
      <c r="E6" t="s">
        <v>349</v>
      </c>
      <c r="F6">
        <v>105193.4602</v>
      </c>
      <c r="G6">
        <v>35555.389547600003</v>
      </c>
      <c r="H6">
        <f t="shared" si="2"/>
        <v>140748.8497476</v>
      </c>
    </row>
    <row r="7" spans="1:8" x14ac:dyDescent="0.25">
      <c r="A7" s="5" t="s">
        <v>349</v>
      </c>
      <c r="B7" s="3">
        <v>40977</v>
      </c>
      <c r="C7">
        <f t="shared" si="0"/>
        <v>140748.8497476</v>
      </c>
      <c r="D7" s="7">
        <f t="shared" si="1"/>
        <v>181725.8497476</v>
      </c>
      <c r="E7" t="s">
        <v>344</v>
      </c>
      <c r="F7">
        <v>119616.739564</v>
      </c>
      <c r="G7">
        <v>40430.457972632008</v>
      </c>
      <c r="H7">
        <f t="shared" si="2"/>
        <v>160047.19753663201</v>
      </c>
    </row>
    <row r="8" spans="1:8" x14ac:dyDescent="0.25">
      <c r="A8" s="5" t="s">
        <v>342</v>
      </c>
      <c r="B8" s="3">
        <v>194644.4</v>
      </c>
      <c r="C8">
        <f t="shared" si="0"/>
        <v>401594.553228</v>
      </c>
      <c r="D8" s="7">
        <f t="shared" si="1"/>
        <v>596238.95322799997</v>
      </c>
      <c r="E8" t="s">
        <v>2169</v>
      </c>
      <c r="F8">
        <v>386661.03499999997</v>
      </c>
      <c r="G8">
        <v>130691.42982999999</v>
      </c>
      <c r="H8">
        <f t="shared" si="2"/>
        <v>517352.46482999995</v>
      </c>
    </row>
    <row r="9" spans="1:8" x14ac:dyDescent="0.25">
      <c r="A9" s="5" t="s">
        <v>344</v>
      </c>
      <c r="B9" s="3">
        <v>87189</v>
      </c>
      <c r="C9">
        <f t="shared" si="0"/>
        <v>160047.19753663201</v>
      </c>
      <c r="D9" s="7">
        <f t="shared" si="1"/>
        <v>247236.19753663201</v>
      </c>
      <c r="E9" t="s">
        <v>2170</v>
      </c>
      <c r="F9">
        <v>54129.96</v>
      </c>
      <c r="G9">
        <v>18295.926479999998</v>
      </c>
      <c r="H9">
        <f t="shared" si="2"/>
        <v>72425.886480000001</v>
      </c>
    </row>
    <row r="10" spans="1:8" x14ac:dyDescent="0.25">
      <c r="A10" s="5" t="s">
        <v>346</v>
      </c>
      <c r="B10" s="3">
        <v>508169</v>
      </c>
      <c r="C10">
        <f t="shared" si="0"/>
        <v>1170256.5001079999</v>
      </c>
      <c r="D10" s="7">
        <f t="shared" si="1"/>
        <v>1678425.5001079999</v>
      </c>
    </row>
    <row r="11" spans="1:8" x14ac:dyDescent="0.25">
      <c r="A11" s="5" t="s">
        <v>397</v>
      </c>
      <c r="B11" s="3">
        <v>1419658.4</v>
      </c>
      <c r="C11" s="7">
        <f>SUM(C4:C10)</f>
        <v>2462425.4519302319</v>
      </c>
      <c r="D11" s="7">
        <f>SUM(D4:D10)</f>
        <v>3882083.8519302318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8"/>
  <sheetViews>
    <sheetView workbookViewId="0">
      <selection activeCell="G41" sqref="G41"/>
    </sheetView>
  </sheetViews>
  <sheetFormatPr defaultRowHeight="15" x14ac:dyDescent="0.25"/>
  <cols>
    <col min="1" max="1" width="11.5703125" customWidth="1"/>
    <col min="2" max="2" width="13" customWidth="1"/>
    <col min="3" max="3" width="21.7109375" customWidth="1"/>
    <col min="4" max="4" width="23.28515625" customWidth="1"/>
    <col min="5" max="5" width="26.28515625" customWidth="1"/>
    <col min="6" max="6" width="21.85546875" customWidth="1"/>
    <col min="7" max="7" width="19.7109375" customWidth="1"/>
    <col min="8" max="8" width="10.85546875" customWidth="1"/>
    <col min="9" max="9" width="12" customWidth="1"/>
    <col min="11" max="11" width="16.140625" customWidth="1"/>
    <col min="12" max="12" width="15.85546875" customWidth="1"/>
    <col min="13" max="13" width="14" customWidth="1"/>
    <col min="14" max="14" width="24" customWidth="1"/>
    <col min="15" max="16" width="21" customWidth="1"/>
  </cols>
  <sheetData>
    <row r="1" spans="1:16" x14ac:dyDescent="0.25">
      <c r="A1" t="s">
        <v>7</v>
      </c>
      <c r="B1" t="s">
        <v>1</v>
      </c>
      <c r="C1" t="s">
        <v>246</v>
      </c>
      <c r="D1" t="s">
        <v>490</v>
      </c>
      <c r="E1" t="s">
        <v>67</v>
      </c>
      <c r="F1" t="s">
        <v>5</v>
      </c>
      <c r="G1" t="s">
        <v>6</v>
      </c>
      <c r="H1" t="s">
        <v>398</v>
      </c>
      <c r="I1" t="s">
        <v>165</v>
      </c>
      <c r="J1" t="s">
        <v>2</v>
      </c>
      <c r="K1" t="s">
        <v>91</v>
      </c>
      <c r="L1" t="s">
        <v>77</v>
      </c>
      <c r="M1" t="s">
        <v>9</v>
      </c>
      <c r="N1" t="s">
        <v>160</v>
      </c>
      <c r="O1" t="s">
        <v>2009</v>
      </c>
      <c r="P1" t="s">
        <v>135</v>
      </c>
    </row>
    <row r="2" spans="1:16" hidden="1" x14ac:dyDescent="0.25">
      <c r="A2" t="s">
        <v>800</v>
      </c>
      <c r="B2" t="s">
        <v>348</v>
      </c>
      <c r="C2" t="s">
        <v>349</v>
      </c>
      <c r="D2" t="s">
        <v>582</v>
      </c>
      <c r="E2" t="s">
        <v>74</v>
      </c>
      <c r="F2" t="s">
        <v>1518</v>
      </c>
      <c r="G2" t="s">
        <v>2200</v>
      </c>
      <c r="H2">
        <v>627</v>
      </c>
      <c r="I2" t="s">
        <v>2203</v>
      </c>
      <c r="J2">
        <v>5524</v>
      </c>
      <c r="K2" t="s">
        <v>117</v>
      </c>
      <c r="L2">
        <v>55</v>
      </c>
      <c r="M2" t="s">
        <v>2219</v>
      </c>
      <c r="N2" t="s">
        <v>131</v>
      </c>
      <c r="O2" t="s">
        <v>549</v>
      </c>
      <c r="P2" t="s">
        <v>85</v>
      </c>
    </row>
    <row r="3" spans="1:16" hidden="1" x14ac:dyDescent="0.25">
      <c r="A3" t="s">
        <v>800</v>
      </c>
      <c r="B3" t="s">
        <v>348</v>
      </c>
      <c r="C3" t="s">
        <v>349</v>
      </c>
      <c r="D3" t="s">
        <v>582</v>
      </c>
      <c r="E3" t="s">
        <v>74</v>
      </c>
      <c r="F3" t="s">
        <v>1518</v>
      </c>
      <c r="G3" t="s">
        <v>1528</v>
      </c>
      <c r="H3">
        <v>2500</v>
      </c>
      <c r="J3">
        <v>5514</v>
      </c>
      <c r="K3" t="s">
        <v>110</v>
      </c>
      <c r="L3">
        <v>55</v>
      </c>
      <c r="M3" t="s">
        <v>2219</v>
      </c>
      <c r="N3" t="s">
        <v>131</v>
      </c>
      <c r="O3" t="s">
        <v>549</v>
      </c>
      <c r="P3" t="s">
        <v>85</v>
      </c>
    </row>
    <row r="4" spans="1:16" hidden="1" x14ac:dyDescent="0.25">
      <c r="A4" t="s">
        <v>800</v>
      </c>
      <c r="B4" t="s">
        <v>348</v>
      </c>
      <c r="C4" t="s">
        <v>349</v>
      </c>
      <c r="D4" t="s">
        <v>582</v>
      </c>
      <c r="E4" t="s">
        <v>74</v>
      </c>
      <c r="F4" t="s">
        <v>1518</v>
      </c>
      <c r="G4" t="s">
        <v>1526</v>
      </c>
      <c r="H4">
        <v>500</v>
      </c>
      <c r="J4">
        <v>5511</v>
      </c>
      <c r="K4" t="s">
        <v>106</v>
      </c>
      <c r="L4">
        <v>55</v>
      </c>
      <c r="M4" t="s">
        <v>2219</v>
      </c>
      <c r="N4" t="s">
        <v>131</v>
      </c>
      <c r="O4" t="s">
        <v>549</v>
      </c>
      <c r="P4" t="s">
        <v>85</v>
      </c>
    </row>
    <row r="5" spans="1:16" hidden="1" x14ac:dyDescent="0.25">
      <c r="A5" t="s">
        <v>800</v>
      </c>
      <c r="B5" t="s">
        <v>348</v>
      </c>
      <c r="C5" t="s">
        <v>349</v>
      </c>
      <c r="D5" t="s">
        <v>582</v>
      </c>
      <c r="E5" t="s">
        <v>74</v>
      </c>
      <c r="F5" t="s">
        <v>1518</v>
      </c>
      <c r="G5" t="s">
        <v>1525</v>
      </c>
      <c r="H5">
        <v>500</v>
      </c>
      <c r="J5">
        <v>5511</v>
      </c>
      <c r="K5" t="s">
        <v>106</v>
      </c>
      <c r="L5">
        <v>55</v>
      </c>
      <c r="M5" t="s">
        <v>2219</v>
      </c>
      <c r="N5" t="s">
        <v>131</v>
      </c>
      <c r="O5" t="s">
        <v>549</v>
      </c>
      <c r="P5" t="s">
        <v>85</v>
      </c>
    </row>
    <row r="6" spans="1:16" hidden="1" x14ac:dyDescent="0.25">
      <c r="A6" t="s">
        <v>800</v>
      </c>
      <c r="B6" t="s">
        <v>348</v>
      </c>
      <c r="C6" t="s">
        <v>349</v>
      </c>
      <c r="D6" t="s">
        <v>582</v>
      </c>
      <c r="E6" t="s">
        <v>74</v>
      </c>
      <c r="F6" t="s">
        <v>1518</v>
      </c>
      <c r="G6" t="s">
        <v>1524</v>
      </c>
      <c r="H6">
        <v>600</v>
      </c>
      <c r="J6">
        <v>5511</v>
      </c>
      <c r="K6" t="s">
        <v>106</v>
      </c>
      <c r="L6">
        <v>55</v>
      </c>
      <c r="M6" t="s">
        <v>2219</v>
      </c>
      <c r="N6" t="s">
        <v>131</v>
      </c>
      <c r="O6" t="s">
        <v>549</v>
      </c>
      <c r="P6" t="s">
        <v>85</v>
      </c>
    </row>
    <row r="7" spans="1:16" hidden="1" x14ac:dyDescent="0.25">
      <c r="A7" t="s">
        <v>800</v>
      </c>
      <c r="B7" t="s">
        <v>348</v>
      </c>
      <c r="C7" t="s">
        <v>349</v>
      </c>
      <c r="D7" t="s">
        <v>582</v>
      </c>
      <c r="E7" t="s">
        <v>74</v>
      </c>
      <c r="F7" t="s">
        <v>1518</v>
      </c>
      <c r="G7" t="s">
        <v>182</v>
      </c>
      <c r="H7">
        <v>1500</v>
      </c>
      <c r="J7">
        <v>5511</v>
      </c>
      <c r="K7" t="s">
        <v>106</v>
      </c>
      <c r="L7">
        <v>55</v>
      </c>
      <c r="M7" t="s">
        <v>2219</v>
      </c>
      <c r="N7" t="s">
        <v>131</v>
      </c>
      <c r="O7" t="s">
        <v>549</v>
      </c>
      <c r="P7" t="s">
        <v>85</v>
      </c>
    </row>
    <row r="8" spans="1:16" hidden="1" x14ac:dyDescent="0.25">
      <c r="A8" t="s">
        <v>800</v>
      </c>
      <c r="B8" t="s">
        <v>348</v>
      </c>
      <c r="C8" t="s">
        <v>349</v>
      </c>
      <c r="D8" t="s">
        <v>582</v>
      </c>
      <c r="E8" t="s">
        <v>74</v>
      </c>
      <c r="F8" t="s">
        <v>1518</v>
      </c>
      <c r="G8" t="s">
        <v>178</v>
      </c>
      <c r="H8">
        <v>17000</v>
      </c>
      <c r="J8">
        <v>5511</v>
      </c>
      <c r="K8" t="s">
        <v>106</v>
      </c>
      <c r="L8">
        <v>55</v>
      </c>
      <c r="M8" t="s">
        <v>2219</v>
      </c>
      <c r="N8" t="s">
        <v>131</v>
      </c>
      <c r="O8" t="s">
        <v>549</v>
      </c>
      <c r="P8" t="s">
        <v>85</v>
      </c>
    </row>
    <row r="9" spans="1:16" hidden="1" x14ac:dyDescent="0.25">
      <c r="A9" t="s">
        <v>800</v>
      </c>
      <c r="B9" t="s">
        <v>348</v>
      </c>
      <c r="C9" t="s">
        <v>349</v>
      </c>
      <c r="D9" t="s">
        <v>582</v>
      </c>
      <c r="E9" t="s">
        <v>74</v>
      </c>
      <c r="F9" t="s">
        <v>1518</v>
      </c>
      <c r="G9" t="s">
        <v>1523</v>
      </c>
      <c r="H9">
        <v>3000</v>
      </c>
      <c r="J9">
        <v>5511</v>
      </c>
      <c r="K9" t="s">
        <v>106</v>
      </c>
      <c r="L9">
        <v>55</v>
      </c>
      <c r="M9" t="s">
        <v>2219</v>
      </c>
      <c r="N9" t="s">
        <v>131</v>
      </c>
      <c r="O9" t="s">
        <v>549</v>
      </c>
      <c r="P9" t="s">
        <v>85</v>
      </c>
    </row>
    <row r="10" spans="1:16" hidden="1" x14ac:dyDescent="0.25">
      <c r="A10" t="s">
        <v>800</v>
      </c>
      <c r="B10" t="s">
        <v>348</v>
      </c>
      <c r="C10" t="s">
        <v>349</v>
      </c>
      <c r="D10" t="s">
        <v>582</v>
      </c>
      <c r="E10" t="s">
        <v>74</v>
      </c>
      <c r="F10" t="s">
        <v>1518</v>
      </c>
      <c r="G10" t="s">
        <v>1522</v>
      </c>
      <c r="H10">
        <v>600</v>
      </c>
      <c r="J10">
        <v>5511</v>
      </c>
      <c r="K10" t="s">
        <v>106</v>
      </c>
      <c r="L10">
        <v>55</v>
      </c>
      <c r="M10" t="s">
        <v>2219</v>
      </c>
      <c r="N10" t="s">
        <v>131</v>
      </c>
      <c r="O10" t="s">
        <v>549</v>
      </c>
      <c r="P10" t="s">
        <v>85</v>
      </c>
    </row>
    <row r="11" spans="1:16" hidden="1" x14ac:dyDescent="0.25">
      <c r="A11" t="s">
        <v>800</v>
      </c>
      <c r="B11" t="s">
        <v>348</v>
      </c>
      <c r="C11" t="s">
        <v>349</v>
      </c>
      <c r="D11" t="s">
        <v>582</v>
      </c>
      <c r="E11" t="s">
        <v>74</v>
      </c>
      <c r="F11" t="s">
        <v>1518</v>
      </c>
      <c r="G11" t="s">
        <v>1394</v>
      </c>
      <c r="H11">
        <v>1000</v>
      </c>
      <c r="J11">
        <v>5525</v>
      </c>
      <c r="K11" t="s">
        <v>118</v>
      </c>
      <c r="L11">
        <v>55</v>
      </c>
      <c r="M11" t="s">
        <v>2219</v>
      </c>
      <c r="N11" t="s">
        <v>131</v>
      </c>
      <c r="O11" t="s">
        <v>549</v>
      </c>
      <c r="P11" t="s">
        <v>85</v>
      </c>
    </row>
    <row r="12" spans="1:16" hidden="1" x14ac:dyDescent="0.25">
      <c r="A12" t="s">
        <v>800</v>
      </c>
      <c r="B12" t="s">
        <v>348</v>
      </c>
      <c r="C12" t="s">
        <v>349</v>
      </c>
      <c r="D12" t="s">
        <v>582</v>
      </c>
      <c r="E12" t="s">
        <v>74</v>
      </c>
      <c r="F12" t="s">
        <v>1518</v>
      </c>
      <c r="G12" t="s">
        <v>1539</v>
      </c>
      <c r="H12">
        <v>800</v>
      </c>
      <c r="J12">
        <v>5524</v>
      </c>
      <c r="K12" t="s">
        <v>117</v>
      </c>
      <c r="L12">
        <v>55</v>
      </c>
      <c r="M12" t="s">
        <v>2219</v>
      </c>
      <c r="N12" t="s">
        <v>131</v>
      </c>
      <c r="O12" t="s">
        <v>549</v>
      </c>
      <c r="P12" t="s">
        <v>85</v>
      </c>
    </row>
    <row r="13" spans="1:16" hidden="1" x14ac:dyDescent="0.25">
      <c r="A13" t="s">
        <v>800</v>
      </c>
      <c r="B13" t="s">
        <v>348</v>
      </c>
      <c r="C13" t="s">
        <v>349</v>
      </c>
      <c r="D13" t="s">
        <v>582</v>
      </c>
      <c r="E13" t="s">
        <v>74</v>
      </c>
      <c r="F13" t="s">
        <v>1518</v>
      </c>
      <c r="G13" t="s">
        <v>1538</v>
      </c>
      <c r="H13">
        <v>300</v>
      </c>
      <c r="J13">
        <v>5524</v>
      </c>
      <c r="K13" t="s">
        <v>117</v>
      </c>
      <c r="L13">
        <v>55</v>
      </c>
      <c r="M13" t="s">
        <v>2219</v>
      </c>
      <c r="N13" t="s">
        <v>131</v>
      </c>
      <c r="O13" t="s">
        <v>549</v>
      </c>
      <c r="P13" t="s">
        <v>85</v>
      </c>
    </row>
    <row r="14" spans="1:16" hidden="1" x14ac:dyDescent="0.25">
      <c r="A14" t="s">
        <v>800</v>
      </c>
      <c r="B14" t="s">
        <v>348</v>
      </c>
      <c r="C14" t="s">
        <v>349</v>
      </c>
      <c r="D14" t="s">
        <v>582</v>
      </c>
      <c r="E14" t="s">
        <v>74</v>
      </c>
      <c r="F14" t="s">
        <v>1518</v>
      </c>
      <c r="G14" t="s">
        <v>1537</v>
      </c>
      <c r="H14">
        <v>500</v>
      </c>
      <c r="J14">
        <v>5524</v>
      </c>
      <c r="K14" t="s">
        <v>117</v>
      </c>
      <c r="L14">
        <v>55</v>
      </c>
      <c r="M14" t="s">
        <v>2219</v>
      </c>
      <c r="N14" t="s">
        <v>131</v>
      </c>
      <c r="O14" t="s">
        <v>549</v>
      </c>
      <c r="P14" t="s">
        <v>85</v>
      </c>
    </row>
    <row r="15" spans="1:16" hidden="1" x14ac:dyDescent="0.25">
      <c r="A15" t="s">
        <v>800</v>
      </c>
      <c r="B15" t="s">
        <v>348</v>
      </c>
      <c r="C15" t="s">
        <v>349</v>
      </c>
      <c r="D15" t="s">
        <v>582</v>
      </c>
      <c r="E15" t="s">
        <v>74</v>
      </c>
      <c r="F15" t="s">
        <v>1518</v>
      </c>
      <c r="G15" t="s">
        <v>1536</v>
      </c>
      <c r="H15">
        <v>400</v>
      </c>
      <c r="J15">
        <v>5500</v>
      </c>
      <c r="K15" t="s">
        <v>100</v>
      </c>
      <c r="L15">
        <v>55</v>
      </c>
      <c r="M15" t="s">
        <v>2219</v>
      </c>
      <c r="N15" t="s">
        <v>131</v>
      </c>
      <c r="O15" t="s">
        <v>549</v>
      </c>
      <c r="P15" t="s">
        <v>85</v>
      </c>
    </row>
    <row r="16" spans="1:16" hidden="1" x14ac:dyDescent="0.25">
      <c r="A16" t="s">
        <v>800</v>
      </c>
      <c r="B16" t="s">
        <v>348</v>
      </c>
      <c r="C16" t="s">
        <v>349</v>
      </c>
      <c r="D16" t="s">
        <v>582</v>
      </c>
      <c r="E16" t="s">
        <v>74</v>
      </c>
      <c r="F16" t="s">
        <v>1518</v>
      </c>
      <c r="G16" t="s">
        <v>1535</v>
      </c>
      <c r="H16">
        <v>300</v>
      </c>
      <c r="J16">
        <v>5500</v>
      </c>
      <c r="K16" t="s">
        <v>100</v>
      </c>
      <c r="L16">
        <v>55</v>
      </c>
      <c r="M16" t="s">
        <v>2219</v>
      </c>
      <c r="N16" t="s">
        <v>131</v>
      </c>
      <c r="O16" t="s">
        <v>549</v>
      </c>
      <c r="P16" t="s">
        <v>85</v>
      </c>
    </row>
    <row r="17" spans="1:16" hidden="1" x14ac:dyDescent="0.25">
      <c r="A17" t="s">
        <v>800</v>
      </c>
      <c r="B17" t="s">
        <v>348</v>
      </c>
      <c r="C17" t="s">
        <v>349</v>
      </c>
      <c r="D17" t="s">
        <v>582</v>
      </c>
      <c r="E17" t="s">
        <v>74</v>
      </c>
      <c r="F17" t="s">
        <v>1518</v>
      </c>
      <c r="G17" t="s">
        <v>1534</v>
      </c>
      <c r="H17">
        <v>300</v>
      </c>
      <c r="J17">
        <v>5524</v>
      </c>
      <c r="K17" t="s">
        <v>117</v>
      </c>
      <c r="L17">
        <v>55</v>
      </c>
      <c r="M17" t="s">
        <v>2219</v>
      </c>
      <c r="N17" t="s">
        <v>131</v>
      </c>
      <c r="O17" t="s">
        <v>549</v>
      </c>
      <c r="P17" t="s">
        <v>85</v>
      </c>
    </row>
    <row r="18" spans="1:16" hidden="1" x14ac:dyDescent="0.25">
      <c r="A18" t="s">
        <v>800</v>
      </c>
      <c r="B18" t="s">
        <v>348</v>
      </c>
      <c r="C18" t="s">
        <v>349</v>
      </c>
      <c r="D18" t="s">
        <v>582</v>
      </c>
      <c r="E18" t="s">
        <v>74</v>
      </c>
      <c r="F18" t="s">
        <v>1518</v>
      </c>
      <c r="G18" t="s">
        <v>1533</v>
      </c>
      <c r="H18">
        <v>100</v>
      </c>
      <c r="J18">
        <v>5522</v>
      </c>
      <c r="K18" t="s">
        <v>115</v>
      </c>
      <c r="L18">
        <v>55</v>
      </c>
      <c r="M18" t="s">
        <v>2219</v>
      </c>
      <c r="N18" t="s">
        <v>131</v>
      </c>
      <c r="O18" t="s">
        <v>549</v>
      </c>
      <c r="P18" t="s">
        <v>85</v>
      </c>
    </row>
    <row r="19" spans="1:16" hidden="1" x14ac:dyDescent="0.25">
      <c r="A19" t="s">
        <v>800</v>
      </c>
      <c r="B19" t="s">
        <v>348</v>
      </c>
      <c r="C19" t="s">
        <v>349</v>
      </c>
      <c r="D19" t="s">
        <v>582</v>
      </c>
      <c r="E19" t="s">
        <v>74</v>
      </c>
      <c r="F19" t="s">
        <v>1518</v>
      </c>
      <c r="G19" t="s">
        <v>1138</v>
      </c>
      <c r="H19">
        <v>1925</v>
      </c>
      <c r="I19" t="s">
        <v>2203</v>
      </c>
      <c r="J19">
        <v>5521</v>
      </c>
      <c r="K19" t="s">
        <v>114</v>
      </c>
      <c r="L19">
        <v>55</v>
      </c>
      <c r="M19" t="s">
        <v>2219</v>
      </c>
      <c r="N19" t="s">
        <v>131</v>
      </c>
      <c r="O19" t="s">
        <v>549</v>
      </c>
      <c r="P19" t="s">
        <v>85</v>
      </c>
    </row>
    <row r="20" spans="1:16" hidden="1" x14ac:dyDescent="0.25">
      <c r="A20" t="s">
        <v>800</v>
      </c>
      <c r="B20" t="s">
        <v>348</v>
      </c>
      <c r="C20" t="s">
        <v>349</v>
      </c>
      <c r="D20" t="s">
        <v>582</v>
      </c>
      <c r="E20" t="s">
        <v>74</v>
      </c>
      <c r="F20" t="s">
        <v>1518</v>
      </c>
      <c r="G20" t="s">
        <v>1138</v>
      </c>
      <c r="H20">
        <v>3075</v>
      </c>
      <c r="J20">
        <v>5521</v>
      </c>
      <c r="K20" t="s">
        <v>114</v>
      </c>
      <c r="L20">
        <v>55</v>
      </c>
      <c r="M20" t="s">
        <v>2219</v>
      </c>
      <c r="N20" t="s">
        <v>131</v>
      </c>
      <c r="O20" t="s">
        <v>549</v>
      </c>
      <c r="P20" t="s">
        <v>85</v>
      </c>
    </row>
    <row r="21" spans="1:16" hidden="1" x14ac:dyDescent="0.25">
      <c r="A21" t="s">
        <v>800</v>
      </c>
      <c r="B21" t="s">
        <v>348</v>
      </c>
      <c r="C21" t="s">
        <v>349</v>
      </c>
      <c r="D21" t="s">
        <v>582</v>
      </c>
      <c r="E21" t="s">
        <v>74</v>
      </c>
      <c r="F21" t="s">
        <v>1518</v>
      </c>
      <c r="G21" t="s">
        <v>1532</v>
      </c>
      <c r="H21">
        <v>100</v>
      </c>
      <c r="J21">
        <v>5515</v>
      </c>
      <c r="K21" t="s">
        <v>112</v>
      </c>
      <c r="L21">
        <v>55</v>
      </c>
      <c r="M21" t="s">
        <v>2219</v>
      </c>
      <c r="N21" t="s">
        <v>131</v>
      </c>
      <c r="O21" t="s">
        <v>549</v>
      </c>
      <c r="P21" t="s">
        <v>85</v>
      </c>
    </row>
    <row r="22" spans="1:16" hidden="1" x14ac:dyDescent="0.25">
      <c r="A22" t="s">
        <v>800</v>
      </c>
      <c r="B22" t="s">
        <v>348</v>
      </c>
      <c r="C22" t="s">
        <v>349</v>
      </c>
      <c r="D22" t="s">
        <v>582</v>
      </c>
      <c r="E22" t="s">
        <v>74</v>
      </c>
      <c r="F22" t="s">
        <v>1518</v>
      </c>
      <c r="G22" t="s">
        <v>1531</v>
      </c>
      <c r="H22">
        <v>100</v>
      </c>
      <c r="J22">
        <v>5515</v>
      </c>
      <c r="K22" t="s">
        <v>112</v>
      </c>
      <c r="L22">
        <v>55</v>
      </c>
      <c r="M22" t="s">
        <v>2219</v>
      </c>
      <c r="N22" t="s">
        <v>131</v>
      </c>
      <c r="O22" t="s">
        <v>549</v>
      </c>
      <c r="P22" t="s">
        <v>85</v>
      </c>
    </row>
    <row r="23" spans="1:16" hidden="1" x14ac:dyDescent="0.25">
      <c r="A23" t="s">
        <v>800</v>
      </c>
      <c r="B23" t="s">
        <v>348</v>
      </c>
      <c r="C23" t="s">
        <v>349</v>
      </c>
      <c r="D23" t="s">
        <v>582</v>
      </c>
      <c r="E23" t="s">
        <v>74</v>
      </c>
      <c r="F23" t="s">
        <v>1518</v>
      </c>
      <c r="G23" t="s">
        <v>1530</v>
      </c>
      <c r="H23">
        <v>200</v>
      </c>
      <c r="J23">
        <v>5515</v>
      </c>
      <c r="K23" t="s">
        <v>112</v>
      </c>
      <c r="L23">
        <v>55</v>
      </c>
      <c r="M23" t="s">
        <v>2219</v>
      </c>
      <c r="N23" t="s">
        <v>131</v>
      </c>
      <c r="O23" t="s">
        <v>549</v>
      </c>
      <c r="P23" t="s">
        <v>85</v>
      </c>
    </row>
    <row r="24" spans="1:16" hidden="1" x14ac:dyDescent="0.25">
      <c r="A24" t="s">
        <v>800</v>
      </c>
      <c r="B24" t="s">
        <v>348</v>
      </c>
      <c r="C24" t="s">
        <v>349</v>
      </c>
      <c r="D24" t="s">
        <v>582</v>
      </c>
      <c r="E24" t="s">
        <v>74</v>
      </c>
      <c r="F24" t="s">
        <v>1518</v>
      </c>
      <c r="G24" t="s">
        <v>1529</v>
      </c>
      <c r="H24">
        <v>200</v>
      </c>
      <c r="J24">
        <v>5515</v>
      </c>
      <c r="K24" t="s">
        <v>112</v>
      </c>
      <c r="L24">
        <v>55</v>
      </c>
      <c r="M24" t="s">
        <v>2219</v>
      </c>
      <c r="N24" t="s">
        <v>131</v>
      </c>
      <c r="O24" t="s">
        <v>549</v>
      </c>
      <c r="P24" t="s">
        <v>85</v>
      </c>
    </row>
    <row r="25" spans="1:16" hidden="1" x14ac:dyDescent="0.25">
      <c r="A25" t="s">
        <v>800</v>
      </c>
      <c r="B25" t="s">
        <v>348</v>
      </c>
      <c r="C25" t="s">
        <v>349</v>
      </c>
      <c r="D25" t="s">
        <v>582</v>
      </c>
      <c r="E25" t="s">
        <v>74</v>
      </c>
      <c r="F25" t="s">
        <v>1518</v>
      </c>
      <c r="G25" t="s">
        <v>1527</v>
      </c>
      <c r="H25">
        <v>100</v>
      </c>
      <c r="J25">
        <v>5513</v>
      </c>
      <c r="K25" t="s">
        <v>111</v>
      </c>
      <c r="L25">
        <v>55</v>
      </c>
      <c r="M25" t="s">
        <v>2219</v>
      </c>
      <c r="N25" t="s">
        <v>131</v>
      </c>
      <c r="O25" t="s">
        <v>549</v>
      </c>
      <c r="P25" t="s">
        <v>85</v>
      </c>
    </row>
    <row r="26" spans="1:16" hidden="1" x14ac:dyDescent="0.25">
      <c r="A26" t="s">
        <v>800</v>
      </c>
      <c r="B26" t="s">
        <v>348</v>
      </c>
      <c r="C26" t="s">
        <v>349</v>
      </c>
      <c r="D26" t="s">
        <v>582</v>
      </c>
      <c r="E26" t="s">
        <v>74</v>
      </c>
      <c r="F26" t="s">
        <v>1518</v>
      </c>
      <c r="G26" t="s">
        <v>947</v>
      </c>
      <c r="H26">
        <v>2750</v>
      </c>
      <c r="J26">
        <v>5513</v>
      </c>
      <c r="K26" t="s">
        <v>111</v>
      </c>
      <c r="L26">
        <v>55</v>
      </c>
      <c r="M26" t="s">
        <v>2219</v>
      </c>
      <c r="N26" t="s">
        <v>131</v>
      </c>
      <c r="O26" t="s">
        <v>549</v>
      </c>
      <c r="P26" t="s">
        <v>85</v>
      </c>
    </row>
    <row r="27" spans="1:16" hidden="1" x14ac:dyDescent="0.25">
      <c r="A27" t="s">
        <v>800</v>
      </c>
      <c r="B27" t="s">
        <v>348</v>
      </c>
      <c r="C27" t="s">
        <v>349</v>
      </c>
      <c r="D27" t="s">
        <v>582</v>
      </c>
      <c r="E27" t="s">
        <v>74</v>
      </c>
      <c r="F27" t="s">
        <v>1518</v>
      </c>
      <c r="G27" t="s">
        <v>2199</v>
      </c>
      <c r="H27">
        <v>200</v>
      </c>
      <c r="I27" t="s">
        <v>2203</v>
      </c>
      <c r="J27">
        <v>5504</v>
      </c>
      <c r="K27" t="s">
        <v>102</v>
      </c>
      <c r="L27">
        <v>55</v>
      </c>
      <c r="M27" t="s">
        <v>2219</v>
      </c>
      <c r="N27" t="s">
        <v>131</v>
      </c>
      <c r="O27" t="s">
        <v>549</v>
      </c>
      <c r="P27" t="s">
        <v>85</v>
      </c>
    </row>
    <row r="28" spans="1:16" hidden="1" x14ac:dyDescent="0.25">
      <c r="A28" t="s">
        <v>800</v>
      </c>
      <c r="B28" t="s">
        <v>348</v>
      </c>
      <c r="C28" t="s">
        <v>349</v>
      </c>
      <c r="D28" t="s">
        <v>582</v>
      </c>
      <c r="E28" t="s">
        <v>74</v>
      </c>
      <c r="F28" t="s">
        <v>1518</v>
      </c>
      <c r="G28" t="s">
        <v>1521</v>
      </c>
      <c r="H28">
        <v>1300</v>
      </c>
      <c r="J28">
        <v>5504</v>
      </c>
      <c r="K28" t="s">
        <v>102</v>
      </c>
      <c r="L28">
        <v>55</v>
      </c>
      <c r="M28" t="s">
        <v>2219</v>
      </c>
      <c r="N28" t="s">
        <v>131</v>
      </c>
      <c r="O28" t="s">
        <v>549</v>
      </c>
      <c r="P28" t="s">
        <v>85</v>
      </c>
    </row>
    <row r="29" spans="1:16" hidden="1" x14ac:dyDescent="0.25">
      <c r="A29" t="s">
        <v>800</v>
      </c>
      <c r="B29" t="s">
        <v>348</v>
      </c>
      <c r="C29" t="s">
        <v>349</v>
      </c>
      <c r="D29" t="s">
        <v>582</v>
      </c>
      <c r="E29" t="s">
        <v>74</v>
      </c>
      <c r="F29" t="s">
        <v>1518</v>
      </c>
      <c r="G29" t="s">
        <v>1520</v>
      </c>
      <c r="H29">
        <v>500</v>
      </c>
      <c r="J29">
        <v>5500</v>
      </c>
      <c r="K29" t="s">
        <v>100</v>
      </c>
      <c r="L29">
        <v>55</v>
      </c>
      <c r="M29" t="s">
        <v>2219</v>
      </c>
      <c r="N29" t="s">
        <v>131</v>
      </c>
      <c r="O29" t="s">
        <v>549</v>
      </c>
      <c r="P29" t="s">
        <v>85</v>
      </c>
    </row>
    <row r="30" spans="1:16" hidden="1" x14ac:dyDescent="0.25">
      <c r="A30" t="s">
        <v>800</v>
      </c>
      <c r="B30" t="s">
        <v>347</v>
      </c>
      <c r="C30" t="s">
        <v>339</v>
      </c>
      <c r="D30" t="s">
        <v>582</v>
      </c>
      <c r="E30" t="s">
        <v>74</v>
      </c>
      <c r="F30" t="s">
        <v>1548</v>
      </c>
      <c r="G30" t="s">
        <v>1554</v>
      </c>
      <c r="H30">
        <v>87579</v>
      </c>
      <c r="I30" t="s">
        <v>1555</v>
      </c>
      <c r="J30">
        <v>5524</v>
      </c>
      <c r="K30" t="s">
        <v>117</v>
      </c>
      <c r="L30">
        <v>55</v>
      </c>
      <c r="M30" t="s">
        <v>2219</v>
      </c>
      <c r="N30" t="s">
        <v>131</v>
      </c>
      <c r="O30" t="s">
        <v>549</v>
      </c>
      <c r="P30" t="s">
        <v>85</v>
      </c>
    </row>
    <row r="31" spans="1:16" hidden="1" x14ac:dyDescent="0.25">
      <c r="A31" t="s">
        <v>800</v>
      </c>
      <c r="B31" t="s">
        <v>345</v>
      </c>
      <c r="C31" t="s">
        <v>346</v>
      </c>
      <c r="D31" t="s">
        <v>582</v>
      </c>
      <c r="E31" t="s">
        <v>74</v>
      </c>
      <c r="F31" t="s">
        <v>1449</v>
      </c>
      <c r="G31" t="s">
        <v>2200</v>
      </c>
      <c r="H31">
        <v>22971</v>
      </c>
      <c r="I31" t="s">
        <v>2203</v>
      </c>
      <c r="J31">
        <v>5524</v>
      </c>
      <c r="K31" t="s">
        <v>117</v>
      </c>
      <c r="L31">
        <v>55</v>
      </c>
      <c r="M31" t="s">
        <v>2219</v>
      </c>
      <c r="N31" t="s">
        <v>131</v>
      </c>
      <c r="O31" t="s">
        <v>549</v>
      </c>
      <c r="P31" t="s">
        <v>85</v>
      </c>
    </row>
    <row r="32" spans="1:16" hidden="1" x14ac:dyDescent="0.25">
      <c r="A32" t="s">
        <v>800</v>
      </c>
      <c r="B32" t="s">
        <v>345</v>
      </c>
      <c r="C32" t="s">
        <v>346</v>
      </c>
      <c r="D32" t="s">
        <v>582</v>
      </c>
      <c r="E32" t="s">
        <v>74</v>
      </c>
      <c r="F32" t="s">
        <v>1449</v>
      </c>
      <c r="G32" t="s">
        <v>2199</v>
      </c>
      <c r="H32">
        <v>7036</v>
      </c>
      <c r="I32" t="s">
        <v>2203</v>
      </c>
      <c r="J32">
        <v>5504</v>
      </c>
      <c r="K32" t="s">
        <v>102</v>
      </c>
      <c r="L32">
        <v>55</v>
      </c>
      <c r="M32" t="s">
        <v>2219</v>
      </c>
      <c r="N32" t="s">
        <v>131</v>
      </c>
      <c r="O32" t="s">
        <v>549</v>
      </c>
      <c r="P32" t="s">
        <v>85</v>
      </c>
    </row>
    <row r="33" spans="1:16" hidden="1" x14ac:dyDescent="0.25">
      <c r="A33" t="s">
        <v>800</v>
      </c>
      <c r="B33" t="s">
        <v>345</v>
      </c>
      <c r="C33" t="s">
        <v>346</v>
      </c>
      <c r="D33" t="s">
        <v>582</v>
      </c>
      <c r="E33" t="s">
        <v>74</v>
      </c>
      <c r="F33" t="s">
        <v>1449</v>
      </c>
      <c r="G33" t="s">
        <v>1462</v>
      </c>
      <c r="H33">
        <v>8000</v>
      </c>
      <c r="I33" t="s">
        <v>1463</v>
      </c>
      <c r="J33">
        <v>5515</v>
      </c>
      <c r="K33" t="s">
        <v>112</v>
      </c>
      <c r="L33">
        <v>55</v>
      </c>
      <c r="M33" t="s">
        <v>2219</v>
      </c>
      <c r="N33" t="s">
        <v>131</v>
      </c>
      <c r="O33" t="s">
        <v>549</v>
      </c>
      <c r="P33" t="s">
        <v>85</v>
      </c>
    </row>
    <row r="34" spans="1:16" hidden="1" x14ac:dyDescent="0.25">
      <c r="A34" t="s">
        <v>800</v>
      </c>
      <c r="B34" t="s">
        <v>345</v>
      </c>
      <c r="C34" t="s">
        <v>346</v>
      </c>
      <c r="D34" t="s">
        <v>582</v>
      </c>
      <c r="E34" t="s">
        <v>74</v>
      </c>
      <c r="F34" t="s">
        <v>1449</v>
      </c>
      <c r="G34" t="s">
        <v>1460</v>
      </c>
      <c r="H34">
        <v>1000</v>
      </c>
      <c r="I34" t="s">
        <v>1461</v>
      </c>
      <c r="J34">
        <v>5511</v>
      </c>
      <c r="K34" t="s">
        <v>106</v>
      </c>
      <c r="L34">
        <v>55</v>
      </c>
      <c r="M34" t="s">
        <v>2219</v>
      </c>
      <c r="N34" t="s">
        <v>131</v>
      </c>
      <c r="O34" t="s">
        <v>549</v>
      </c>
      <c r="P34" t="s">
        <v>85</v>
      </c>
    </row>
    <row r="35" spans="1:16" hidden="1" x14ac:dyDescent="0.25">
      <c r="A35" t="s">
        <v>800</v>
      </c>
      <c r="B35" t="s">
        <v>345</v>
      </c>
      <c r="C35" t="s">
        <v>346</v>
      </c>
      <c r="D35" t="s">
        <v>582</v>
      </c>
      <c r="E35" t="s">
        <v>74</v>
      </c>
      <c r="F35" t="s">
        <v>1449</v>
      </c>
      <c r="G35" t="s">
        <v>1458</v>
      </c>
      <c r="H35">
        <v>2500</v>
      </c>
      <c r="I35" t="s">
        <v>1459</v>
      </c>
      <c r="J35">
        <v>5514</v>
      </c>
      <c r="K35" t="s">
        <v>110</v>
      </c>
      <c r="L35">
        <v>55</v>
      </c>
      <c r="M35" t="s">
        <v>2219</v>
      </c>
      <c r="N35" t="s">
        <v>131</v>
      </c>
      <c r="O35" t="s">
        <v>549</v>
      </c>
      <c r="P35" t="s">
        <v>85</v>
      </c>
    </row>
    <row r="36" spans="1:16" hidden="1" x14ac:dyDescent="0.25">
      <c r="A36" t="s">
        <v>800</v>
      </c>
      <c r="B36" t="s">
        <v>345</v>
      </c>
      <c r="C36" t="s">
        <v>346</v>
      </c>
      <c r="D36" t="s">
        <v>582</v>
      </c>
      <c r="E36" t="s">
        <v>74</v>
      </c>
      <c r="F36" t="s">
        <v>1449</v>
      </c>
      <c r="G36" t="s">
        <v>1456</v>
      </c>
      <c r="H36">
        <v>8500</v>
      </c>
      <c r="I36" t="s">
        <v>1457</v>
      </c>
      <c r="J36">
        <v>5515</v>
      </c>
      <c r="K36" t="s">
        <v>112</v>
      </c>
      <c r="L36">
        <v>55</v>
      </c>
      <c r="M36" t="s">
        <v>2219</v>
      </c>
      <c r="N36" t="s">
        <v>131</v>
      </c>
      <c r="O36" t="s">
        <v>549</v>
      </c>
      <c r="P36" t="s">
        <v>85</v>
      </c>
    </row>
    <row r="37" spans="1:16" hidden="1" x14ac:dyDescent="0.25">
      <c r="A37" t="s">
        <v>800</v>
      </c>
      <c r="B37" t="s">
        <v>345</v>
      </c>
      <c r="C37" t="s">
        <v>346</v>
      </c>
      <c r="D37" t="s">
        <v>582</v>
      </c>
      <c r="E37" t="s">
        <v>74</v>
      </c>
      <c r="F37" t="s">
        <v>1449</v>
      </c>
      <c r="G37" t="s">
        <v>1454</v>
      </c>
      <c r="H37">
        <v>1000</v>
      </c>
      <c r="I37" t="s">
        <v>1455</v>
      </c>
      <c r="J37">
        <v>5514</v>
      </c>
      <c r="K37" t="s">
        <v>110</v>
      </c>
      <c r="L37">
        <v>55</v>
      </c>
      <c r="M37" t="s">
        <v>2219</v>
      </c>
      <c r="N37" t="s">
        <v>131</v>
      </c>
      <c r="O37" t="s">
        <v>549</v>
      </c>
      <c r="P37" t="s">
        <v>85</v>
      </c>
    </row>
    <row r="38" spans="1:16" hidden="1" x14ac:dyDescent="0.25">
      <c r="A38" t="s">
        <v>800</v>
      </c>
      <c r="B38" t="s">
        <v>345</v>
      </c>
      <c r="C38" t="s">
        <v>346</v>
      </c>
      <c r="D38" t="s">
        <v>582</v>
      </c>
      <c r="E38" t="s">
        <v>74</v>
      </c>
      <c r="F38" t="s">
        <v>1449</v>
      </c>
      <c r="G38" t="s">
        <v>1452</v>
      </c>
      <c r="H38">
        <v>2500</v>
      </c>
      <c r="I38" t="s">
        <v>1453</v>
      </c>
      <c r="J38">
        <v>5515</v>
      </c>
      <c r="K38" t="s">
        <v>112</v>
      </c>
      <c r="L38">
        <v>55</v>
      </c>
      <c r="M38" t="s">
        <v>2219</v>
      </c>
      <c r="N38" t="s">
        <v>131</v>
      </c>
      <c r="O38" t="s">
        <v>549</v>
      </c>
      <c r="P38" t="s">
        <v>85</v>
      </c>
    </row>
    <row r="39" spans="1:16" hidden="1" x14ac:dyDescent="0.25">
      <c r="A39" t="s">
        <v>800</v>
      </c>
      <c r="B39" t="s">
        <v>345</v>
      </c>
      <c r="C39" t="s">
        <v>346</v>
      </c>
      <c r="D39" t="s">
        <v>582</v>
      </c>
      <c r="E39" t="s">
        <v>74</v>
      </c>
      <c r="F39" t="s">
        <v>1449</v>
      </c>
      <c r="G39" t="s">
        <v>1450</v>
      </c>
      <c r="H39">
        <v>10000</v>
      </c>
      <c r="I39" t="s">
        <v>1451</v>
      </c>
      <c r="J39">
        <v>5515</v>
      </c>
      <c r="K39" t="s">
        <v>112</v>
      </c>
      <c r="L39">
        <v>55</v>
      </c>
      <c r="M39" t="s">
        <v>2219</v>
      </c>
      <c r="N39" t="s">
        <v>131</v>
      </c>
      <c r="O39" t="s">
        <v>549</v>
      </c>
      <c r="P39" t="s">
        <v>85</v>
      </c>
    </row>
    <row r="40" spans="1:16" hidden="1" x14ac:dyDescent="0.25">
      <c r="A40" t="s">
        <v>800</v>
      </c>
      <c r="B40" t="s">
        <v>345</v>
      </c>
      <c r="C40" t="s">
        <v>346</v>
      </c>
      <c r="D40" t="s">
        <v>582</v>
      </c>
      <c r="E40" t="s">
        <v>74</v>
      </c>
      <c r="F40" t="s">
        <v>1449</v>
      </c>
      <c r="G40" t="s">
        <v>1138</v>
      </c>
      <c r="H40">
        <v>70525</v>
      </c>
      <c r="I40" t="s">
        <v>2203</v>
      </c>
      <c r="J40">
        <v>5521</v>
      </c>
      <c r="K40" t="s">
        <v>114</v>
      </c>
      <c r="L40">
        <v>55</v>
      </c>
      <c r="M40" t="s">
        <v>2219</v>
      </c>
      <c r="N40" t="s">
        <v>131</v>
      </c>
      <c r="O40" t="s">
        <v>549</v>
      </c>
      <c r="P40" t="s">
        <v>85</v>
      </c>
    </row>
    <row r="41" spans="1:16" x14ac:dyDescent="0.25">
      <c r="A41" t="s">
        <v>800</v>
      </c>
      <c r="B41" t="s">
        <v>345</v>
      </c>
      <c r="C41" t="s">
        <v>346</v>
      </c>
      <c r="D41" t="s">
        <v>582</v>
      </c>
      <c r="E41" t="s">
        <v>74</v>
      </c>
      <c r="F41" t="s">
        <v>1449</v>
      </c>
      <c r="G41" t="s">
        <v>2063</v>
      </c>
      <c r="H41">
        <v>60000</v>
      </c>
      <c r="J41">
        <v>1551</v>
      </c>
      <c r="K41" t="s">
        <v>92</v>
      </c>
      <c r="L41">
        <v>15</v>
      </c>
      <c r="M41" t="s">
        <v>2220</v>
      </c>
      <c r="N41" t="s">
        <v>4</v>
      </c>
      <c r="O41" t="s">
        <v>4</v>
      </c>
      <c r="P41" t="s">
        <v>87</v>
      </c>
    </row>
    <row r="42" spans="1:16" hidden="1" x14ac:dyDescent="0.25">
      <c r="A42" t="s">
        <v>800</v>
      </c>
      <c r="B42" t="s">
        <v>345</v>
      </c>
      <c r="C42" t="s">
        <v>346</v>
      </c>
      <c r="D42" t="s">
        <v>582</v>
      </c>
      <c r="E42" t="s">
        <v>74</v>
      </c>
      <c r="F42" t="s">
        <v>1449</v>
      </c>
      <c r="G42" t="s">
        <v>1507</v>
      </c>
      <c r="H42">
        <v>2500</v>
      </c>
      <c r="J42">
        <v>5514</v>
      </c>
      <c r="K42" t="s">
        <v>110</v>
      </c>
      <c r="L42">
        <v>55</v>
      </c>
      <c r="M42" t="s">
        <v>2219</v>
      </c>
      <c r="N42" t="s">
        <v>131</v>
      </c>
      <c r="O42" t="s">
        <v>549</v>
      </c>
      <c r="P42" t="s">
        <v>85</v>
      </c>
    </row>
    <row r="43" spans="1:16" hidden="1" x14ac:dyDescent="0.25">
      <c r="A43" t="s">
        <v>800</v>
      </c>
      <c r="B43" t="s">
        <v>345</v>
      </c>
      <c r="C43" t="s">
        <v>346</v>
      </c>
      <c r="D43" t="s">
        <v>582</v>
      </c>
      <c r="E43" t="s">
        <v>74</v>
      </c>
      <c r="F43" t="s">
        <v>1449</v>
      </c>
      <c r="G43" t="s">
        <v>1506</v>
      </c>
      <c r="H43">
        <v>2000</v>
      </c>
      <c r="J43">
        <v>5514</v>
      </c>
      <c r="K43" t="s">
        <v>110</v>
      </c>
      <c r="L43">
        <v>55</v>
      </c>
      <c r="M43" t="s">
        <v>2219</v>
      </c>
      <c r="N43" t="s">
        <v>131</v>
      </c>
      <c r="O43" t="s">
        <v>549</v>
      </c>
      <c r="P43" t="s">
        <v>85</v>
      </c>
    </row>
    <row r="44" spans="1:16" hidden="1" x14ac:dyDescent="0.25">
      <c r="A44" t="s">
        <v>800</v>
      </c>
      <c r="B44" t="s">
        <v>345</v>
      </c>
      <c r="C44" t="s">
        <v>346</v>
      </c>
      <c r="D44" t="s">
        <v>582</v>
      </c>
      <c r="E44" t="s">
        <v>74</v>
      </c>
      <c r="F44" t="s">
        <v>1449</v>
      </c>
      <c r="G44" t="s">
        <v>1489</v>
      </c>
      <c r="H44">
        <v>10000</v>
      </c>
      <c r="I44" t="s">
        <v>1496</v>
      </c>
      <c r="J44">
        <v>5511</v>
      </c>
      <c r="K44" t="s">
        <v>106</v>
      </c>
      <c r="L44">
        <v>55</v>
      </c>
      <c r="M44" t="s">
        <v>2219</v>
      </c>
      <c r="N44" t="s">
        <v>131</v>
      </c>
      <c r="O44" t="s">
        <v>549</v>
      </c>
      <c r="P44" t="s">
        <v>85</v>
      </c>
    </row>
    <row r="45" spans="1:16" hidden="1" x14ac:dyDescent="0.25">
      <c r="A45" t="s">
        <v>800</v>
      </c>
      <c r="B45" t="s">
        <v>345</v>
      </c>
      <c r="C45" t="s">
        <v>346</v>
      </c>
      <c r="D45" t="s">
        <v>582</v>
      </c>
      <c r="E45" t="s">
        <v>74</v>
      </c>
      <c r="F45" t="s">
        <v>1449</v>
      </c>
      <c r="G45" t="s">
        <v>1488</v>
      </c>
      <c r="H45">
        <v>2500</v>
      </c>
      <c r="I45" t="s">
        <v>1495</v>
      </c>
      <c r="J45">
        <v>5511</v>
      </c>
      <c r="K45" t="s">
        <v>106</v>
      </c>
      <c r="L45">
        <v>55</v>
      </c>
      <c r="M45" t="s">
        <v>2219</v>
      </c>
      <c r="N45" t="s">
        <v>131</v>
      </c>
      <c r="O45" t="s">
        <v>549</v>
      </c>
      <c r="P45" t="s">
        <v>85</v>
      </c>
    </row>
    <row r="46" spans="1:16" hidden="1" x14ac:dyDescent="0.25">
      <c r="A46" t="s">
        <v>800</v>
      </c>
      <c r="B46" t="s">
        <v>345</v>
      </c>
      <c r="C46" t="s">
        <v>346</v>
      </c>
      <c r="D46" t="s">
        <v>582</v>
      </c>
      <c r="E46" t="s">
        <v>74</v>
      </c>
      <c r="F46" t="s">
        <v>1449</v>
      </c>
      <c r="G46" t="s">
        <v>1487</v>
      </c>
      <c r="H46">
        <v>260</v>
      </c>
      <c r="J46">
        <v>5511</v>
      </c>
      <c r="K46" t="s">
        <v>106</v>
      </c>
      <c r="L46">
        <v>55</v>
      </c>
      <c r="M46" t="s">
        <v>2219</v>
      </c>
      <c r="N46" t="s">
        <v>131</v>
      </c>
      <c r="O46" t="s">
        <v>549</v>
      </c>
      <c r="P46" t="s">
        <v>85</v>
      </c>
    </row>
    <row r="47" spans="1:16" hidden="1" x14ac:dyDescent="0.25">
      <c r="A47" t="s">
        <v>800</v>
      </c>
      <c r="B47" t="s">
        <v>345</v>
      </c>
      <c r="C47" t="s">
        <v>346</v>
      </c>
      <c r="D47" t="s">
        <v>582</v>
      </c>
      <c r="E47" t="s">
        <v>74</v>
      </c>
      <c r="F47" t="s">
        <v>1449</v>
      </c>
      <c r="G47" t="s">
        <v>1486</v>
      </c>
      <c r="H47">
        <v>385</v>
      </c>
      <c r="J47">
        <v>5511</v>
      </c>
      <c r="K47" t="s">
        <v>106</v>
      </c>
      <c r="L47">
        <v>55</v>
      </c>
      <c r="M47" t="s">
        <v>2219</v>
      </c>
      <c r="N47" t="s">
        <v>131</v>
      </c>
      <c r="O47" t="s">
        <v>549</v>
      </c>
      <c r="P47" t="s">
        <v>85</v>
      </c>
    </row>
    <row r="48" spans="1:16" hidden="1" x14ac:dyDescent="0.25">
      <c r="A48" t="s">
        <v>800</v>
      </c>
      <c r="B48" t="s">
        <v>345</v>
      </c>
      <c r="C48" t="s">
        <v>346</v>
      </c>
      <c r="D48" t="s">
        <v>582</v>
      </c>
      <c r="E48" t="s">
        <v>74</v>
      </c>
      <c r="F48" t="s">
        <v>1449</v>
      </c>
      <c r="G48" t="s">
        <v>1485</v>
      </c>
      <c r="H48">
        <v>940</v>
      </c>
      <c r="J48">
        <v>5511</v>
      </c>
      <c r="K48" t="s">
        <v>106</v>
      </c>
      <c r="L48">
        <v>55</v>
      </c>
      <c r="M48" t="s">
        <v>2219</v>
      </c>
      <c r="N48" t="s">
        <v>131</v>
      </c>
      <c r="O48" t="s">
        <v>549</v>
      </c>
      <c r="P48" t="s">
        <v>85</v>
      </c>
    </row>
    <row r="49" spans="1:16" hidden="1" x14ac:dyDescent="0.25">
      <c r="A49" t="s">
        <v>800</v>
      </c>
      <c r="B49" t="s">
        <v>345</v>
      </c>
      <c r="C49" t="s">
        <v>346</v>
      </c>
      <c r="D49" t="s">
        <v>582</v>
      </c>
      <c r="E49" t="s">
        <v>74</v>
      </c>
      <c r="F49" t="s">
        <v>1449</v>
      </c>
      <c r="G49" t="s">
        <v>1484</v>
      </c>
      <c r="H49">
        <v>922</v>
      </c>
      <c r="J49">
        <v>5511</v>
      </c>
      <c r="K49" t="s">
        <v>106</v>
      </c>
      <c r="L49">
        <v>55</v>
      </c>
      <c r="M49" t="s">
        <v>2219</v>
      </c>
      <c r="N49" t="s">
        <v>131</v>
      </c>
      <c r="O49" t="s">
        <v>549</v>
      </c>
      <c r="P49" t="s">
        <v>85</v>
      </c>
    </row>
    <row r="50" spans="1:16" hidden="1" x14ac:dyDescent="0.25">
      <c r="A50" t="s">
        <v>800</v>
      </c>
      <c r="B50" t="s">
        <v>345</v>
      </c>
      <c r="C50" t="s">
        <v>346</v>
      </c>
      <c r="D50" t="s">
        <v>582</v>
      </c>
      <c r="E50" t="s">
        <v>74</v>
      </c>
      <c r="F50" t="s">
        <v>1449</v>
      </c>
      <c r="G50" t="s">
        <v>1289</v>
      </c>
      <c r="H50">
        <v>1420</v>
      </c>
      <c r="I50" t="s">
        <v>1494</v>
      </c>
      <c r="J50">
        <v>5511</v>
      </c>
      <c r="K50" t="s">
        <v>106</v>
      </c>
      <c r="L50">
        <v>55</v>
      </c>
      <c r="M50" t="s">
        <v>2219</v>
      </c>
      <c r="N50" t="s">
        <v>131</v>
      </c>
      <c r="O50" t="s">
        <v>549</v>
      </c>
      <c r="P50" t="s">
        <v>85</v>
      </c>
    </row>
    <row r="51" spans="1:16" hidden="1" x14ac:dyDescent="0.25">
      <c r="A51" t="s">
        <v>800</v>
      </c>
      <c r="B51" t="s">
        <v>345</v>
      </c>
      <c r="C51" t="s">
        <v>346</v>
      </c>
      <c r="D51" t="s">
        <v>582</v>
      </c>
      <c r="E51" t="s">
        <v>74</v>
      </c>
      <c r="F51" t="s">
        <v>1449</v>
      </c>
      <c r="G51" t="s">
        <v>1483</v>
      </c>
      <c r="H51">
        <v>986</v>
      </c>
      <c r="J51">
        <v>5511</v>
      </c>
      <c r="K51" t="s">
        <v>106</v>
      </c>
      <c r="L51">
        <v>55</v>
      </c>
      <c r="M51" t="s">
        <v>2219</v>
      </c>
      <c r="N51" t="s">
        <v>131</v>
      </c>
      <c r="O51" t="s">
        <v>549</v>
      </c>
      <c r="P51" t="s">
        <v>85</v>
      </c>
    </row>
    <row r="52" spans="1:16" hidden="1" x14ac:dyDescent="0.25">
      <c r="A52" t="s">
        <v>800</v>
      </c>
      <c r="B52" t="s">
        <v>345</v>
      </c>
      <c r="C52" t="s">
        <v>346</v>
      </c>
      <c r="D52" t="s">
        <v>582</v>
      </c>
      <c r="E52" t="s">
        <v>74</v>
      </c>
      <c r="F52" t="s">
        <v>1449</v>
      </c>
      <c r="G52" t="s">
        <v>1482</v>
      </c>
      <c r="H52">
        <v>850</v>
      </c>
      <c r="J52">
        <v>5511</v>
      </c>
      <c r="K52" t="s">
        <v>106</v>
      </c>
      <c r="L52">
        <v>55</v>
      </c>
      <c r="M52" t="s">
        <v>2219</v>
      </c>
      <c r="N52" t="s">
        <v>131</v>
      </c>
      <c r="O52" t="s">
        <v>549</v>
      </c>
      <c r="P52" t="s">
        <v>85</v>
      </c>
    </row>
    <row r="53" spans="1:16" hidden="1" x14ac:dyDescent="0.25">
      <c r="A53" t="s">
        <v>800</v>
      </c>
      <c r="B53" t="s">
        <v>345</v>
      </c>
      <c r="C53" t="s">
        <v>346</v>
      </c>
      <c r="D53" t="s">
        <v>582</v>
      </c>
      <c r="E53" t="s">
        <v>74</v>
      </c>
      <c r="F53" t="s">
        <v>1449</v>
      </c>
      <c r="G53" t="s">
        <v>194</v>
      </c>
      <c r="H53">
        <v>10000</v>
      </c>
      <c r="I53" t="s">
        <v>1493</v>
      </c>
      <c r="J53">
        <v>5511</v>
      </c>
      <c r="K53" t="s">
        <v>106</v>
      </c>
      <c r="L53">
        <v>55</v>
      </c>
      <c r="M53" t="s">
        <v>2219</v>
      </c>
      <c r="N53" t="s">
        <v>131</v>
      </c>
      <c r="O53" t="s">
        <v>549</v>
      </c>
      <c r="P53" t="s">
        <v>85</v>
      </c>
    </row>
    <row r="54" spans="1:16" hidden="1" x14ac:dyDescent="0.25">
      <c r="A54" t="s">
        <v>800</v>
      </c>
      <c r="B54" t="s">
        <v>345</v>
      </c>
      <c r="C54" t="s">
        <v>346</v>
      </c>
      <c r="D54" t="s">
        <v>582</v>
      </c>
      <c r="E54" t="s">
        <v>74</v>
      </c>
      <c r="F54" t="s">
        <v>1449</v>
      </c>
      <c r="G54" t="s">
        <v>1481</v>
      </c>
      <c r="H54">
        <v>11000</v>
      </c>
      <c r="I54" t="s">
        <v>1492</v>
      </c>
      <c r="J54">
        <v>5511</v>
      </c>
      <c r="K54" t="s">
        <v>106</v>
      </c>
      <c r="L54">
        <v>55</v>
      </c>
      <c r="M54" t="s">
        <v>2219</v>
      </c>
      <c r="N54" t="s">
        <v>131</v>
      </c>
      <c r="O54" t="s">
        <v>549</v>
      </c>
      <c r="P54" t="s">
        <v>85</v>
      </c>
    </row>
    <row r="55" spans="1:16" hidden="1" x14ac:dyDescent="0.25">
      <c r="A55" t="s">
        <v>800</v>
      </c>
      <c r="B55" t="s">
        <v>345</v>
      </c>
      <c r="C55" t="s">
        <v>346</v>
      </c>
      <c r="D55" t="s">
        <v>582</v>
      </c>
      <c r="E55" t="s">
        <v>74</v>
      </c>
      <c r="F55" t="s">
        <v>1449</v>
      </c>
      <c r="G55" t="s">
        <v>178</v>
      </c>
      <c r="H55">
        <v>37894</v>
      </c>
      <c r="I55" t="s">
        <v>1491</v>
      </c>
      <c r="J55">
        <v>5511</v>
      </c>
      <c r="K55" t="s">
        <v>106</v>
      </c>
      <c r="L55">
        <v>55</v>
      </c>
      <c r="M55" t="s">
        <v>2219</v>
      </c>
      <c r="N55" t="s">
        <v>131</v>
      </c>
      <c r="O55" t="s">
        <v>549</v>
      </c>
      <c r="P55" t="s">
        <v>85</v>
      </c>
    </row>
    <row r="56" spans="1:16" hidden="1" x14ac:dyDescent="0.25">
      <c r="A56" t="s">
        <v>800</v>
      </c>
      <c r="B56" t="s">
        <v>345</v>
      </c>
      <c r="C56" t="s">
        <v>346</v>
      </c>
      <c r="D56" t="s">
        <v>582</v>
      </c>
      <c r="E56" t="s">
        <v>74</v>
      </c>
      <c r="F56" t="s">
        <v>1449</v>
      </c>
      <c r="G56" t="s">
        <v>177</v>
      </c>
      <c r="H56">
        <v>115000</v>
      </c>
      <c r="I56" t="s">
        <v>1490</v>
      </c>
      <c r="J56">
        <v>5511</v>
      </c>
      <c r="K56" t="s">
        <v>106</v>
      </c>
      <c r="L56">
        <v>55</v>
      </c>
      <c r="M56" t="s">
        <v>2219</v>
      </c>
      <c r="N56" t="s">
        <v>131</v>
      </c>
      <c r="O56" t="s">
        <v>549</v>
      </c>
      <c r="P56" t="s">
        <v>85</v>
      </c>
    </row>
    <row r="57" spans="1:16" hidden="1" x14ac:dyDescent="0.25">
      <c r="A57" t="s">
        <v>800</v>
      </c>
      <c r="B57" t="s">
        <v>345</v>
      </c>
      <c r="C57" t="s">
        <v>346</v>
      </c>
      <c r="D57" t="s">
        <v>582</v>
      </c>
      <c r="E57" t="s">
        <v>74</v>
      </c>
      <c r="F57" t="s">
        <v>1449</v>
      </c>
      <c r="G57" t="s">
        <v>1515</v>
      </c>
      <c r="H57">
        <v>3500</v>
      </c>
      <c r="J57">
        <v>5525</v>
      </c>
      <c r="K57" t="s">
        <v>118</v>
      </c>
      <c r="L57">
        <v>55</v>
      </c>
      <c r="M57" t="s">
        <v>2219</v>
      </c>
      <c r="N57" t="s">
        <v>131</v>
      </c>
      <c r="O57" t="s">
        <v>549</v>
      </c>
      <c r="P57" t="s">
        <v>85</v>
      </c>
    </row>
    <row r="58" spans="1:16" hidden="1" x14ac:dyDescent="0.25">
      <c r="A58" t="s">
        <v>800</v>
      </c>
      <c r="B58" t="s">
        <v>345</v>
      </c>
      <c r="C58" t="s">
        <v>346</v>
      </c>
      <c r="D58" t="s">
        <v>582</v>
      </c>
      <c r="E58" t="s">
        <v>74</v>
      </c>
      <c r="F58" t="s">
        <v>1449</v>
      </c>
      <c r="G58" t="s">
        <v>1514</v>
      </c>
      <c r="H58">
        <v>13000</v>
      </c>
      <c r="J58">
        <v>5525</v>
      </c>
      <c r="K58" t="s">
        <v>118</v>
      </c>
      <c r="L58">
        <v>55</v>
      </c>
      <c r="M58" t="s">
        <v>2219</v>
      </c>
      <c r="N58" t="s">
        <v>131</v>
      </c>
      <c r="O58" t="s">
        <v>549</v>
      </c>
      <c r="P58" t="s">
        <v>85</v>
      </c>
    </row>
    <row r="59" spans="1:16" hidden="1" x14ac:dyDescent="0.25">
      <c r="A59" t="s">
        <v>800</v>
      </c>
      <c r="B59" t="s">
        <v>345</v>
      </c>
      <c r="C59" t="s">
        <v>346</v>
      </c>
      <c r="D59" t="s">
        <v>582</v>
      </c>
      <c r="E59" t="s">
        <v>74</v>
      </c>
      <c r="F59" t="s">
        <v>1449</v>
      </c>
      <c r="G59" t="s">
        <v>1512</v>
      </c>
      <c r="H59">
        <v>20000</v>
      </c>
      <c r="J59">
        <v>5524</v>
      </c>
      <c r="K59" t="s">
        <v>117</v>
      </c>
      <c r="L59">
        <v>55</v>
      </c>
      <c r="M59" t="s">
        <v>2219</v>
      </c>
      <c r="N59" t="s">
        <v>131</v>
      </c>
      <c r="O59" t="s">
        <v>549</v>
      </c>
      <c r="P59" t="s">
        <v>85</v>
      </c>
    </row>
    <row r="60" spans="1:16" hidden="1" x14ac:dyDescent="0.25">
      <c r="A60" t="s">
        <v>800</v>
      </c>
      <c r="B60" t="s">
        <v>345</v>
      </c>
      <c r="C60" t="s">
        <v>346</v>
      </c>
      <c r="D60" t="s">
        <v>582</v>
      </c>
      <c r="E60" t="s">
        <v>74</v>
      </c>
      <c r="F60" t="s">
        <v>1449</v>
      </c>
      <c r="G60" t="s">
        <v>1511</v>
      </c>
      <c r="H60">
        <v>1700</v>
      </c>
      <c r="J60">
        <v>5524</v>
      </c>
      <c r="K60" t="s">
        <v>117</v>
      </c>
      <c r="L60">
        <v>55</v>
      </c>
      <c r="M60" t="s">
        <v>2219</v>
      </c>
      <c r="N60" t="s">
        <v>131</v>
      </c>
      <c r="O60" t="s">
        <v>549</v>
      </c>
      <c r="P60" t="s">
        <v>85</v>
      </c>
    </row>
    <row r="61" spans="1:16" hidden="1" x14ac:dyDescent="0.25">
      <c r="A61" t="s">
        <v>800</v>
      </c>
      <c r="B61" t="s">
        <v>345</v>
      </c>
      <c r="C61" t="s">
        <v>346</v>
      </c>
      <c r="D61" t="s">
        <v>582</v>
      </c>
      <c r="E61" t="s">
        <v>74</v>
      </c>
      <c r="F61" t="s">
        <v>1449</v>
      </c>
      <c r="G61" t="s">
        <v>1510</v>
      </c>
      <c r="H61">
        <v>35000</v>
      </c>
      <c r="J61">
        <v>5524</v>
      </c>
      <c r="K61" t="s">
        <v>117</v>
      </c>
      <c r="L61">
        <v>55</v>
      </c>
      <c r="M61" t="s">
        <v>2219</v>
      </c>
      <c r="N61" t="s">
        <v>131</v>
      </c>
      <c r="O61" t="s">
        <v>549</v>
      </c>
      <c r="P61" t="s">
        <v>85</v>
      </c>
    </row>
    <row r="62" spans="1:16" hidden="1" x14ac:dyDescent="0.25">
      <c r="A62" t="s">
        <v>800</v>
      </c>
      <c r="B62" t="s">
        <v>345</v>
      </c>
      <c r="C62" t="s">
        <v>346</v>
      </c>
      <c r="D62" t="s">
        <v>582</v>
      </c>
      <c r="E62" t="s">
        <v>74</v>
      </c>
      <c r="F62" t="s">
        <v>1449</v>
      </c>
      <c r="G62" t="s">
        <v>1509</v>
      </c>
      <c r="H62">
        <v>1500</v>
      </c>
      <c r="I62" t="s">
        <v>1513</v>
      </c>
      <c r="J62">
        <v>5522</v>
      </c>
      <c r="K62" t="s">
        <v>115</v>
      </c>
      <c r="L62">
        <v>55</v>
      </c>
      <c r="M62" t="s">
        <v>2219</v>
      </c>
      <c r="N62" t="s">
        <v>131</v>
      </c>
      <c r="O62" t="s">
        <v>549</v>
      </c>
      <c r="P62" t="s">
        <v>85</v>
      </c>
    </row>
    <row r="63" spans="1:16" hidden="1" x14ac:dyDescent="0.25">
      <c r="A63" t="s">
        <v>800</v>
      </c>
      <c r="B63" t="s">
        <v>345</v>
      </c>
      <c r="C63" t="s">
        <v>346</v>
      </c>
      <c r="D63" t="s">
        <v>582</v>
      </c>
      <c r="E63" t="s">
        <v>74</v>
      </c>
      <c r="F63" t="s">
        <v>1449</v>
      </c>
      <c r="G63" t="s">
        <v>1508</v>
      </c>
      <c r="H63">
        <v>5000</v>
      </c>
      <c r="J63">
        <v>5515</v>
      </c>
      <c r="K63" t="s">
        <v>112</v>
      </c>
      <c r="L63">
        <v>55</v>
      </c>
      <c r="M63" t="s">
        <v>2219</v>
      </c>
      <c r="N63" t="s">
        <v>131</v>
      </c>
      <c r="O63" t="s">
        <v>549</v>
      </c>
      <c r="P63" t="s">
        <v>85</v>
      </c>
    </row>
    <row r="64" spans="1:16" hidden="1" x14ac:dyDescent="0.25">
      <c r="A64" t="s">
        <v>800</v>
      </c>
      <c r="B64" t="s">
        <v>345</v>
      </c>
      <c r="C64" t="s">
        <v>346</v>
      </c>
      <c r="D64" t="s">
        <v>582</v>
      </c>
      <c r="E64" t="s">
        <v>74</v>
      </c>
      <c r="F64" t="s">
        <v>1449</v>
      </c>
      <c r="G64" t="s">
        <v>1499</v>
      </c>
      <c r="H64">
        <v>850</v>
      </c>
      <c r="I64" t="s">
        <v>1504</v>
      </c>
      <c r="J64">
        <v>5513</v>
      </c>
      <c r="K64" t="s">
        <v>111</v>
      </c>
      <c r="L64">
        <v>55</v>
      </c>
      <c r="M64" t="s">
        <v>2219</v>
      </c>
      <c r="N64" t="s">
        <v>131</v>
      </c>
      <c r="O64" t="s">
        <v>549</v>
      </c>
      <c r="P64" t="s">
        <v>85</v>
      </c>
    </row>
    <row r="65" spans="1:16" hidden="1" x14ac:dyDescent="0.25">
      <c r="A65" t="s">
        <v>800</v>
      </c>
      <c r="B65" t="s">
        <v>345</v>
      </c>
      <c r="C65" t="s">
        <v>346</v>
      </c>
      <c r="D65" t="s">
        <v>582</v>
      </c>
      <c r="E65" t="s">
        <v>74</v>
      </c>
      <c r="F65" t="s">
        <v>1449</v>
      </c>
      <c r="G65" t="s">
        <v>1498</v>
      </c>
      <c r="H65">
        <v>1900</v>
      </c>
      <c r="I65" t="s">
        <v>1503</v>
      </c>
      <c r="J65">
        <v>5513</v>
      </c>
      <c r="K65" t="s">
        <v>111</v>
      </c>
      <c r="L65">
        <v>55</v>
      </c>
      <c r="M65" t="s">
        <v>2219</v>
      </c>
      <c r="N65" t="s">
        <v>131</v>
      </c>
      <c r="O65" t="s">
        <v>549</v>
      </c>
      <c r="P65" t="s">
        <v>85</v>
      </c>
    </row>
    <row r="66" spans="1:16" hidden="1" x14ac:dyDescent="0.25">
      <c r="A66" t="s">
        <v>800</v>
      </c>
      <c r="B66" t="s">
        <v>345</v>
      </c>
      <c r="C66" t="s">
        <v>346</v>
      </c>
      <c r="D66" t="s">
        <v>582</v>
      </c>
      <c r="E66" t="s">
        <v>74</v>
      </c>
      <c r="F66" t="s">
        <v>1449</v>
      </c>
      <c r="G66" t="s">
        <v>415</v>
      </c>
      <c r="H66">
        <v>1750</v>
      </c>
      <c r="I66" t="s">
        <v>1502</v>
      </c>
      <c r="J66">
        <v>5513</v>
      </c>
      <c r="K66" t="s">
        <v>111</v>
      </c>
      <c r="L66">
        <v>55</v>
      </c>
      <c r="M66" t="s">
        <v>2219</v>
      </c>
      <c r="N66" t="s">
        <v>131</v>
      </c>
      <c r="O66" t="s">
        <v>549</v>
      </c>
      <c r="P66" t="s">
        <v>85</v>
      </c>
    </row>
    <row r="67" spans="1:16" hidden="1" x14ac:dyDescent="0.25">
      <c r="A67" t="s">
        <v>800</v>
      </c>
      <c r="B67" t="s">
        <v>345</v>
      </c>
      <c r="C67" t="s">
        <v>346</v>
      </c>
      <c r="D67" t="s">
        <v>582</v>
      </c>
      <c r="E67" t="s">
        <v>74</v>
      </c>
      <c r="F67" t="s">
        <v>1449</v>
      </c>
      <c r="G67" t="s">
        <v>1497</v>
      </c>
      <c r="H67">
        <v>11000</v>
      </c>
      <c r="I67" t="s">
        <v>1501</v>
      </c>
      <c r="J67">
        <v>5513</v>
      </c>
      <c r="K67" t="s">
        <v>111</v>
      </c>
      <c r="L67">
        <v>55</v>
      </c>
      <c r="M67" t="s">
        <v>2219</v>
      </c>
      <c r="N67" t="s">
        <v>131</v>
      </c>
      <c r="O67" t="s">
        <v>549</v>
      </c>
      <c r="P67" t="s">
        <v>85</v>
      </c>
    </row>
    <row r="68" spans="1:16" hidden="1" x14ac:dyDescent="0.25">
      <c r="A68" t="s">
        <v>800</v>
      </c>
      <c r="B68" t="s">
        <v>345</v>
      </c>
      <c r="C68" t="s">
        <v>346</v>
      </c>
      <c r="D68" t="s">
        <v>582</v>
      </c>
      <c r="E68" t="s">
        <v>74</v>
      </c>
      <c r="F68" t="s">
        <v>1449</v>
      </c>
      <c r="G68" t="s">
        <v>1505</v>
      </c>
      <c r="H68">
        <v>7000</v>
      </c>
      <c r="I68" t="s">
        <v>1500</v>
      </c>
      <c r="J68">
        <v>5513</v>
      </c>
      <c r="K68" t="s">
        <v>111</v>
      </c>
      <c r="L68">
        <v>55</v>
      </c>
      <c r="M68" t="s">
        <v>2219</v>
      </c>
      <c r="N68" t="s">
        <v>131</v>
      </c>
      <c r="O68" t="s">
        <v>549</v>
      </c>
      <c r="P68" t="s">
        <v>85</v>
      </c>
    </row>
    <row r="69" spans="1:16" hidden="1" x14ac:dyDescent="0.25">
      <c r="A69" t="s">
        <v>800</v>
      </c>
      <c r="B69" t="s">
        <v>345</v>
      </c>
      <c r="C69" t="s">
        <v>346</v>
      </c>
      <c r="D69" t="s">
        <v>582</v>
      </c>
      <c r="E69" t="s">
        <v>74</v>
      </c>
      <c r="F69" t="s">
        <v>1449</v>
      </c>
      <c r="G69" t="s">
        <v>176</v>
      </c>
      <c r="H69">
        <v>800</v>
      </c>
      <c r="I69" t="s">
        <v>1480</v>
      </c>
      <c r="J69">
        <v>5504</v>
      </c>
      <c r="K69" t="s">
        <v>102</v>
      </c>
      <c r="L69">
        <v>55</v>
      </c>
      <c r="M69" t="s">
        <v>2219</v>
      </c>
      <c r="N69" t="s">
        <v>131</v>
      </c>
      <c r="O69" t="s">
        <v>549</v>
      </c>
      <c r="P69" t="s">
        <v>85</v>
      </c>
    </row>
    <row r="70" spans="1:16" hidden="1" x14ac:dyDescent="0.25">
      <c r="A70" t="s">
        <v>800</v>
      </c>
      <c r="B70" t="s">
        <v>345</v>
      </c>
      <c r="C70" t="s">
        <v>346</v>
      </c>
      <c r="D70" t="s">
        <v>582</v>
      </c>
      <c r="E70" t="s">
        <v>74</v>
      </c>
      <c r="F70" t="s">
        <v>1449</v>
      </c>
      <c r="G70" t="s">
        <v>1469</v>
      </c>
      <c r="H70">
        <v>150</v>
      </c>
      <c r="I70" t="s">
        <v>1479</v>
      </c>
      <c r="J70">
        <v>5500</v>
      </c>
      <c r="K70" t="s">
        <v>100</v>
      </c>
      <c r="L70">
        <v>55</v>
      </c>
      <c r="M70" t="s">
        <v>2219</v>
      </c>
      <c r="N70" t="s">
        <v>131</v>
      </c>
      <c r="O70" t="s">
        <v>549</v>
      </c>
      <c r="P70" t="s">
        <v>85</v>
      </c>
    </row>
    <row r="71" spans="1:16" hidden="1" x14ac:dyDescent="0.25">
      <c r="A71" t="s">
        <v>800</v>
      </c>
      <c r="B71" t="s">
        <v>345</v>
      </c>
      <c r="C71" t="s">
        <v>346</v>
      </c>
      <c r="D71" t="s">
        <v>582</v>
      </c>
      <c r="E71" t="s">
        <v>74</v>
      </c>
      <c r="F71" t="s">
        <v>1449</v>
      </c>
      <c r="G71" t="s">
        <v>1468</v>
      </c>
      <c r="H71">
        <v>960</v>
      </c>
      <c r="I71" t="s">
        <v>1478</v>
      </c>
      <c r="J71">
        <v>5500</v>
      </c>
      <c r="K71" t="s">
        <v>100</v>
      </c>
      <c r="L71">
        <v>55</v>
      </c>
      <c r="M71" t="s">
        <v>2219</v>
      </c>
      <c r="N71" t="s">
        <v>131</v>
      </c>
      <c r="O71" t="s">
        <v>549</v>
      </c>
      <c r="P71" t="s">
        <v>85</v>
      </c>
    </row>
    <row r="72" spans="1:16" hidden="1" x14ac:dyDescent="0.25">
      <c r="A72" t="s">
        <v>800</v>
      </c>
      <c r="B72" t="s">
        <v>345</v>
      </c>
      <c r="C72" t="s">
        <v>346</v>
      </c>
      <c r="D72" t="s">
        <v>582</v>
      </c>
      <c r="E72" t="s">
        <v>74</v>
      </c>
      <c r="F72" t="s">
        <v>1449</v>
      </c>
      <c r="G72" t="s">
        <v>1091</v>
      </c>
      <c r="H72">
        <v>4000</v>
      </c>
      <c r="I72" t="s">
        <v>1477</v>
      </c>
      <c r="J72">
        <v>5500</v>
      </c>
      <c r="K72" t="s">
        <v>100</v>
      </c>
      <c r="L72">
        <v>55</v>
      </c>
      <c r="M72" t="s">
        <v>2219</v>
      </c>
      <c r="N72" t="s">
        <v>131</v>
      </c>
      <c r="O72" t="s">
        <v>549</v>
      </c>
      <c r="P72" t="s">
        <v>85</v>
      </c>
    </row>
    <row r="73" spans="1:16" hidden="1" x14ac:dyDescent="0.25">
      <c r="A73" t="s">
        <v>800</v>
      </c>
      <c r="B73" t="s">
        <v>345</v>
      </c>
      <c r="C73" t="s">
        <v>346</v>
      </c>
      <c r="D73" t="s">
        <v>582</v>
      </c>
      <c r="E73" t="s">
        <v>74</v>
      </c>
      <c r="F73" t="s">
        <v>1449</v>
      </c>
      <c r="G73" t="s">
        <v>408</v>
      </c>
      <c r="H73">
        <v>550</v>
      </c>
      <c r="I73" t="s">
        <v>1476</v>
      </c>
      <c r="J73">
        <v>5500</v>
      </c>
      <c r="K73" t="s">
        <v>100</v>
      </c>
      <c r="L73">
        <v>55</v>
      </c>
      <c r="M73" t="s">
        <v>2219</v>
      </c>
      <c r="N73" t="s">
        <v>131</v>
      </c>
      <c r="O73" t="s">
        <v>549</v>
      </c>
      <c r="P73" t="s">
        <v>85</v>
      </c>
    </row>
    <row r="74" spans="1:16" hidden="1" x14ac:dyDescent="0.25">
      <c r="A74" t="s">
        <v>800</v>
      </c>
      <c r="B74" t="s">
        <v>345</v>
      </c>
      <c r="C74" t="s">
        <v>346</v>
      </c>
      <c r="D74" t="s">
        <v>582</v>
      </c>
      <c r="E74" t="s">
        <v>74</v>
      </c>
      <c r="F74" t="s">
        <v>1449</v>
      </c>
      <c r="G74" t="s">
        <v>171</v>
      </c>
      <c r="H74">
        <v>1320</v>
      </c>
      <c r="I74" t="s">
        <v>1475</v>
      </c>
      <c r="J74">
        <v>5500</v>
      </c>
      <c r="K74" t="s">
        <v>100</v>
      </c>
      <c r="L74">
        <v>55</v>
      </c>
      <c r="M74" t="s">
        <v>2219</v>
      </c>
      <c r="N74" t="s">
        <v>131</v>
      </c>
      <c r="O74" t="s">
        <v>549</v>
      </c>
      <c r="P74" t="s">
        <v>85</v>
      </c>
    </row>
    <row r="75" spans="1:16" hidden="1" x14ac:dyDescent="0.25">
      <c r="A75" t="s">
        <v>800</v>
      </c>
      <c r="B75" t="s">
        <v>345</v>
      </c>
      <c r="C75" t="s">
        <v>346</v>
      </c>
      <c r="D75" t="s">
        <v>582</v>
      </c>
      <c r="E75" t="s">
        <v>74</v>
      </c>
      <c r="F75" t="s">
        <v>1449</v>
      </c>
      <c r="G75" t="s">
        <v>1467</v>
      </c>
      <c r="H75">
        <v>350</v>
      </c>
      <c r="I75" t="s">
        <v>1474</v>
      </c>
      <c r="J75">
        <v>5500</v>
      </c>
      <c r="K75" t="s">
        <v>100</v>
      </c>
      <c r="L75">
        <v>55</v>
      </c>
      <c r="M75" t="s">
        <v>2219</v>
      </c>
      <c r="N75" t="s">
        <v>131</v>
      </c>
      <c r="O75" t="s">
        <v>549</v>
      </c>
      <c r="P75" t="s">
        <v>85</v>
      </c>
    </row>
    <row r="76" spans="1:16" hidden="1" x14ac:dyDescent="0.25">
      <c r="A76" t="s">
        <v>800</v>
      </c>
      <c r="B76" t="s">
        <v>345</v>
      </c>
      <c r="C76" t="s">
        <v>346</v>
      </c>
      <c r="D76" t="s">
        <v>582</v>
      </c>
      <c r="E76" t="s">
        <v>74</v>
      </c>
      <c r="F76" t="s">
        <v>1449</v>
      </c>
      <c r="G76" t="s">
        <v>1466</v>
      </c>
      <c r="H76">
        <v>750</v>
      </c>
      <c r="I76" t="s">
        <v>1473</v>
      </c>
      <c r="J76">
        <v>5500</v>
      </c>
      <c r="K76" t="s">
        <v>100</v>
      </c>
      <c r="L76">
        <v>55</v>
      </c>
      <c r="M76" t="s">
        <v>2219</v>
      </c>
      <c r="N76" t="s">
        <v>131</v>
      </c>
      <c r="O76" t="s">
        <v>549</v>
      </c>
      <c r="P76" t="s">
        <v>85</v>
      </c>
    </row>
    <row r="77" spans="1:16" hidden="1" x14ac:dyDescent="0.25">
      <c r="A77" t="s">
        <v>800</v>
      </c>
      <c r="B77" t="s">
        <v>345</v>
      </c>
      <c r="C77" t="s">
        <v>346</v>
      </c>
      <c r="D77" t="s">
        <v>582</v>
      </c>
      <c r="E77" t="s">
        <v>74</v>
      </c>
      <c r="F77" t="s">
        <v>1449</v>
      </c>
      <c r="G77" t="s">
        <v>832</v>
      </c>
      <c r="H77">
        <v>250</v>
      </c>
      <c r="I77" t="s">
        <v>1472</v>
      </c>
      <c r="J77">
        <v>5500</v>
      </c>
      <c r="K77" t="s">
        <v>100</v>
      </c>
      <c r="L77">
        <v>55</v>
      </c>
      <c r="M77" t="s">
        <v>2219</v>
      </c>
      <c r="N77" t="s">
        <v>131</v>
      </c>
      <c r="O77" t="s">
        <v>549</v>
      </c>
      <c r="P77" t="s">
        <v>85</v>
      </c>
    </row>
    <row r="78" spans="1:16" hidden="1" x14ac:dyDescent="0.25">
      <c r="A78" t="s">
        <v>800</v>
      </c>
      <c r="B78" t="s">
        <v>345</v>
      </c>
      <c r="C78" t="s">
        <v>346</v>
      </c>
      <c r="D78" t="s">
        <v>582</v>
      </c>
      <c r="E78" t="s">
        <v>74</v>
      </c>
      <c r="F78" t="s">
        <v>1449</v>
      </c>
      <c r="G78" t="s">
        <v>1465</v>
      </c>
      <c r="H78">
        <v>210</v>
      </c>
      <c r="I78" t="s">
        <v>1471</v>
      </c>
      <c r="J78">
        <v>5500</v>
      </c>
      <c r="K78" t="s">
        <v>100</v>
      </c>
      <c r="L78">
        <v>55</v>
      </c>
      <c r="M78" t="s">
        <v>2219</v>
      </c>
      <c r="N78" t="s">
        <v>131</v>
      </c>
      <c r="O78" t="s">
        <v>549</v>
      </c>
      <c r="P78" t="s">
        <v>85</v>
      </c>
    </row>
    <row r="79" spans="1:16" hidden="1" x14ac:dyDescent="0.25">
      <c r="A79" t="s">
        <v>800</v>
      </c>
      <c r="B79" t="s">
        <v>345</v>
      </c>
      <c r="C79" t="s">
        <v>346</v>
      </c>
      <c r="D79" t="s">
        <v>582</v>
      </c>
      <c r="E79" t="s">
        <v>74</v>
      </c>
      <c r="F79" t="s">
        <v>1449</v>
      </c>
      <c r="G79" t="s">
        <v>1464</v>
      </c>
      <c r="H79">
        <v>5940</v>
      </c>
      <c r="I79" t="s">
        <v>1470</v>
      </c>
      <c r="J79">
        <v>5500</v>
      </c>
      <c r="K79" t="s">
        <v>100</v>
      </c>
      <c r="L79">
        <v>55</v>
      </c>
      <c r="M79" t="s">
        <v>2219</v>
      </c>
      <c r="N79" t="s">
        <v>131</v>
      </c>
      <c r="O79" t="s">
        <v>549</v>
      </c>
      <c r="P79" t="s">
        <v>85</v>
      </c>
    </row>
    <row r="80" spans="1:16" hidden="1" x14ac:dyDescent="0.25">
      <c r="A80" t="s">
        <v>800</v>
      </c>
      <c r="B80" t="s">
        <v>343</v>
      </c>
      <c r="C80" t="s">
        <v>344</v>
      </c>
      <c r="D80" t="s">
        <v>582</v>
      </c>
      <c r="E80" t="s">
        <v>74</v>
      </c>
      <c r="F80" t="s">
        <v>1726</v>
      </c>
      <c r="G80" t="s">
        <v>2200</v>
      </c>
      <c r="H80">
        <v>741</v>
      </c>
      <c r="I80" t="s">
        <v>2203</v>
      </c>
      <c r="J80">
        <v>5524</v>
      </c>
      <c r="K80" t="s">
        <v>117</v>
      </c>
      <c r="L80">
        <v>55</v>
      </c>
      <c r="M80" t="s">
        <v>2219</v>
      </c>
      <c r="N80" t="s">
        <v>131</v>
      </c>
      <c r="O80" t="s">
        <v>549</v>
      </c>
      <c r="P80" t="s">
        <v>85</v>
      </c>
    </row>
    <row r="81" spans="1:16" hidden="1" x14ac:dyDescent="0.25">
      <c r="A81" t="s">
        <v>800</v>
      </c>
      <c r="B81" t="s">
        <v>343</v>
      </c>
      <c r="C81" t="s">
        <v>344</v>
      </c>
      <c r="D81" t="s">
        <v>582</v>
      </c>
      <c r="E81" t="s">
        <v>74</v>
      </c>
      <c r="F81" t="s">
        <v>1726</v>
      </c>
      <c r="G81" t="s">
        <v>2199</v>
      </c>
      <c r="H81">
        <v>200</v>
      </c>
      <c r="I81" t="s">
        <v>2203</v>
      </c>
      <c r="J81">
        <v>5504</v>
      </c>
      <c r="K81" t="s">
        <v>102</v>
      </c>
      <c r="L81">
        <v>55</v>
      </c>
      <c r="M81" t="s">
        <v>2219</v>
      </c>
      <c r="N81" t="s">
        <v>131</v>
      </c>
      <c r="O81" t="s">
        <v>549</v>
      </c>
      <c r="P81" t="s">
        <v>85</v>
      </c>
    </row>
    <row r="82" spans="1:16" hidden="1" x14ac:dyDescent="0.25">
      <c r="A82" t="s">
        <v>800</v>
      </c>
      <c r="B82" t="s">
        <v>343</v>
      </c>
      <c r="C82" t="s">
        <v>344</v>
      </c>
      <c r="D82" t="s">
        <v>582</v>
      </c>
      <c r="E82" t="s">
        <v>74</v>
      </c>
      <c r="F82" t="s">
        <v>1726</v>
      </c>
      <c r="G82" t="s">
        <v>1758</v>
      </c>
      <c r="H82">
        <v>100</v>
      </c>
      <c r="J82">
        <v>5514</v>
      </c>
      <c r="K82" t="s">
        <v>110</v>
      </c>
      <c r="L82">
        <v>55</v>
      </c>
      <c r="M82" t="s">
        <v>2219</v>
      </c>
      <c r="N82" t="s">
        <v>131</v>
      </c>
      <c r="O82" t="s">
        <v>549</v>
      </c>
      <c r="P82" t="s">
        <v>85</v>
      </c>
    </row>
    <row r="83" spans="1:16" hidden="1" x14ac:dyDescent="0.25">
      <c r="A83" t="s">
        <v>800</v>
      </c>
      <c r="B83" t="s">
        <v>343</v>
      </c>
      <c r="C83" t="s">
        <v>344</v>
      </c>
      <c r="D83" t="s">
        <v>582</v>
      </c>
      <c r="E83" t="s">
        <v>74</v>
      </c>
      <c r="F83" t="s">
        <v>1726</v>
      </c>
      <c r="G83" t="s">
        <v>1753</v>
      </c>
      <c r="H83">
        <v>150</v>
      </c>
      <c r="J83">
        <v>5514</v>
      </c>
      <c r="K83" t="s">
        <v>110</v>
      </c>
      <c r="L83">
        <v>55</v>
      </c>
      <c r="M83" t="s">
        <v>2219</v>
      </c>
      <c r="N83" t="s">
        <v>131</v>
      </c>
      <c r="O83" t="s">
        <v>549</v>
      </c>
      <c r="P83" t="s">
        <v>85</v>
      </c>
    </row>
    <row r="84" spans="1:16" hidden="1" x14ac:dyDescent="0.25">
      <c r="A84" t="s">
        <v>800</v>
      </c>
      <c r="B84" t="s">
        <v>343</v>
      </c>
      <c r="C84" t="s">
        <v>344</v>
      </c>
      <c r="D84" t="s">
        <v>582</v>
      </c>
      <c r="E84" t="s">
        <v>74</v>
      </c>
      <c r="F84" t="s">
        <v>1726</v>
      </c>
      <c r="G84" t="s">
        <v>242</v>
      </c>
      <c r="H84">
        <v>650</v>
      </c>
      <c r="J84">
        <v>5514</v>
      </c>
      <c r="K84" t="s">
        <v>110</v>
      </c>
      <c r="L84">
        <v>55</v>
      </c>
      <c r="M84" t="s">
        <v>2219</v>
      </c>
      <c r="N84" t="s">
        <v>131</v>
      </c>
      <c r="O84" t="s">
        <v>549</v>
      </c>
      <c r="P84" t="s">
        <v>85</v>
      </c>
    </row>
    <row r="85" spans="1:16" hidden="1" x14ac:dyDescent="0.25">
      <c r="A85" t="s">
        <v>800</v>
      </c>
      <c r="B85" t="s">
        <v>343</v>
      </c>
      <c r="C85" t="s">
        <v>344</v>
      </c>
      <c r="D85" t="s">
        <v>582</v>
      </c>
      <c r="E85" t="s">
        <v>74</v>
      </c>
      <c r="F85" t="s">
        <v>1726</v>
      </c>
      <c r="G85" t="s">
        <v>1289</v>
      </c>
      <c r="H85">
        <v>500</v>
      </c>
      <c r="J85">
        <v>5511</v>
      </c>
      <c r="K85" t="s">
        <v>106</v>
      </c>
      <c r="L85">
        <v>55</v>
      </c>
      <c r="M85" t="s">
        <v>2219</v>
      </c>
      <c r="N85" t="s">
        <v>131</v>
      </c>
      <c r="O85" t="s">
        <v>549</v>
      </c>
      <c r="P85" t="s">
        <v>85</v>
      </c>
    </row>
    <row r="86" spans="1:16" hidden="1" x14ac:dyDescent="0.25">
      <c r="A86" t="s">
        <v>800</v>
      </c>
      <c r="B86" t="s">
        <v>343</v>
      </c>
      <c r="C86" t="s">
        <v>344</v>
      </c>
      <c r="D86" t="s">
        <v>582</v>
      </c>
      <c r="E86" t="s">
        <v>74</v>
      </c>
      <c r="F86" t="s">
        <v>1726</v>
      </c>
      <c r="G86" t="s">
        <v>1749</v>
      </c>
      <c r="H86">
        <v>200</v>
      </c>
      <c r="J86">
        <v>5511</v>
      </c>
      <c r="K86" t="s">
        <v>106</v>
      </c>
      <c r="L86">
        <v>55</v>
      </c>
      <c r="M86" t="s">
        <v>2219</v>
      </c>
      <c r="N86" t="s">
        <v>131</v>
      </c>
      <c r="O86" t="s">
        <v>549</v>
      </c>
      <c r="P86" t="s">
        <v>85</v>
      </c>
    </row>
    <row r="87" spans="1:16" hidden="1" x14ac:dyDescent="0.25">
      <c r="A87" t="s">
        <v>800</v>
      </c>
      <c r="B87" t="s">
        <v>343</v>
      </c>
      <c r="C87" t="s">
        <v>344</v>
      </c>
      <c r="D87" t="s">
        <v>582</v>
      </c>
      <c r="E87" t="s">
        <v>74</v>
      </c>
      <c r="F87" t="s">
        <v>1726</v>
      </c>
      <c r="G87" t="s">
        <v>1748</v>
      </c>
      <c r="H87">
        <v>150</v>
      </c>
      <c r="J87">
        <v>5511</v>
      </c>
      <c r="K87" t="s">
        <v>106</v>
      </c>
      <c r="L87">
        <v>55</v>
      </c>
      <c r="M87" t="s">
        <v>2219</v>
      </c>
      <c r="N87" t="s">
        <v>131</v>
      </c>
      <c r="O87" t="s">
        <v>549</v>
      </c>
      <c r="P87" t="s">
        <v>85</v>
      </c>
    </row>
    <row r="88" spans="1:16" hidden="1" x14ac:dyDescent="0.25">
      <c r="A88" t="s">
        <v>800</v>
      </c>
      <c r="B88" t="s">
        <v>343</v>
      </c>
      <c r="C88" t="s">
        <v>344</v>
      </c>
      <c r="D88" t="s">
        <v>582</v>
      </c>
      <c r="E88" t="s">
        <v>74</v>
      </c>
      <c r="F88" t="s">
        <v>1726</v>
      </c>
      <c r="G88" t="s">
        <v>1747</v>
      </c>
      <c r="H88">
        <v>150</v>
      </c>
      <c r="J88">
        <v>5511</v>
      </c>
      <c r="K88" t="s">
        <v>106</v>
      </c>
      <c r="L88">
        <v>55</v>
      </c>
      <c r="M88" t="s">
        <v>2219</v>
      </c>
      <c r="N88" t="s">
        <v>131</v>
      </c>
      <c r="O88" t="s">
        <v>549</v>
      </c>
      <c r="P88" t="s">
        <v>85</v>
      </c>
    </row>
    <row r="89" spans="1:16" hidden="1" x14ac:dyDescent="0.25">
      <c r="A89" t="s">
        <v>800</v>
      </c>
      <c r="B89" t="s">
        <v>343</v>
      </c>
      <c r="C89" t="s">
        <v>344</v>
      </c>
      <c r="D89" t="s">
        <v>582</v>
      </c>
      <c r="E89" t="s">
        <v>74</v>
      </c>
      <c r="F89" t="s">
        <v>1726</v>
      </c>
      <c r="G89" t="s">
        <v>1746</v>
      </c>
      <c r="H89">
        <v>600</v>
      </c>
      <c r="J89">
        <v>5511</v>
      </c>
      <c r="K89" t="s">
        <v>106</v>
      </c>
      <c r="L89">
        <v>55</v>
      </c>
      <c r="M89" t="s">
        <v>2219</v>
      </c>
      <c r="N89" t="s">
        <v>131</v>
      </c>
      <c r="O89" t="s">
        <v>549</v>
      </c>
      <c r="P89" t="s">
        <v>85</v>
      </c>
    </row>
    <row r="90" spans="1:16" hidden="1" x14ac:dyDescent="0.25">
      <c r="A90" t="s">
        <v>800</v>
      </c>
      <c r="B90" t="s">
        <v>343</v>
      </c>
      <c r="C90" t="s">
        <v>344</v>
      </c>
      <c r="D90" t="s">
        <v>582</v>
      </c>
      <c r="E90" t="s">
        <v>74</v>
      </c>
      <c r="F90" t="s">
        <v>1726</v>
      </c>
      <c r="G90" t="s">
        <v>1745</v>
      </c>
      <c r="H90">
        <v>1100</v>
      </c>
      <c r="J90">
        <v>5511</v>
      </c>
      <c r="K90" t="s">
        <v>106</v>
      </c>
      <c r="L90">
        <v>55</v>
      </c>
      <c r="M90" t="s">
        <v>2219</v>
      </c>
      <c r="N90" t="s">
        <v>131</v>
      </c>
      <c r="O90" t="s">
        <v>549</v>
      </c>
      <c r="P90" t="s">
        <v>85</v>
      </c>
    </row>
    <row r="91" spans="1:16" hidden="1" x14ac:dyDescent="0.25">
      <c r="A91" t="s">
        <v>800</v>
      </c>
      <c r="B91" t="s">
        <v>343</v>
      </c>
      <c r="C91" t="s">
        <v>344</v>
      </c>
      <c r="D91" t="s">
        <v>582</v>
      </c>
      <c r="E91" t="s">
        <v>74</v>
      </c>
      <c r="F91" t="s">
        <v>1726</v>
      </c>
      <c r="G91" t="s">
        <v>1610</v>
      </c>
      <c r="H91">
        <v>80</v>
      </c>
      <c r="J91">
        <v>5511</v>
      </c>
      <c r="K91" t="s">
        <v>106</v>
      </c>
      <c r="L91">
        <v>55</v>
      </c>
      <c r="M91" t="s">
        <v>2219</v>
      </c>
      <c r="N91" t="s">
        <v>131</v>
      </c>
      <c r="O91" t="s">
        <v>549</v>
      </c>
      <c r="P91" t="s">
        <v>85</v>
      </c>
    </row>
    <row r="92" spans="1:16" hidden="1" x14ac:dyDescent="0.25">
      <c r="A92" t="s">
        <v>800</v>
      </c>
      <c r="B92" t="s">
        <v>343</v>
      </c>
      <c r="C92" t="s">
        <v>344</v>
      </c>
      <c r="D92" t="s">
        <v>582</v>
      </c>
      <c r="E92" t="s">
        <v>74</v>
      </c>
      <c r="F92" t="s">
        <v>1726</v>
      </c>
      <c r="G92" t="s">
        <v>1744</v>
      </c>
      <c r="H92">
        <v>200</v>
      </c>
      <c r="J92">
        <v>5511</v>
      </c>
      <c r="K92" t="s">
        <v>106</v>
      </c>
      <c r="L92">
        <v>55</v>
      </c>
      <c r="M92" t="s">
        <v>2219</v>
      </c>
      <c r="N92" t="s">
        <v>131</v>
      </c>
      <c r="O92" t="s">
        <v>549</v>
      </c>
      <c r="P92" t="s">
        <v>85</v>
      </c>
    </row>
    <row r="93" spans="1:16" hidden="1" x14ac:dyDescent="0.25">
      <c r="A93" t="s">
        <v>800</v>
      </c>
      <c r="B93" t="s">
        <v>343</v>
      </c>
      <c r="C93" t="s">
        <v>344</v>
      </c>
      <c r="D93" t="s">
        <v>582</v>
      </c>
      <c r="E93" t="s">
        <v>74</v>
      </c>
      <c r="F93" t="s">
        <v>1726</v>
      </c>
      <c r="G93" t="s">
        <v>1743</v>
      </c>
      <c r="H93">
        <v>600</v>
      </c>
      <c r="J93">
        <v>5511</v>
      </c>
      <c r="K93" t="s">
        <v>106</v>
      </c>
      <c r="L93">
        <v>55</v>
      </c>
      <c r="M93" t="s">
        <v>2219</v>
      </c>
      <c r="N93" t="s">
        <v>131</v>
      </c>
      <c r="O93" t="s">
        <v>549</v>
      </c>
      <c r="P93" t="s">
        <v>85</v>
      </c>
    </row>
    <row r="94" spans="1:16" hidden="1" x14ac:dyDescent="0.25">
      <c r="A94" t="s">
        <v>800</v>
      </c>
      <c r="B94" t="s">
        <v>343</v>
      </c>
      <c r="C94" t="s">
        <v>344</v>
      </c>
      <c r="D94" t="s">
        <v>582</v>
      </c>
      <c r="E94" t="s">
        <v>74</v>
      </c>
      <c r="F94" t="s">
        <v>1726</v>
      </c>
      <c r="G94" t="s">
        <v>180</v>
      </c>
      <c r="H94">
        <v>400</v>
      </c>
      <c r="J94">
        <v>5511</v>
      </c>
      <c r="K94" t="s">
        <v>106</v>
      </c>
      <c r="L94">
        <v>55</v>
      </c>
      <c r="M94" t="s">
        <v>2219</v>
      </c>
      <c r="N94" t="s">
        <v>131</v>
      </c>
      <c r="O94" t="s">
        <v>549</v>
      </c>
      <c r="P94" t="s">
        <v>85</v>
      </c>
    </row>
    <row r="95" spans="1:16" hidden="1" x14ac:dyDescent="0.25">
      <c r="A95" t="s">
        <v>800</v>
      </c>
      <c r="B95" t="s">
        <v>343</v>
      </c>
      <c r="C95" t="s">
        <v>344</v>
      </c>
      <c r="D95" t="s">
        <v>582</v>
      </c>
      <c r="E95" t="s">
        <v>74</v>
      </c>
      <c r="F95" t="s">
        <v>1726</v>
      </c>
      <c r="G95" t="s">
        <v>1742</v>
      </c>
      <c r="H95">
        <v>500</v>
      </c>
      <c r="J95">
        <v>5511</v>
      </c>
      <c r="K95" t="s">
        <v>106</v>
      </c>
      <c r="L95">
        <v>55</v>
      </c>
      <c r="M95" t="s">
        <v>2219</v>
      </c>
      <c r="N95" t="s">
        <v>131</v>
      </c>
      <c r="O95" t="s">
        <v>549</v>
      </c>
      <c r="P95" t="s">
        <v>85</v>
      </c>
    </row>
    <row r="96" spans="1:16" hidden="1" x14ac:dyDescent="0.25">
      <c r="A96" t="s">
        <v>800</v>
      </c>
      <c r="B96" t="s">
        <v>343</v>
      </c>
      <c r="C96" t="s">
        <v>344</v>
      </c>
      <c r="D96" t="s">
        <v>582</v>
      </c>
      <c r="E96" t="s">
        <v>74</v>
      </c>
      <c r="F96" t="s">
        <v>1726</v>
      </c>
      <c r="G96" t="s">
        <v>194</v>
      </c>
      <c r="H96">
        <v>300</v>
      </c>
      <c r="J96">
        <v>5511</v>
      </c>
      <c r="K96" t="s">
        <v>106</v>
      </c>
      <c r="L96">
        <v>55</v>
      </c>
      <c r="M96" t="s">
        <v>2219</v>
      </c>
      <c r="N96" t="s">
        <v>131</v>
      </c>
      <c r="O96" t="s">
        <v>549</v>
      </c>
      <c r="P96" t="s">
        <v>85</v>
      </c>
    </row>
    <row r="97" spans="1:16" hidden="1" x14ac:dyDescent="0.25">
      <c r="A97" t="s">
        <v>800</v>
      </c>
      <c r="B97" t="s">
        <v>343</v>
      </c>
      <c r="C97" t="s">
        <v>344</v>
      </c>
      <c r="D97" t="s">
        <v>582</v>
      </c>
      <c r="E97" t="s">
        <v>74</v>
      </c>
      <c r="F97" t="s">
        <v>1726</v>
      </c>
      <c r="G97" t="s">
        <v>178</v>
      </c>
      <c r="H97">
        <v>2700</v>
      </c>
      <c r="J97">
        <v>5511</v>
      </c>
      <c r="K97" t="s">
        <v>106</v>
      </c>
      <c r="L97">
        <v>55</v>
      </c>
      <c r="M97" t="s">
        <v>2219</v>
      </c>
      <c r="N97" t="s">
        <v>131</v>
      </c>
      <c r="O97" t="s">
        <v>549</v>
      </c>
      <c r="P97" t="s">
        <v>85</v>
      </c>
    </row>
    <row r="98" spans="1:16" hidden="1" x14ac:dyDescent="0.25">
      <c r="A98" t="s">
        <v>800</v>
      </c>
      <c r="B98" t="s">
        <v>343</v>
      </c>
      <c r="C98" t="s">
        <v>344</v>
      </c>
      <c r="D98" t="s">
        <v>582</v>
      </c>
      <c r="E98" t="s">
        <v>74</v>
      </c>
      <c r="F98" t="s">
        <v>1726</v>
      </c>
      <c r="G98" t="s">
        <v>177</v>
      </c>
      <c r="H98">
        <v>6500</v>
      </c>
      <c r="J98">
        <v>5511</v>
      </c>
      <c r="K98" t="s">
        <v>106</v>
      </c>
      <c r="L98">
        <v>55</v>
      </c>
      <c r="M98" t="s">
        <v>2219</v>
      </c>
      <c r="N98" t="s">
        <v>131</v>
      </c>
      <c r="O98" t="s">
        <v>549</v>
      </c>
      <c r="P98" t="s">
        <v>85</v>
      </c>
    </row>
    <row r="99" spans="1:16" hidden="1" x14ac:dyDescent="0.25">
      <c r="A99" t="s">
        <v>800</v>
      </c>
      <c r="B99" t="s">
        <v>343</v>
      </c>
      <c r="C99" t="s">
        <v>344</v>
      </c>
      <c r="D99" t="s">
        <v>582</v>
      </c>
      <c r="E99" t="s">
        <v>74</v>
      </c>
      <c r="F99" t="s">
        <v>1726</v>
      </c>
      <c r="G99" t="s">
        <v>1777</v>
      </c>
      <c r="H99">
        <v>200</v>
      </c>
      <c r="J99">
        <v>5525</v>
      </c>
      <c r="K99" t="s">
        <v>118</v>
      </c>
      <c r="L99">
        <v>55</v>
      </c>
      <c r="M99" t="s">
        <v>2219</v>
      </c>
      <c r="N99" t="s">
        <v>131</v>
      </c>
      <c r="O99" t="s">
        <v>549</v>
      </c>
      <c r="P99" t="s">
        <v>85</v>
      </c>
    </row>
    <row r="100" spans="1:16" hidden="1" x14ac:dyDescent="0.25">
      <c r="A100" t="s">
        <v>800</v>
      </c>
      <c r="B100" t="s">
        <v>343</v>
      </c>
      <c r="C100" t="s">
        <v>344</v>
      </c>
      <c r="D100" t="s">
        <v>582</v>
      </c>
      <c r="E100" t="s">
        <v>74</v>
      </c>
      <c r="F100" t="s">
        <v>1726</v>
      </c>
      <c r="G100" t="s">
        <v>1776</v>
      </c>
      <c r="H100">
        <v>20</v>
      </c>
      <c r="J100">
        <v>5525</v>
      </c>
      <c r="K100" t="s">
        <v>118</v>
      </c>
      <c r="L100">
        <v>55</v>
      </c>
      <c r="M100" t="s">
        <v>2219</v>
      </c>
      <c r="N100" t="s">
        <v>131</v>
      </c>
      <c r="O100" t="s">
        <v>549</v>
      </c>
      <c r="P100" t="s">
        <v>85</v>
      </c>
    </row>
    <row r="101" spans="1:16" hidden="1" x14ac:dyDescent="0.25">
      <c r="A101" t="s">
        <v>800</v>
      </c>
      <c r="B101" t="s">
        <v>343</v>
      </c>
      <c r="C101" t="s">
        <v>344</v>
      </c>
      <c r="D101" t="s">
        <v>582</v>
      </c>
      <c r="E101" t="s">
        <v>74</v>
      </c>
      <c r="F101" t="s">
        <v>1726</v>
      </c>
      <c r="G101" t="s">
        <v>1775</v>
      </c>
      <c r="H101">
        <v>30</v>
      </c>
      <c r="J101">
        <v>5525</v>
      </c>
      <c r="K101" t="s">
        <v>118</v>
      </c>
      <c r="L101">
        <v>55</v>
      </c>
      <c r="M101" t="s">
        <v>2219</v>
      </c>
      <c r="N101" t="s">
        <v>131</v>
      </c>
      <c r="O101" t="s">
        <v>549</v>
      </c>
      <c r="P101" t="s">
        <v>85</v>
      </c>
    </row>
    <row r="102" spans="1:16" hidden="1" x14ac:dyDescent="0.25">
      <c r="A102" t="s">
        <v>800</v>
      </c>
      <c r="B102" t="s">
        <v>343</v>
      </c>
      <c r="C102" t="s">
        <v>344</v>
      </c>
      <c r="D102" t="s">
        <v>582</v>
      </c>
      <c r="E102" t="s">
        <v>74</v>
      </c>
      <c r="F102" t="s">
        <v>1726</v>
      </c>
      <c r="G102" t="s">
        <v>1774</v>
      </c>
      <c r="H102">
        <v>500</v>
      </c>
      <c r="J102">
        <v>5525</v>
      </c>
      <c r="K102" t="s">
        <v>118</v>
      </c>
      <c r="L102">
        <v>55</v>
      </c>
      <c r="M102" t="s">
        <v>2219</v>
      </c>
      <c r="N102" t="s">
        <v>131</v>
      </c>
      <c r="O102" t="s">
        <v>549</v>
      </c>
      <c r="P102" t="s">
        <v>85</v>
      </c>
    </row>
    <row r="103" spans="1:16" hidden="1" x14ac:dyDescent="0.25">
      <c r="A103" t="s">
        <v>800</v>
      </c>
      <c r="B103" t="s">
        <v>343</v>
      </c>
      <c r="C103" t="s">
        <v>344</v>
      </c>
      <c r="D103" t="s">
        <v>582</v>
      </c>
      <c r="E103" t="s">
        <v>74</v>
      </c>
      <c r="F103" t="s">
        <v>1726</v>
      </c>
      <c r="G103" t="s">
        <v>1773</v>
      </c>
      <c r="H103">
        <v>50</v>
      </c>
      <c r="J103">
        <v>5525</v>
      </c>
      <c r="K103" t="s">
        <v>118</v>
      </c>
      <c r="L103">
        <v>55</v>
      </c>
      <c r="M103" t="s">
        <v>2219</v>
      </c>
      <c r="N103" t="s">
        <v>131</v>
      </c>
      <c r="O103" t="s">
        <v>549</v>
      </c>
      <c r="P103" t="s">
        <v>85</v>
      </c>
    </row>
    <row r="104" spans="1:16" hidden="1" x14ac:dyDescent="0.25">
      <c r="A104" t="s">
        <v>800</v>
      </c>
      <c r="B104" t="s">
        <v>343</v>
      </c>
      <c r="C104" t="s">
        <v>344</v>
      </c>
      <c r="D104" t="s">
        <v>582</v>
      </c>
      <c r="E104" t="s">
        <v>74</v>
      </c>
      <c r="F104" t="s">
        <v>1726</v>
      </c>
      <c r="G104" t="s">
        <v>1772</v>
      </c>
      <c r="H104">
        <v>75</v>
      </c>
      <c r="J104">
        <v>5525</v>
      </c>
      <c r="K104" t="s">
        <v>118</v>
      </c>
      <c r="L104">
        <v>55</v>
      </c>
      <c r="M104" t="s">
        <v>2219</v>
      </c>
      <c r="N104" t="s">
        <v>131</v>
      </c>
      <c r="O104" t="s">
        <v>549</v>
      </c>
      <c r="P104" t="s">
        <v>85</v>
      </c>
    </row>
    <row r="105" spans="1:16" hidden="1" x14ac:dyDescent="0.25">
      <c r="A105" t="s">
        <v>800</v>
      </c>
      <c r="B105" t="s">
        <v>343</v>
      </c>
      <c r="C105" t="s">
        <v>344</v>
      </c>
      <c r="D105" t="s">
        <v>582</v>
      </c>
      <c r="E105" t="s">
        <v>74</v>
      </c>
      <c r="F105" t="s">
        <v>1726</v>
      </c>
      <c r="G105" t="s">
        <v>1771</v>
      </c>
      <c r="H105">
        <v>40</v>
      </c>
      <c r="J105">
        <v>5525</v>
      </c>
      <c r="K105" t="s">
        <v>118</v>
      </c>
      <c r="L105">
        <v>55</v>
      </c>
      <c r="M105" t="s">
        <v>2219</v>
      </c>
      <c r="N105" t="s">
        <v>131</v>
      </c>
      <c r="O105" t="s">
        <v>549</v>
      </c>
      <c r="P105" t="s">
        <v>85</v>
      </c>
    </row>
    <row r="106" spans="1:16" hidden="1" x14ac:dyDescent="0.25">
      <c r="A106" t="s">
        <v>800</v>
      </c>
      <c r="B106" t="s">
        <v>343</v>
      </c>
      <c r="C106" t="s">
        <v>344</v>
      </c>
      <c r="D106" t="s">
        <v>582</v>
      </c>
      <c r="E106" t="s">
        <v>74</v>
      </c>
      <c r="F106" t="s">
        <v>1726</v>
      </c>
      <c r="G106" t="s">
        <v>1770</v>
      </c>
      <c r="H106">
        <v>20</v>
      </c>
      <c r="J106">
        <v>5525</v>
      </c>
      <c r="K106" t="s">
        <v>118</v>
      </c>
      <c r="L106">
        <v>55</v>
      </c>
      <c r="M106" t="s">
        <v>2219</v>
      </c>
      <c r="N106" t="s">
        <v>131</v>
      </c>
      <c r="O106" t="s">
        <v>549</v>
      </c>
      <c r="P106" t="s">
        <v>85</v>
      </c>
    </row>
    <row r="107" spans="1:16" hidden="1" x14ac:dyDescent="0.25">
      <c r="A107" t="s">
        <v>800</v>
      </c>
      <c r="B107" t="s">
        <v>343</v>
      </c>
      <c r="C107" t="s">
        <v>344</v>
      </c>
      <c r="D107" t="s">
        <v>582</v>
      </c>
      <c r="E107" t="s">
        <v>74</v>
      </c>
      <c r="F107" t="s">
        <v>1726</v>
      </c>
      <c r="G107" t="s">
        <v>1769</v>
      </c>
      <c r="H107">
        <v>10</v>
      </c>
      <c r="J107">
        <v>5525</v>
      </c>
      <c r="K107" t="s">
        <v>118</v>
      </c>
      <c r="L107">
        <v>55</v>
      </c>
      <c r="M107" t="s">
        <v>2219</v>
      </c>
      <c r="N107" t="s">
        <v>131</v>
      </c>
      <c r="O107" t="s">
        <v>549</v>
      </c>
      <c r="P107" t="s">
        <v>85</v>
      </c>
    </row>
    <row r="108" spans="1:16" hidden="1" x14ac:dyDescent="0.25">
      <c r="A108" t="s">
        <v>800</v>
      </c>
      <c r="B108" t="s">
        <v>343</v>
      </c>
      <c r="C108" t="s">
        <v>344</v>
      </c>
      <c r="D108" t="s">
        <v>582</v>
      </c>
      <c r="E108" t="s">
        <v>74</v>
      </c>
      <c r="F108" t="s">
        <v>1726</v>
      </c>
      <c r="G108" t="s">
        <v>1768</v>
      </c>
      <c r="H108">
        <v>100</v>
      </c>
      <c r="J108">
        <v>5524</v>
      </c>
      <c r="K108" t="s">
        <v>117</v>
      </c>
      <c r="L108">
        <v>55</v>
      </c>
      <c r="M108" t="s">
        <v>2219</v>
      </c>
      <c r="N108" t="s">
        <v>131</v>
      </c>
      <c r="O108" t="s">
        <v>549</v>
      </c>
      <c r="P108" t="s">
        <v>85</v>
      </c>
    </row>
    <row r="109" spans="1:16" hidden="1" x14ac:dyDescent="0.25">
      <c r="A109" t="s">
        <v>800</v>
      </c>
      <c r="B109" t="s">
        <v>343</v>
      </c>
      <c r="C109" t="s">
        <v>344</v>
      </c>
      <c r="D109" t="s">
        <v>582</v>
      </c>
      <c r="E109" t="s">
        <v>74</v>
      </c>
      <c r="F109" t="s">
        <v>1726</v>
      </c>
      <c r="G109" t="s">
        <v>1767</v>
      </c>
      <c r="H109">
        <v>900</v>
      </c>
      <c r="J109">
        <v>5524</v>
      </c>
      <c r="K109" t="s">
        <v>117</v>
      </c>
      <c r="L109">
        <v>55</v>
      </c>
      <c r="M109" t="s">
        <v>2219</v>
      </c>
      <c r="N109" t="s">
        <v>131</v>
      </c>
      <c r="O109" t="s">
        <v>549</v>
      </c>
      <c r="P109" t="s">
        <v>85</v>
      </c>
    </row>
    <row r="110" spans="1:16" hidden="1" x14ac:dyDescent="0.25">
      <c r="A110" t="s">
        <v>800</v>
      </c>
      <c r="B110" t="s">
        <v>343</v>
      </c>
      <c r="C110" t="s">
        <v>344</v>
      </c>
      <c r="D110" t="s">
        <v>582</v>
      </c>
      <c r="E110" t="s">
        <v>74</v>
      </c>
      <c r="F110" t="s">
        <v>1726</v>
      </c>
      <c r="G110" t="s">
        <v>1766</v>
      </c>
      <c r="H110">
        <v>300</v>
      </c>
      <c r="J110">
        <v>5524</v>
      </c>
      <c r="K110" t="s">
        <v>117</v>
      </c>
      <c r="L110">
        <v>55</v>
      </c>
      <c r="M110" t="s">
        <v>2219</v>
      </c>
      <c r="N110" t="s">
        <v>131</v>
      </c>
      <c r="O110" t="s">
        <v>549</v>
      </c>
      <c r="P110" t="s">
        <v>85</v>
      </c>
    </row>
    <row r="111" spans="1:16" hidden="1" x14ac:dyDescent="0.25">
      <c r="A111" t="s">
        <v>800</v>
      </c>
      <c r="B111" t="s">
        <v>343</v>
      </c>
      <c r="C111" t="s">
        <v>344</v>
      </c>
      <c r="D111" t="s">
        <v>582</v>
      </c>
      <c r="E111" t="s">
        <v>74</v>
      </c>
      <c r="F111" t="s">
        <v>1726</v>
      </c>
      <c r="G111" t="s">
        <v>218</v>
      </c>
      <c r="H111">
        <v>400</v>
      </c>
      <c r="J111">
        <v>5524</v>
      </c>
      <c r="K111" t="s">
        <v>117</v>
      </c>
      <c r="L111">
        <v>55</v>
      </c>
      <c r="M111" t="s">
        <v>2219</v>
      </c>
      <c r="N111" t="s">
        <v>131</v>
      </c>
      <c r="O111" t="s">
        <v>549</v>
      </c>
      <c r="P111" t="s">
        <v>85</v>
      </c>
    </row>
    <row r="112" spans="1:16" hidden="1" x14ac:dyDescent="0.25">
      <c r="A112" t="s">
        <v>800</v>
      </c>
      <c r="B112" t="s">
        <v>343</v>
      </c>
      <c r="C112" t="s">
        <v>344</v>
      </c>
      <c r="D112" t="s">
        <v>582</v>
      </c>
      <c r="E112" t="s">
        <v>74</v>
      </c>
      <c r="F112" t="s">
        <v>1726</v>
      </c>
      <c r="G112" t="s">
        <v>1765</v>
      </c>
      <c r="H112">
        <v>1200</v>
      </c>
      <c r="J112">
        <v>5524</v>
      </c>
      <c r="K112" t="s">
        <v>117</v>
      </c>
      <c r="L112">
        <v>55</v>
      </c>
      <c r="M112" t="s">
        <v>2219</v>
      </c>
      <c r="N112" t="s">
        <v>131</v>
      </c>
      <c r="O112" t="s">
        <v>549</v>
      </c>
      <c r="P112" t="s">
        <v>85</v>
      </c>
    </row>
    <row r="113" spans="1:16" hidden="1" x14ac:dyDescent="0.25">
      <c r="A113" t="s">
        <v>800</v>
      </c>
      <c r="B113" t="s">
        <v>343</v>
      </c>
      <c r="C113" t="s">
        <v>344</v>
      </c>
      <c r="D113" t="s">
        <v>582</v>
      </c>
      <c r="E113" t="s">
        <v>74</v>
      </c>
      <c r="F113" t="s">
        <v>1726</v>
      </c>
      <c r="G113" t="s">
        <v>1761</v>
      </c>
      <c r="H113">
        <v>100</v>
      </c>
      <c r="J113">
        <v>5522</v>
      </c>
      <c r="K113" t="s">
        <v>115</v>
      </c>
      <c r="L113">
        <v>55</v>
      </c>
      <c r="M113" t="s">
        <v>2219</v>
      </c>
      <c r="N113" t="s">
        <v>131</v>
      </c>
      <c r="O113" t="s">
        <v>549</v>
      </c>
      <c r="P113" t="s">
        <v>85</v>
      </c>
    </row>
    <row r="114" spans="1:16" hidden="1" x14ac:dyDescent="0.25">
      <c r="A114" t="s">
        <v>800</v>
      </c>
      <c r="B114" t="s">
        <v>343</v>
      </c>
      <c r="C114" t="s">
        <v>344</v>
      </c>
      <c r="D114" t="s">
        <v>582</v>
      </c>
      <c r="E114" t="s">
        <v>74</v>
      </c>
      <c r="F114" t="s">
        <v>1726</v>
      </c>
      <c r="G114" t="s">
        <v>426</v>
      </c>
      <c r="H114">
        <v>50</v>
      </c>
      <c r="J114">
        <v>5522</v>
      </c>
      <c r="K114" t="s">
        <v>115</v>
      </c>
      <c r="L114">
        <v>55</v>
      </c>
      <c r="M114" t="s">
        <v>2219</v>
      </c>
      <c r="N114" t="s">
        <v>131</v>
      </c>
      <c r="O114" t="s">
        <v>549</v>
      </c>
      <c r="P114" t="s">
        <v>85</v>
      </c>
    </row>
    <row r="115" spans="1:16" hidden="1" x14ac:dyDescent="0.25">
      <c r="A115" t="s">
        <v>800</v>
      </c>
      <c r="B115" t="s">
        <v>343</v>
      </c>
      <c r="C115" t="s">
        <v>344</v>
      </c>
      <c r="D115" t="s">
        <v>582</v>
      </c>
      <c r="E115" t="s">
        <v>74</v>
      </c>
      <c r="F115" t="s">
        <v>1726</v>
      </c>
      <c r="G115" t="s">
        <v>1760</v>
      </c>
      <c r="H115">
        <v>2275</v>
      </c>
      <c r="I115" t="s">
        <v>2203</v>
      </c>
      <c r="J115">
        <v>5521</v>
      </c>
      <c r="K115" t="s">
        <v>114</v>
      </c>
      <c r="L115">
        <v>55</v>
      </c>
      <c r="M115" t="s">
        <v>2219</v>
      </c>
      <c r="N115" t="s">
        <v>131</v>
      </c>
      <c r="O115" t="s">
        <v>549</v>
      </c>
      <c r="P115" t="s">
        <v>85</v>
      </c>
    </row>
    <row r="116" spans="1:16" hidden="1" x14ac:dyDescent="0.25">
      <c r="A116" t="s">
        <v>800</v>
      </c>
      <c r="B116" t="s">
        <v>343</v>
      </c>
      <c r="C116" t="s">
        <v>344</v>
      </c>
      <c r="D116" t="s">
        <v>582</v>
      </c>
      <c r="E116" t="s">
        <v>74</v>
      </c>
      <c r="F116" t="s">
        <v>1726</v>
      </c>
      <c r="G116" t="s">
        <v>1757</v>
      </c>
      <c r="H116">
        <v>100</v>
      </c>
      <c r="J116">
        <v>5515</v>
      </c>
      <c r="K116" t="s">
        <v>112</v>
      </c>
      <c r="L116">
        <v>55</v>
      </c>
      <c r="M116" t="s">
        <v>2219</v>
      </c>
      <c r="N116" t="s">
        <v>131</v>
      </c>
      <c r="O116" t="s">
        <v>549</v>
      </c>
      <c r="P116" t="s">
        <v>85</v>
      </c>
    </row>
    <row r="117" spans="1:16" hidden="1" x14ac:dyDescent="0.25">
      <c r="A117" t="s">
        <v>800</v>
      </c>
      <c r="B117" t="s">
        <v>343</v>
      </c>
      <c r="C117" t="s">
        <v>344</v>
      </c>
      <c r="D117" t="s">
        <v>582</v>
      </c>
      <c r="E117" t="s">
        <v>74</v>
      </c>
      <c r="F117" t="s">
        <v>1726</v>
      </c>
      <c r="G117" t="s">
        <v>1756</v>
      </c>
      <c r="H117">
        <v>150</v>
      </c>
      <c r="J117">
        <v>5515</v>
      </c>
      <c r="K117" t="s">
        <v>112</v>
      </c>
      <c r="L117">
        <v>55</v>
      </c>
      <c r="M117" t="s">
        <v>2219</v>
      </c>
      <c r="N117" t="s">
        <v>131</v>
      </c>
      <c r="O117" t="s">
        <v>549</v>
      </c>
      <c r="P117" t="s">
        <v>85</v>
      </c>
    </row>
    <row r="118" spans="1:16" hidden="1" x14ac:dyDescent="0.25">
      <c r="A118" t="s">
        <v>800</v>
      </c>
      <c r="B118" t="s">
        <v>343</v>
      </c>
      <c r="C118" t="s">
        <v>344</v>
      </c>
      <c r="D118" t="s">
        <v>582</v>
      </c>
      <c r="E118" t="s">
        <v>74</v>
      </c>
      <c r="F118" t="s">
        <v>1726</v>
      </c>
      <c r="G118" t="s">
        <v>1755</v>
      </c>
      <c r="H118">
        <v>250</v>
      </c>
      <c r="J118">
        <v>5515</v>
      </c>
      <c r="K118" t="s">
        <v>112</v>
      </c>
      <c r="L118">
        <v>55</v>
      </c>
      <c r="M118" t="s">
        <v>2219</v>
      </c>
      <c r="N118" t="s">
        <v>131</v>
      </c>
      <c r="O118" t="s">
        <v>549</v>
      </c>
      <c r="P118" t="s">
        <v>85</v>
      </c>
    </row>
    <row r="119" spans="1:16" hidden="1" x14ac:dyDescent="0.25">
      <c r="A119" t="s">
        <v>800</v>
      </c>
      <c r="B119" t="s">
        <v>343</v>
      </c>
      <c r="C119" t="s">
        <v>344</v>
      </c>
      <c r="D119" t="s">
        <v>582</v>
      </c>
      <c r="E119" t="s">
        <v>74</v>
      </c>
      <c r="F119" t="s">
        <v>1726</v>
      </c>
      <c r="G119" t="s">
        <v>1754</v>
      </c>
      <c r="H119">
        <v>160</v>
      </c>
      <c r="J119">
        <v>5524</v>
      </c>
      <c r="K119" t="s">
        <v>117</v>
      </c>
      <c r="L119">
        <v>55</v>
      </c>
      <c r="M119" t="s">
        <v>2219</v>
      </c>
      <c r="N119" t="s">
        <v>131</v>
      </c>
      <c r="O119" t="s">
        <v>549</v>
      </c>
      <c r="P119" t="s">
        <v>85</v>
      </c>
    </row>
    <row r="120" spans="1:16" hidden="1" x14ac:dyDescent="0.25">
      <c r="A120" t="s">
        <v>800</v>
      </c>
      <c r="B120" t="s">
        <v>343</v>
      </c>
      <c r="C120" t="s">
        <v>344</v>
      </c>
      <c r="D120" t="s">
        <v>582</v>
      </c>
      <c r="E120" t="s">
        <v>74</v>
      </c>
      <c r="F120" t="s">
        <v>1726</v>
      </c>
      <c r="G120" t="s">
        <v>1752</v>
      </c>
      <c r="H120">
        <v>100</v>
      </c>
      <c r="J120">
        <v>5513</v>
      </c>
      <c r="K120" t="s">
        <v>111</v>
      </c>
      <c r="L120">
        <v>55</v>
      </c>
      <c r="M120" t="s">
        <v>2219</v>
      </c>
      <c r="N120" t="s">
        <v>131</v>
      </c>
      <c r="O120" t="s">
        <v>549</v>
      </c>
      <c r="P120" t="s">
        <v>85</v>
      </c>
    </row>
    <row r="121" spans="1:16" hidden="1" x14ac:dyDescent="0.25">
      <c r="A121" t="s">
        <v>800</v>
      </c>
      <c r="B121" t="s">
        <v>343</v>
      </c>
      <c r="C121" t="s">
        <v>344</v>
      </c>
      <c r="D121" t="s">
        <v>582</v>
      </c>
      <c r="E121" t="s">
        <v>74</v>
      </c>
      <c r="F121" t="s">
        <v>1726</v>
      </c>
      <c r="G121" t="s">
        <v>901</v>
      </c>
      <c r="H121">
        <v>4824</v>
      </c>
      <c r="J121">
        <v>5513</v>
      </c>
      <c r="K121" t="s">
        <v>111</v>
      </c>
      <c r="L121">
        <v>55</v>
      </c>
      <c r="M121" t="s">
        <v>2219</v>
      </c>
      <c r="N121" t="s">
        <v>131</v>
      </c>
      <c r="O121" t="s">
        <v>549</v>
      </c>
      <c r="P121" t="s">
        <v>85</v>
      </c>
    </row>
    <row r="122" spans="1:16" hidden="1" x14ac:dyDescent="0.25">
      <c r="A122" t="s">
        <v>800</v>
      </c>
      <c r="B122" t="s">
        <v>343</v>
      </c>
      <c r="C122" t="s">
        <v>344</v>
      </c>
      <c r="D122" t="s">
        <v>582</v>
      </c>
      <c r="E122" t="s">
        <v>74</v>
      </c>
      <c r="F122" t="s">
        <v>1726</v>
      </c>
      <c r="G122" t="s">
        <v>1751</v>
      </c>
      <c r="H122">
        <v>200</v>
      </c>
      <c r="J122">
        <v>5513</v>
      </c>
      <c r="K122" t="s">
        <v>111</v>
      </c>
      <c r="L122">
        <v>55</v>
      </c>
      <c r="M122" t="s">
        <v>2219</v>
      </c>
      <c r="N122" t="s">
        <v>131</v>
      </c>
      <c r="O122" t="s">
        <v>549</v>
      </c>
      <c r="P122" t="s">
        <v>85</v>
      </c>
    </row>
    <row r="123" spans="1:16" hidden="1" x14ac:dyDescent="0.25">
      <c r="A123" t="s">
        <v>800</v>
      </c>
      <c r="B123" t="s">
        <v>343</v>
      </c>
      <c r="C123" t="s">
        <v>344</v>
      </c>
      <c r="D123" t="s">
        <v>582</v>
      </c>
      <c r="E123" t="s">
        <v>74</v>
      </c>
      <c r="F123" t="s">
        <v>1726</v>
      </c>
      <c r="G123" t="s">
        <v>198</v>
      </c>
      <c r="H123">
        <v>5000</v>
      </c>
      <c r="J123">
        <v>5513</v>
      </c>
      <c r="K123" t="s">
        <v>111</v>
      </c>
      <c r="L123">
        <v>55</v>
      </c>
      <c r="M123" t="s">
        <v>2219</v>
      </c>
      <c r="N123" t="s">
        <v>131</v>
      </c>
      <c r="O123" t="s">
        <v>549</v>
      </c>
      <c r="P123" t="s">
        <v>85</v>
      </c>
    </row>
    <row r="124" spans="1:16" hidden="1" x14ac:dyDescent="0.25">
      <c r="A124" t="s">
        <v>800</v>
      </c>
      <c r="B124" t="s">
        <v>343</v>
      </c>
      <c r="C124" t="s">
        <v>344</v>
      </c>
      <c r="D124" t="s">
        <v>582</v>
      </c>
      <c r="E124" t="s">
        <v>74</v>
      </c>
      <c r="F124" t="s">
        <v>1726</v>
      </c>
      <c r="G124" t="s">
        <v>1750</v>
      </c>
      <c r="H124">
        <v>500</v>
      </c>
      <c r="J124">
        <v>5513</v>
      </c>
      <c r="K124" t="s">
        <v>111</v>
      </c>
      <c r="L124">
        <v>55</v>
      </c>
      <c r="M124" t="s">
        <v>2219</v>
      </c>
      <c r="N124" t="s">
        <v>131</v>
      </c>
      <c r="O124" t="s">
        <v>549</v>
      </c>
      <c r="P124" t="s">
        <v>85</v>
      </c>
    </row>
    <row r="125" spans="1:16" hidden="1" x14ac:dyDescent="0.25">
      <c r="A125" t="s">
        <v>800</v>
      </c>
      <c r="B125" t="s">
        <v>343</v>
      </c>
      <c r="C125" t="s">
        <v>344</v>
      </c>
      <c r="D125" t="s">
        <v>582</v>
      </c>
      <c r="E125" t="s">
        <v>74</v>
      </c>
      <c r="F125" t="s">
        <v>1726</v>
      </c>
      <c r="G125" t="s">
        <v>415</v>
      </c>
      <c r="H125">
        <v>684</v>
      </c>
      <c r="J125">
        <v>5513</v>
      </c>
      <c r="K125" t="s">
        <v>111</v>
      </c>
      <c r="L125">
        <v>55</v>
      </c>
      <c r="M125" t="s">
        <v>2219</v>
      </c>
      <c r="N125" t="s">
        <v>131</v>
      </c>
      <c r="O125" t="s">
        <v>549</v>
      </c>
      <c r="P125" t="s">
        <v>85</v>
      </c>
    </row>
    <row r="126" spans="1:16" hidden="1" x14ac:dyDescent="0.25">
      <c r="A126" t="s">
        <v>800</v>
      </c>
      <c r="B126" t="s">
        <v>343</v>
      </c>
      <c r="C126" t="s">
        <v>344</v>
      </c>
      <c r="D126" t="s">
        <v>582</v>
      </c>
      <c r="E126" t="s">
        <v>74</v>
      </c>
      <c r="F126" t="s">
        <v>1726</v>
      </c>
      <c r="G126" t="s">
        <v>1740</v>
      </c>
      <c r="H126">
        <v>300</v>
      </c>
      <c r="J126">
        <v>5504</v>
      </c>
      <c r="K126" t="s">
        <v>102</v>
      </c>
      <c r="L126">
        <v>55</v>
      </c>
      <c r="M126" t="s">
        <v>2219</v>
      </c>
      <c r="N126" t="s">
        <v>131</v>
      </c>
      <c r="O126" t="s">
        <v>549</v>
      </c>
      <c r="P126" t="s">
        <v>85</v>
      </c>
    </row>
    <row r="127" spans="1:16" hidden="1" x14ac:dyDescent="0.25">
      <c r="A127" t="s">
        <v>800</v>
      </c>
      <c r="B127" t="s">
        <v>343</v>
      </c>
      <c r="C127" t="s">
        <v>344</v>
      </c>
      <c r="D127" t="s">
        <v>582</v>
      </c>
      <c r="E127" t="s">
        <v>74</v>
      </c>
      <c r="F127" t="s">
        <v>1726</v>
      </c>
      <c r="G127" t="s">
        <v>1738</v>
      </c>
      <c r="H127">
        <v>100</v>
      </c>
      <c r="J127">
        <v>5504</v>
      </c>
      <c r="K127" t="s">
        <v>102</v>
      </c>
      <c r="L127">
        <v>55</v>
      </c>
      <c r="M127" t="s">
        <v>2219</v>
      </c>
      <c r="N127" t="s">
        <v>131</v>
      </c>
      <c r="O127" t="s">
        <v>549</v>
      </c>
      <c r="P127" t="s">
        <v>85</v>
      </c>
    </row>
    <row r="128" spans="1:16" hidden="1" x14ac:dyDescent="0.25">
      <c r="A128" t="s">
        <v>800</v>
      </c>
      <c r="B128" t="s">
        <v>343</v>
      </c>
      <c r="C128" t="s">
        <v>344</v>
      </c>
      <c r="D128" t="s">
        <v>582</v>
      </c>
      <c r="E128" t="s">
        <v>74</v>
      </c>
      <c r="F128" t="s">
        <v>1726</v>
      </c>
      <c r="G128" t="s">
        <v>1737</v>
      </c>
      <c r="H128">
        <v>200</v>
      </c>
      <c r="J128">
        <v>5504</v>
      </c>
      <c r="K128" t="s">
        <v>102</v>
      </c>
      <c r="L128">
        <v>55</v>
      </c>
      <c r="M128" t="s">
        <v>2219</v>
      </c>
      <c r="N128" t="s">
        <v>131</v>
      </c>
      <c r="O128" t="s">
        <v>549</v>
      </c>
      <c r="P128" t="s">
        <v>85</v>
      </c>
    </row>
    <row r="129" spans="1:16" hidden="1" x14ac:dyDescent="0.25">
      <c r="A129" t="s">
        <v>800</v>
      </c>
      <c r="B129" t="s">
        <v>343</v>
      </c>
      <c r="C129" t="s">
        <v>344</v>
      </c>
      <c r="D129" t="s">
        <v>582</v>
      </c>
      <c r="E129" t="s">
        <v>74</v>
      </c>
      <c r="F129" t="s">
        <v>1726</v>
      </c>
      <c r="G129" t="s">
        <v>1733</v>
      </c>
      <c r="H129">
        <v>230</v>
      </c>
      <c r="I129" t="s">
        <v>1736</v>
      </c>
      <c r="J129">
        <v>5500</v>
      </c>
      <c r="K129" t="s">
        <v>100</v>
      </c>
      <c r="L129">
        <v>55</v>
      </c>
      <c r="M129" t="s">
        <v>2219</v>
      </c>
      <c r="N129" t="s">
        <v>131</v>
      </c>
      <c r="O129" t="s">
        <v>549</v>
      </c>
      <c r="P129" t="s">
        <v>85</v>
      </c>
    </row>
    <row r="130" spans="1:16" hidden="1" x14ac:dyDescent="0.25">
      <c r="A130" t="s">
        <v>800</v>
      </c>
      <c r="B130" t="s">
        <v>343</v>
      </c>
      <c r="C130" t="s">
        <v>344</v>
      </c>
      <c r="D130" t="s">
        <v>582</v>
      </c>
      <c r="E130" t="s">
        <v>74</v>
      </c>
      <c r="F130" t="s">
        <v>1726</v>
      </c>
      <c r="G130" t="s">
        <v>408</v>
      </c>
      <c r="H130">
        <v>50</v>
      </c>
      <c r="J130">
        <v>5500</v>
      </c>
      <c r="K130" t="s">
        <v>100</v>
      </c>
      <c r="L130">
        <v>55</v>
      </c>
      <c r="M130" t="s">
        <v>2219</v>
      </c>
      <c r="N130" t="s">
        <v>131</v>
      </c>
      <c r="O130" t="s">
        <v>549</v>
      </c>
      <c r="P130" t="s">
        <v>85</v>
      </c>
    </row>
    <row r="131" spans="1:16" hidden="1" x14ac:dyDescent="0.25">
      <c r="A131" t="s">
        <v>800</v>
      </c>
      <c r="B131" t="s">
        <v>343</v>
      </c>
      <c r="C131" t="s">
        <v>344</v>
      </c>
      <c r="D131" t="s">
        <v>582</v>
      </c>
      <c r="E131" t="s">
        <v>74</v>
      </c>
      <c r="F131" t="s">
        <v>1726</v>
      </c>
      <c r="G131" t="s">
        <v>1732</v>
      </c>
      <c r="H131">
        <v>200</v>
      </c>
      <c r="I131" t="s">
        <v>1735</v>
      </c>
      <c r="J131">
        <v>5500</v>
      </c>
      <c r="K131" t="s">
        <v>100</v>
      </c>
      <c r="L131">
        <v>55</v>
      </c>
      <c r="M131" t="s">
        <v>2219</v>
      </c>
      <c r="N131" t="s">
        <v>131</v>
      </c>
      <c r="O131" t="s">
        <v>549</v>
      </c>
      <c r="P131" t="s">
        <v>85</v>
      </c>
    </row>
    <row r="132" spans="1:16" hidden="1" x14ac:dyDescent="0.25">
      <c r="A132" t="s">
        <v>800</v>
      </c>
      <c r="B132" t="s">
        <v>343</v>
      </c>
      <c r="C132" t="s">
        <v>344</v>
      </c>
      <c r="D132" t="s">
        <v>582</v>
      </c>
      <c r="E132" t="s">
        <v>74</v>
      </c>
      <c r="F132" t="s">
        <v>1726</v>
      </c>
      <c r="G132" t="s">
        <v>1731</v>
      </c>
      <c r="H132">
        <v>200</v>
      </c>
      <c r="J132">
        <v>5500</v>
      </c>
      <c r="K132" t="s">
        <v>100</v>
      </c>
      <c r="L132">
        <v>55</v>
      </c>
      <c r="M132" t="s">
        <v>2219</v>
      </c>
      <c r="N132" t="s">
        <v>131</v>
      </c>
      <c r="O132" t="s">
        <v>549</v>
      </c>
      <c r="P132" t="s">
        <v>85</v>
      </c>
    </row>
    <row r="133" spans="1:16" hidden="1" x14ac:dyDescent="0.25">
      <c r="A133" t="s">
        <v>800</v>
      </c>
      <c r="B133" t="s">
        <v>343</v>
      </c>
      <c r="C133" t="s">
        <v>344</v>
      </c>
      <c r="D133" t="s">
        <v>582</v>
      </c>
      <c r="E133" t="s">
        <v>74</v>
      </c>
      <c r="F133" t="s">
        <v>1726</v>
      </c>
      <c r="G133" t="s">
        <v>832</v>
      </c>
      <c r="H133">
        <v>50</v>
      </c>
      <c r="J133">
        <v>5500</v>
      </c>
      <c r="K133" t="s">
        <v>100</v>
      </c>
      <c r="L133">
        <v>55</v>
      </c>
      <c r="M133" t="s">
        <v>2219</v>
      </c>
      <c r="N133" t="s">
        <v>131</v>
      </c>
      <c r="O133" t="s">
        <v>549</v>
      </c>
      <c r="P133" t="s">
        <v>85</v>
      </c>
    </row>
    <row r="134" spans="1:16" hidden="1" x14ac:dyDescent="0.25">
      <c r="A134" t="s">
        <v>800</v>
      </c>
      <c r="B134" t="s">
        <v>343</v>
      </c>
      <c r="C134" t="s">
        <v>344</v>
      </c>
      <c r="D134" t="s">
        <v>582</v>
      </c>
      <c r="E134" t="s">
        <v>74</v>
      </c>
      <c r="F134" t="s">
        <v>1726</v>
      </c>
      <c r="G134" t="s">
        <v>167</v>
      </c>
      <c r="H134">
        <v>800</v>
      </c>
      <c r="I134" t="s">
        <v>1734</v>
      </c>
      <c r="J134">
        <v>5500</v>
      </c>
      <c r="K134" t="s">
        <v>100</v>
      </c>
      <c r="L134">
        <v>55</v>
      </c>
      <c r="M134" t="s">
        <v>2219</v>
      </c>
      <c r="N134" t="s">
        <v>131</v>
      </c>
      <c r="O134" t="s">
        <v>549</v>
      </c>
      <c r="P134" t="s">
        <v>85</v>
      </c>
    </row>
    <row r="135" spans="1:16" x14ac:dyDescent="0.25">
      <c r="A135" t="s">
        <v>800</v>
      </c>
      <c r="B135" t="s">
        <v>343</v>
      </c>
      <c r="C135" t="s">
        <v>344</v>
      </c>
      <c r="D135" t="s">
        <v>582</v>
      </c>
      <c r="E135" t="s">
        <v>74</v>
      </c>
      <c r="F135" t="s">
        <v>841</v>
      </c>
      <c r="G135" t="s">
        <v>1868</v>
      </c>
      <c r="H135">
        <v>51000</v>
      </c>
      <c r="J135">
        <v>1551</v>
      </c>
      <c r="K135" t="s">
        <v>92</v>
      </c>
      <c r="L135">
        <v>15</v>
      </c>
      <c r="M135" t="s">
        <v>2220</v>
      </c>
      <c r="N135" t="s">
        <v>4</v>
      </c>
      <c r="O135" t="s">
        <v>4</v>
      </c>
      <c r="P135" t="s">
        <v>87</v>
      </c>
    </row>
    <row r="136" spans="1:16" hidden="1" x14ac:dyDescent="0.25">
      <c r="A136" t="s">
        <v>800</v>
      </c>
      <c r="B136" t="s">
        <v>247</v>
      </c>
      <c r="C136" t="s">
        <v>342</v>
      </c>
      <c r="D136" t="s">
        <v>582</v>
      </c>
      <c r="E136" t="s">
        <v>74</v>
      </c>
      <c r="F136" t="s">
        <v>166</v>
      </c>
      <c r="G136" t="s">
        <v>2200</v>
      </c>
      <c r="H136">
        <v>3477</v>
      </c>
      <c r="I136" t="s">
        <v>2203</v>
      </c>
      <c r="J136">
        <v>5524</v>
      </c>
      <c r="K136" t="s">
        <v>117</v>
      </c>
      <c r="L136">
        <v>55</v>
      </c>
      <c r="M136" t="s">
        <v>2219</v>
      </c>
      <c r="N136" t="s">
        <v>131</v>
      </c>
      <c r="O136" t="s">
        <v>549</v>
      </c>
      <c r="P136" t="s">
        <v>85</v>
      </c>
    </row>
    <row r="137" spans="1:16" hidden="1" x14ac:dyDescent="0.25">
      <c r="A137" t="s">
        <v>800</v>
      </c>
      <c r="B137" t="s">
        <v>247</v>
      </c>
      <c r="C137" t="s">
        <v>342</v>
      </c>
      <c r="D137" t="s">
        <v>582</v>
      </c>
      <c r="E137" t="s">
        <v>74</v>
      </c>
      <c r="F137" t="s">
        <v>166</v>
      </c>
      <c r="G137" t="s">
        <v>2199</v>
      </c>
      <c r="H137">
        <v>1100</v>
      </c>
      <c r="I137" t="s">
        <v>2203</v>
      </c>
      <c r="J137">
        <v>5504</v>
      </c>
      <c r="K137" t="s">
        <v>102</v>
      </c>
      <c r="L137">
        <v>55</v>
      </c>
      <c r="M137" t="s">
        <v>2219</v>
      </c>
      <c r="N137" t="s">
        <v>131</v>
      </c>
      <c r="O137" t="s">
        <v>549</v>
      </c>
      <c r="P137" t="s">
        <v>85</v>
      </c>
    </row>
    <row r="138" spans="1:16" hidden="1" x14ac:dyDescent="0.25">
      <c r="A138" t="s">
        <v>800</v>
      </c>
      <c r="B138" t="s">
        <v>247</v>
      </c>
      <c r="C138" t="s">
        <v>342</v>
      </c>
      <c r="D138" t="s">
        <v>582</v>
      </c>
      <c r="E138" t="s">
        <v>74</v>
      </c>
      <c r="F138" t="s">
        <v>614</v>
      </c>
      <c r="G138" t="s">
        <v>613</v>
      </c>
      <c r="H138">
        <v>760</v>
      </c>
      <c r="I138" t="s">
        <v>623</v>
      </c>
      <c r="J138">
        <v>5540</v>
      </c>
      <c r="K138" t="s">
        <v>121</v>
      </c>
      <c r="L138">
        <v>55</v>
      </c>
      <c r="M138" t="s">
        <v>2219</v>
      </c>
      <c r="N138" t="s">
        <v>131</v>
      </c>
      <c r="O138" t="s">
        <v>549</v>
      </c>
      <c r="P138" t="s">
        <v>85</v>
      </c>
    </row>
    <row r="139" spans="1:16" hidden="1" x14ac:dyDescent="0.25">
      <c r="A139" t="s">
        <v>800</v>
      </c>
      <c r="B139" t="s">
        <v>247</v>
      </c>
      <c r="C139" t="s">
        <v>342</v>
      </c>
      <c r="D139" t="s">
        <v>582</v>
      </c>
      <c r="E139" t="s">
        <v>74</v>
      </c>
      <c r="F139" t="s">
        <v>614</v>
      </c>
      <c r="G139" t="s">
        <v>611</v>
      </c>
      <c r="H139">
        <v>4580</v>
      </c>
      <c r="I139" t="s">
        <v>621</v>
      </c>
      <c r="J139">
        <v>5525</v>
      </c>
      <c r="K139" t="s">
        <v>118</v>
      </c>
      <c r="L139">
        <v>55</v>
      </c>
      <c r="M139" t="s">
        <v>2219</v>
      </c>
      <c r="N139" t="s">
        <v>131</v>
      </c>
      <c r="O139" t="s">
        <v>549</v>
      </c>
      <c r="P139" t="s">
        <v>85</v>
      </c>
    </row>
    <row r="140" spans="1:16" hidden="1" x14ac:dyDescent="0.25">
      <c r="A140" t="s">
        <v>800</v>
      </c>
      <c r="B140" t="s">
        <v>247</v>
      </c>
      <c r="C140" t="s">
        <v>342</v>
      </c>
      <c r="D140" t="s">
        <v>582</v>
      </c>
      <c r="E140" t="s">
        <v>74</v>
      </c>
      <c r="F140" t="s">
        <v>614</v>
      </c>
      <c r="G140" t="s">
        <v>609</v>
      </c>
      <c r="H140">
        <v>785.4</v>
      </c>
      <c r="I140" t="s">
        <v>619</v>
      </c>
      <c r="J140">
        <v>5511</v>
      </c>
      <c r="K140" t="s">
        <v>106</v>
      </c>
      <c r="L140">
        <v>55</v>
      </c>
      <c r="M140" t="s">
        <v>2219</v>
      </c>
      <c r="N140" t="s">
        <v>131</v>
      </c>
      <c r="O140" t="s">
        <v>549</v>
      </c>
      <c r="P140" t="s">
        <v>85</v>
      </c>
    </row>
    <row r="141" spans="1:16" x14ac:dyDescent="0.25">
      <c r="A141" t="s">
        <v>800</v>
      </c>
      <c r="B141" t="s">
        <v>247</v>
      </c>
      <c r="C141" t="s">
        <v>342</v>
      </c>
      <c r="D141" t="s">
        <v>582</v>
      </c>
      <c r="E141" t="s">
        <v>74</v>
      </c>
      <c r="F141" t="s">
        <v>841</v>
      </c>
      <c r="G141" t="s">
        <v>2061</v>
      </c>
      <c r="H141">
        <v>95000</v>
      </c>
      <c r="J141">
        <v>1551</v>
      </c>
      <c r="K141" t="s">
        <v>92</v>
      </c>
      <c r="L141">
        <v>15</v>
      </c>
      <c r="M141" t="s">
        <v>2220</v>
      </c>
      <c r="N141" t="s">
        <v>4</v>
      </c>
      <c r="O141" t="s">
        <v>4</v>
      </c>
      <c r="P141" t="s">
        <v>87</v>
      </c>
    </row>
    <row r="142" spans="1:16" hidden="1" x14ac:dyDescent="0.25">
      <c r="A142" t="s">
        <v>800</v>
      </c>
      <c r="B142" t="s">
        <v>247</v>
      </c>
      <c r="C142" t="s">
        <v>342</v>
      </c>
      <c r="D142" t="s">
        <v>582</v>
      </c>
      <c r="E142" t="s">
        <v>74</v>
      </c>
      <c r="F142" t="s">
        <v>166</v>
      </c>
      <c r="G142" t="s">
        <v>209</v>
      </c>
      <c r="H142">
        <v>1000</v>
      </c>
      <c r="I142" t="s">
        <v>210</v>
      </c>
      <c r="J142">
        <v>5514</v>
      </c>
      <c r="K142" t="s">
        <v>110</v>
      </c>
      <c r="L142">
        <v>55</v>
      </c>
      <c r="M142" t="s">
        <v>2219</v>
      </c>
      <c r="N142" t="s">
        <v>131</v>
      </c>
      <c r="O142" t="s">
        <v>549</v>
      </c>
      <c r="P142" t="s">
        <v>85</v>
      </c>
    </row>
    <row r="143" spans="1:16" hidden="1" x14ac:dyDescent="0.25">
      <c r="A143" t="s">
        <v>800</v>
      </c>
      <c r="B143" t="s">
        <v>247</v>
      </c>
      <c r="C143" t="s">
        <v>342</v>
      </c>
      <c r="D143" t="s">
        <v>582</v>
      </c>
      <c r="E143" t="s">
        <v>74</v>
      </c>
      <c r="F143" t="s">
        <v>166</v>
      </c>
      <c r="G143" t="s">
        <v>244</v>
      </c>
      <c r="H143">
        <v>20</v>
      </c>
      <c r="J143">
        <v>5514</v>
      </c>
      <c r="K143" t="s">
        <v>110</v>
      </c>
      <c r="L143">
        <v>55</v>
      </c>
      <c r="M143" t="s">
        <v>2219</v>
      </c>
      <c r="N143" t="s">
        <v>131</v>
      </c>
      <c r="O143" t="s">
        <v>549</v>
      </c>
      <c r="P143" t="s">
        <v>85</v>
      </c>
    </row>
    <row r="144" spans="1:16" hidden="1" x14ac:dyDescent="0.25">
      <c r="A144" t="s">
        <v>800</v>
      </c>
      <c r="B144" t="s">
        <v>247</v>
      </c>
      <c r="C144" t="s">
        <v>342</v>
      </c>
      <c r="D144" t="s">
        <v>582</v>
      </c>
      <c r="E144" t="s">
        <v>74</v>
      </c>
      <c r="F144" t="s">
        <v>166</v>
      </c>
      <c r="G144" t="s">
        <v>242</v>
      </c>
      <c r="H144">
        <v>250</v>
      </c>
      <c r="I144" t="s">
        <v>243</v>
      </c>
      <c r="J144">
        <v>5514</v>
      </c>
      <c r="K144" t="s">
        <v>110</v>
      </c>
      <c r="L144">
        <v>55</v>
      </c>
      <c r="M144" t="s">
        <v>2219</v>
      </c>
      <c r="N144" t="s">
        <v>131</v>
      </c>
      <c r="O144" t="s">
        <v>549</v>
      </c>
      <c r="P144" t="s">
        <v>85</v>
      </c>
    </row>
    <row r="145" spans="1:16" hidden="1" x14ac:dyDescent="0.25">
      <c r="A145" t="s">
        <v>800</v>
      </c>
      <c r="B145" t="s">
        <v>247</v>
      </c>
      <c r="C145" t="s">
        <v>342</v>
      </c>
      <c r="D145" t="s">
        <v>582</v>
      </c>
      <c r="E145" t="s">
        <v>74</v>
      </c>
      <c r="F145" t="s">
        <v>166</v>
      </c>
      <c r="G145" t="s">
        <v>238</v>
      </c>
      <c r="H145">
        <v>400</v>
      </c>
      <c r="I145" t="s">
        <v>239</v>
      </c>
      <c r="J145">
        <v>5514</v>
      </c>
      <c r="K145" t="s">
        <v>110</v>
      </c>
      <c r="L145">
        <v>55</v>
      </c>
      <c r="M145" t="s">
        <v>2219</v>
      </c>
      <c r="N145" t="s">
        <v>131</v>
      </c>
      <c r="O145" t="s">
        <v>549</v>
      </c>
      <c r="P145" t="s">
        <v>85</v>
      </c>
    </row>
    <row r="146" spans="1:16" hidden="1" x14ac:dyDescent="0.25">
      <c r="A146" t="s">
        <v>800</v>
      </c>
      <c r="B146" t="s">
        <v>247</v>
      </c>
      <c r="C146" t="s">
        <v>342</v>
      </c>
      <c r="D146" t="s">
        <v>582</v>
      </c>
      <c r="E146" t="s">
        <v>74</v>
      </c>
      <c r="F146" t="s">
        <v>166</v>
      </c>
      <c r="G146" t="s">
        <v>196</v>
      </c>
      <c r="H146">
        <v>4500</v>
      </c>
      <c r="J146">
        <v>5511</v>
      </c>
      <c r="K146" t="s">
        <v>106</v>
      </c>
      <c r="L146">
        <v>55</v>
      </c>
      <c r="M146" t="s">
        <v>2219</v>
      </c>
      <c r="N146" t="s">
        <v>131</v>
      </c>
      <c r="O146" t="s">
        <v>549</v>
      </c>
      <c r="P146" t="s">
        <v>85</v>
      </c>
    </row>
    <row r="147" spans="1:16" hidden="1" x14ac:dyDescent="0.25">
      <c r="A147" t="s">
        <v>800</v>
      </c>
      <c r="B147" t="s">
        <v>247</v>
      </c>
      <c r="C147" t="s">
        <v>342</v>
      </c>
      <c r="D147" t="s">
        <v>582</v>
      </c>
      <c r="E147" t="s">
        <v>74</v>
      </c>
      <c r="F147" t="s">
        <v>166</v>
      </c>
      <c r="G147" t="s">
        <v>194</v>
      </c>
      <c r="H147">
        <v>1400</v>
      </c>
      <c r="I147" t="s">
        <v>195</v>
      </c>
      <c r="J147">
        <v>5511</v>
      </c>
      <c r="K147" t="s">
        <v>106</v>
      </c>
      <c r="L147">
        <v>55</v>
      </c>
      <c r="M147" t="s">
        <v>2219</v>
      </c>
      <c r="N147" t="s">
        <v>131</v>
      </c>
      <c r="O147" t="s">
        <v>549</v>
      </c>
      <c r="P147" t="s">
        <v>85</v>
      </c>
    </row>
    <row r="148" spans="1:16" hidden="1" x14ac:dyDescent="0.25">
      <c r="A148" t="s">
        <v>800</v>
      </c>
      <c r="B148" t="s">
        <v>247</v>
      </c>
      <c r="C148" t="s">
        <v>342</v>
      </c>
      <c r="D148" t="s">
        <v>582</v>
      </c>
      <c r="E148" t="s">
        <v>74</v>
      </c>
      <c r="F148" t="s">
        <v>166</v>
      </c>
      <c r="G148" t="s">
        <v>192</v>
      </c>
      <c r="H148">
        <v>113</v>
      </c>
      <c r="I148" t="s">
        <v>193</v>
      </c>
      <c r="J148">
        <v>5511</v>
      </c>
      <c r="K148" t="s">
        <v>106</v>
      </c>
      <c r="L148">
        <v>55</v>
      </c>
      <c r="M148" t="s">
        <v>2219</v>
      </c>
      <c r="N148" t="s">
        <v>131</v>
      </c>
      <c r="O148" t="s">
        <v>549</v>
      </c>
      <c r="P148" t="s">
        <v>85</v>
      </c>
    </row>
    <row r="149" spans="1:16" hidden="1" x14ac:dyDescent="0.25">
      <c r="A149" t="s">
        <v>800</v>
      </c>
      <c r="B149" t="s">
        <v>247</v>
      </c>
      <c r="C149" t="s">
        <v>342</v>
      </c>
      <c r="D149" t="s">
        <v>582</v>
      </c>
      <c r="E149" t="s">
        <v>74</v>
      </c>
      <c r="F149" t="s">
        <v>166</v>
      </c>
      <c r="G149" t="s">
        <v>190</v>
      </c>
      <c r="H149">
        <v>92</v>
      </c>
      <c r="I149" t="s">
        <v>191</v>
      </c>
      <c r="J149">
        <v>5511</v>
      </c>
      <c r="K149" t="s">
        <v>106</v>
      </c>
      <c r="L149">
        <v>55</v>
      </c>
      <c r="M149" t="s">
        <v>2219</v>
      </c>
      <c r="N149" t="s">
        <v>131</v>
      </c>
      <c r="O149" t="s">
        <v>549</v>
      </c>
      <c r="P149" t="s">
        <v>85</v>
      </c>
    </row>
    <row r="150" spans="1:16" hidden="1" x14ac:dyDescent="0.25">
      <c r="A150" t="s">
        <v>800</v>
      </c>
      <c r="B150" t="s">
        <v>247</v>
      </c>
      <c r="C150" t="s">
        <v>342</v>
      </c>
      <c r="D150" t="s">
        <v>582</v>
      </c>
      <c r="E150" t="s">
        <v>74</v>
      </c>
      <c r="F150" t="s">
        <v>166</v>
      </c>
      <c r="G150" t="s">
        <v>188</v>
      </c>
      <c r="H150">
        <v>106</v>
      </c>
      <c r="I150" t="s">
        <v>189</v>
      </c>
      <c r="J150">
        <v>5511</v>
      </c>
      <c r="K150" t="s">
        <v>106</v>
      </c>
      <c r="L150">
        <v>55</v>
      </c>
      <c r="M150" t="s">
        <v>2219</v>
      </c>
      <c r="N150" t="s">
        <v>131</v>
      </c>
      <c r="O150" t="s">
        <v>549</v>
      </c>
      <c r="P150" t="s">
        <v>85</v>
      </c>
    </row>
    <row r="151" spans="1:16" hidden="1" x14ac:dyDescent="0.25">
      <c r="A151" t="s">
        <v>800</v>
      </c>
      <c r="B151" t="s">
        <v>247</v>
      </c>
      <c r="C151" t="s">
        <v>342</v>
      </c>
      <c r="D151" t="s">
        <v>582</v>
      </c>
      <c r="E151" t="s">
        <v>74</v>
      </c>
      <c r="F151" t="s">
        <v>166</v>
      </c>
      <c r="G151" t="s">
        <v>186</v>
      </c>
      <c r="H151">
        <v>450</v>
      </c>
      <c r="I151" t="s">
        <v>187</v>
      </c>
      <c r="J151">
        <v>5511</v>
      </c>
      <c r="K151" t="s">
        <v>106</v>
      </c>
      <c r="L151">
        <v>55</v>
      </c>
      <c r="M151" t="s">
        <v>2219</v>
      </c>
      <c r="N151" t="s">
        <v>131</v>
      </c>
      <c r="O151" t="s">
        <v>549</v>
      </c>
      <c r="P151" t="s">
        <v>85</v>
      </c>
    </row>
    <row r="152" spans="1:16" hidden="1" x14ac:dyDescent="0.25">
      <c r="A152" t="s">
        <v>800</v>
      </c>
      <c r="B152" t="s">
        <v>247</v>
      </c>
      <c r="C152" t="s">
        <v>342</v>
      </c>
      <c r="D152" t="s">
        <v>582</v>
      </c>
      <c r="E152" t="s">
        <v>74</v>
      </c>
      <c r="F152" t="s">
        <v>166</v>
      </c>
      <c r="G152" t="s">
        <v>184</v>
      </c>
      <c r="H152">
        <v>800</v>
      </c>
      <c r="I152" t="s">
        <v>185</v>
      </c>
      <c r="J152">
        <v>5511</v>
      </c>
      <c r="K152" t="s">
        <v>106</v>
      </c>
      <c r="L152">
        <v>55</v>
      </c>
      <c r="M152" t="s">
        <v>2219</v>
      </c>
      <c r="N152" t="s">
        <v>131</v>
      </c>
      <c r="O152" t="s">
        <v>549</v>
      </c>
      <c r="P152" t="s">
        <v>85</v>
      </c>
    </row>
    <row r="153" spans="1:16" hidden="1" x14ac:dyDescent="0.25">
      <c r="A153" t="s">
        <v>800</v>
      </c>
      <c r="B153" t="s">
        <v>247</v>
      </c>
      <c r="C153" t="s">
        <v>342</v>
      </c>
      <c r="D153" t="s">
        <v>582</v>
      </c>
      <c r="E153" t="s">
        <v>74</v>
      </c>
      <c r="F153" t="s">
        <v>166</v>
      </c>
      <c r="G153" t="s">
        <v>182</v>
      </c>
      <c r="H153">
        <v>850</v>
      </c>
      <c r="I153" t="s">
        <v>183</v>
      </c>
      <c r="J153">
        <v>5511</v>
      </c>
      <c r="K153" t="s">
        <v>106</v>
      </c>
      <c r="L153">
        <v>55</v>
      </c>
      <c r="M153" t="s">
        <v>2219</v>
      </c>
      <c r="N153" t="s">
        <v>131</v>
      </c>
      <c r="O153" t="s">
        <v>549</v>
      </c>
      <c r="P153" t="s">
        <v>85</v>
      </c>
    </row>
    <row r="154" spans="1:16" hidden="1" x14ac:dyDescent="0.25">
      <c r="A154" t="s">
        <v>800</v>
      </c>
      <c r="B154" t="s">
        <v>247</v>
      </c>
      <c r="C154" t="s">
        <v>342</v>
      </c>
      <c r="D154" t="s">
        <v>582</v>
      </c>
      <c r="E154" t="s">
        <v>74</v>
      </c>
      <c r="F154" t="s">
        <v>166</v>
      </c>
      <c r="G154" t="s">
        <v>180</v>
      </c>
      <c r="H154">
        <v>489</v>
      </c>
      <c r="I154" t="s">
        <v>181</v>
      </c>
      <c r="J154">
        <v>5511</v>
      </c>
      <c r="K154" t="s">
        <v>106</v>
      </c>
      <c r="L154">
        <v>55</v>
      </c>
      <c r="M154" t="s">
        <v>2219</v>
      </c>
      <c r="N154" t="s">
        <v>131</v>
      </c>
      <c r="O154" t="s">
        <v>549</v>
      </c>
      <c r="P154" t="s">
        <v>85</v>
      </c>
    </row>
    <row r="155" spans="1:16" hidden="1" x14ac:dyDescent="0.25">
      <c r="A155" t="s">
        <v>800</v>
      </c>
      <c r="B155" t="s">
        <v>247</v>
      </c>
      <c r="C155" t="s">
        <v>342</v>
      </c>
      <c r="D155" t="s">
        <v>582</v>
      </c>
      <c r="E155" t="s">
        <v>74</v>
      </c>
      <c r="F155" t="s">
        <v>166</v>
      </c>
      <c r="G155" t="s">
        <v>179</v>
      </c>
      <c r="H155">
        <v>4000</v>
      </c>
      <c r="J155">
        <v>5511</v>
      </c>
      <c r="K155" t="s">
        <v>106</v>
      </c>
      <c r="L155">
        <v>55</v>
      </c>
      <c r="M155" t="s">
        <v>2219</v>
      </c>
      <c r="N155" t="s">
        <v>131</v>
      </c>
      <c r="O155" t="s">
        <v>549</v>
      </c>
      <c r="P155" t="s">
        <v>85</v>
      </c>
    </row>
    <row r="156" spans="1:16" hidden="1" x14ac:dyDescent="0.25">
      <c r="A156" t="s">
        <v>800</v>
      </c>
      <c r="B156" t="s">
        <v>247</v>
      </c>
      <c r="C156" t="s">
        <v>342</v>
      </c>
      <c r="D156" t="s">
        <v>582</v>
      </c>
      <c r="E156" t="s">
        <v>74</v>
      </c>
      <c r="F156" t="s">
        <v>166</v>
      </c>
      <c r="G156" t="s">
        <v>178</v>
      </c>
      <c r="H156">
        <v>6500</v>
      </c>
      <c r="J156">
        <v>5511</v>
      </c>
      <c r="K156" t="s">
        <v>106</v>
      </c>
      <c r="L156">
        <v>55</v>
      </c>
      <c r="M156" t="s">
        <v>2219</v>
      </c>
      <c r="N156" t="s">
        <v>131</v>
      </c>
      <c r="O156" t="s">
        <v>549</v>
      </c>
      <c r="P156" t="s">
        <v>85</v>
      </c>
    </row>
    <row r="157" spans="1:16" hidden="1" x14ac:dyDescent="0.25">
      <c r="A157" t="s">
        <v>800</v>
      </c>
      <c r="B157" t="s">
        <v>247</v>
      </c>
      <c r="C157" t="s">
        <v>342</v>
      </c>
      <c r="D157" t="s">
        <v>582</v>
      </c>
      <c r="E157" t="s">
        <v>74</v>
      </c>
      <c r="F157" t="s">
        <v>166</v>
      </c>
      <c r="G157" t="s">
        <v>177</v>
      </c>
      <c r="H157">
        <v>37000</v>
      </c>
      <c r="J157">
        <v>5511</v>
      </c>
      <c r="K157" t="s">
        <v>106</v>
      </c>
      <c r="L157">
        <v>55</v>
      </c>
      <c r="M157" t="s">
        <v>2219</v>
      </c>
      <c r="N157" t="s">
        <v>131</v>
      </c>
      <c r="O157" t="s">
        <v>549</v>
      </c>
      <c r="P157" t="s">
        <v>85</v>
      </c>
    </row>
    <row r="158" spans="1:16" hidden="1" x14ac:dyDescent="0.25">
      <c r="A158" t="s">
        <v>800</v>
      </c>
      <c r="B158" t="s">
        <v>247</v>
      </c>
      <c r="C158" t="s">
        <v>342</v>
      </c>
      <c r="D158" t="s">
        <v>582</v>
      </c>
      <c r="E158" t="s">
        <v>74</v>
      </c>
      <c r="F158" t="s">
        <v>166</v>
      </c>
      <c r="G158" t="s">
        <v>237</v>
      </c>
      <c r="H158">
        <v>700</v>
      </c>
      <c r="J158">
        <v>5525</v>
      </c>
      <c r="K158" t="s">
        <v>118</v>
      </c>
      <c r="L158">
        <v>55</v>
      </c>
      <c r="M158" t="s">
        <v>2219</v>
      </c>
      <c r="N158" t="s">
        <v>131</v>
      </c>
      <c r="O158" t="s">
        <v>549</v>
      </c>
      <c r="P158" t="s">
        <v>85</v>
      </c>
    </row>
    <row r="159" spans="1:16" hidden="1" x14ac:dyDescent="0.25">
      <c r="A159" t="s">
        <v>800</v>
      </c>
      <c r="B159" t="s">
        <v>247</v>
      </c>
      <c r="C159" t="s">
        <v>342</v>
      </c>
      <c r="D159" t="s">
        <v>582</v>
      </c>
      <c r="E159" t="s">
        <v>74</v>
      </c>
      <c r="F159" t="s">
        <v>166</v>
      </c>
      <c r="G159" t="s">
        <v>236</v>
      </c>
      <c r="H159">
        <v>100</v>
      </c>
      <c r="J159">
        <v>5525</v>
      </c>
      <c r="K159" t="s">
        <v>118</v>
      </c>
      <c r="L159">
        <v>55</v>
      </c>
      <c r="M159" t="s">
        <v>2219</v>
      </c>
      <c r="N159" t="s">
        <v>131</v>
      </c>
      <c r="O159" t="s">
        <v>549</v>
      </c>
      <c r="P159" t="s">
        <v>85</v>
      </c>
    </row>
    <row r="160" spans="1:16" hidden="1" x14ac:dyDescent="0.25">
      <c r="A160" t="s">
        <v>800</v>
      </c>
      <c r="B160" t="s">
        <v>247</v>
      </c>
      <c r="C160" t="s">
        <v>342</v>
      </c>
      <c r="D160" t="s">
        <v>582</v>
      </c>
      <c r="E160" t="s">
        <v>74</v>
      </c>
      <c r="F160" t="s">
        <v>166</v>
      </c>
      <c r="G160" t="s">
        <v>235</v>
      </c>
      <c r="H160">
        <v>200</v>
      </c>
      <c r="J160">
        <v>5525</v>
      </c>
      <c r="K160" t="s">
        <v>118</v>
      </c>
      <c r="L160">
        <v>55</v>
      </c>
      <c r="M160" t="s">
        <v>2219</v>
      </c>
      <c r="N160" t="s">
        <v>131</v>
      </c>
      <c r="O160" t="s">
        <v>549</v>
      </c>
      <c r="P160" t="s">
        <v>85</v>
      </c>
    </row>
    <row r="161" spans="1:16" hidden="1" x14ac:dyDescent="0.25">
      <c r="A161" t="s">
        <v>800</v>
      </c>
      <c r="B161" t="s">
        <v>247</v>
      </c>
      <c r="C161" t="s">
        <v>342</v>
      </c>
      <c r="D161" t="s">
        <v>582</v>
      </c>
      <c r="E161" t="s">
        <v>74</v>
      </c>
      <c r="F161" t="s">
        <v>166</v>
      </c>
      <c r="G161" t="s">
        <v>234</v>
      </c>
      <c r="H161">
        <v>150</v>
      </c>
      <c r="J161">
        <v>5525</v>
      </c>
      <c r="K161" t="s">
        <v>118</v>
      </c>
      <c r="L161">
        <v>55</v>
      </c>
      <c r="M161" t="s">
        <v>2219</v>
      </c>
      <c r="N161" t="s">
        <v>131</v>
      </c>
      <c r="O161" t="s">
        <v>549</v>
      </c>
      <c r="P161" t="s">
        <v>85</v>
      </c>
    </row>
    <row r="162" spans="1:16" hidden="1" x14ac:dyDescent="0.25">
      <c r="A162" t="s">
        <v>800</v>
      </c>
      <c r="B162" t="s">
        <v>247</v>
      </c>
      <c r="C162" t="s">
        <v>342</v>
      </c>
      <c r="D162" t="s">
        <v>582</v>
      </c>
      <c r="E162" t="s">
        <v>74</v>
      </c>
      <c r="F162" t="s">
        <v>166</v>
      </c>
      <c r="G162" t="s">
        <v>233</v>
      </c>
      <c r="H162">
        <v>150</v>
      </c>
      <c r="J162">
        <v>5525</v>
      </c>
      <c r="K162" t="s">
        <v>118</v>
      </c>
      <c r="L162">
        <v>55</v>
      </c>
      <c r="M162" t="s">
        <v>2219</v>
      </c>
      <c r="N162" t="s">
        <v>131</v>
      </c>
      <c r="O162" t="s">
        <v>549</v>
      </c>
      <c r="P162" t="s">
        <v>85</v>
      </c>
    </row>
    <row r="163" spans="1:16" hidden="1" x14ac:dyDescent="0.25">
      <c r="A163" t="s">
        <v>800</v>
      </c>
      <c r="B163" t="s">
        <v>247</v>
      </c>
      <c r="C163" t="s">
        <v>342</v>
      </c>
      <c r="D163" t="s">
        <v>582</v>
      </c>
      <c r="E163" t="s">
        <v>74</v>
      </c>
      <c r="F163" t="s">
        <v>166</v>
      </c>
      <c r="G163" t="s">
        <v>231</v>
      </c>
      <c r="H163">
        <v>150</v>
      </c>
      <c r="I163" t="s">
        <v>232</v>
      </c>
      <c r="J163">
        <v>5525</v>
      </c>
      <c r="K163" t="s">
        <v>118</v>
      </c>
      <c r="L163">
        <v>55</v>
      </c>
      <c r="M163" t="s">
        <v>2219</v>
      </c>
      <c r="N163" t="s">
        <v>131</v>
      </c>
      <c r="O163" t="s">
        <v>549</v>
      </c>
      <c r="P163" t="s">
        <v>85</v>
      </c>
    </row>
    <row r="164" spans="1:16" hidden="1" x14ac:dyDescent="0.25">
      <c r="A164" t="s">
        <v>800</v>
      </c>
      <c r="B164" t="s">
        <v>247</v>
      </c>
      <c r="C164" t="s">
        <v>342</v>
      </c>
      <c r="D164" t="s">
        <v>582</v>
      </c>
      <c r="E164" t="s">
        <v>74</v>
      </c>
      <c r="F164" t="s">
        <v>166</v>
      </c>
      <c r="G164" t="s">
        <v>230</v>
      </c>
      <c r="H164">
        <v>150</v>
      </c>
      <c r="J164">
        <v>5524</v>
      </c>
      <c r="K164" t="s">
        <v>117</v>
      </c>
      <c r="L164">
        <v>55</v>
      </c>
      <c r="M164" t="s">
        <v>2219</v>
      </c>
      <c r="N164" t="s">
        <v>131</v>
      </c>
      <c r="O164" t="s">
        <v>549</v>
      </c>
      <c r="P164" t="s">
        <v>85</v>
      </c>
    </row>
    <row r="165" spans="1:16" hidden="1" x14ac:dyDescent="0.25">
      <c r="A165" t="s">
        <v>800</v>
      </c>
      <c r="B165" t="s">
        <v>247</v>
      </c>
      <c r="C165" t="s">
        <v>342</v>
      </c>
      <c r="D165" t="s">
        <v>582</v>
      </c>
      <c r="E165" t="s">
        <v>74</v>
      </c>
      <c r="F165" t="s">
        <v>166</v>
      </c>
      <c r="G165" t="s">
        <v>228</v>
      </c>
      <c r="H165">
        <v>200</v>
      </c>
      <c r="I165" t="s">
        <v>229</v>
      </c>
      <c r="J165">
        <v>5524</v>
      </c>
      <c r="K165" t="s">
        <v>117</v>
      </c>
      <c r="L165">
        <v>55</v>
      </c>
      <c r="M165" t="s">
        <v>2219</v>
      </c>
      <c r="N165" t="s">
        <v>131</v>
      </c>
      <c r="O165" t="s">
        <v>549</v>
      </c>
      <c r="P165" t="s">
        <v>85</v>
      </c>
    </row>
    <row r="166" spans="1:16" hidden="1" x14ac:dyDescent="0.25">
      <c r="A166" t="s">
        <v>800</v>
      </c>
      <c r="B166" t="s">
        <v>247</v>
      </c>
      <c r="C166" t="s">
        <v>342</v>
      </c>
      <c r="D166" t="s">
        <v>582</v>
      </c>
      <c r="E166" t="s">
        <v>74</v>
      </c>
      <c r="F166" t="s">
        <v>166</v>
      </c>
      <c r="G166" t="s">
        <v>226</v>
      </c>
      <c r="H166">
        <v>200</v>
      </c>
      <c r="I166" t="s">
        <v>227</v>
      </c>
      <c r="J166">
        <v>5524</v>
      </c>
      <c r="K166" t="s">
        <v>117</v>
      </c>
      <c r="L166">
        <v>55</v>
      </c>
      <c r="M166" t="s">
        <v>2219</v>
      </c>
      <c r="N166" t="s">
        <v>131</v>
      </c>
      <c r="O166" t="s">
        <v>549</v>
      </c>
      <c r="P166" t="s">
        <v>85</v>
      </c>
    </row>
    <row r="167" spans="1:16" hidden="1" x14ac:dyDescent="0.25">
      <c r="A167" t="s">
        <v>800</v>
      </c>
      <c r="B167" t="s">
        <v>247</v>
      </c>
      <c r="C167" t="s">
        <v>342</v>
      </c>
      <c r="D167" t="s">
        <v>582</v>
      </c>
      <c r="E167" t="s">
        <v>74</v>
      </c>
      <c r="F167" t="s">
        <v>166</v>
      </c>
      <c r="G167" t="s">
        <v>224</v>
      </c>
      <c r="H167">
        <v>100</v>
      </c>
      <c r="I167" t="s">
        <v>225</v>
      </c>
      <c r="J167">
        <v>5524</v>
      </c>
      <c r="K167" t="s">
        <v>117</v>
      </c>
      <c r="L167">
        <v>55</v>
      </c>
      <c r="M167" t="s">
        <v>2219</v>
      </c>
      <c r="N167" t="s">
        <v>131</v>
      </c>
      <c r="O167" t="s">
        <v>549</v>
      </c>
      <c r="P167" t="s">
        <v>85</v>
      </c>
    </row>
    <row r="168" spans="1:16" hidden="1" x14ac:dyDescent="0.25">
      <c r="A168" t="s">
        <v>800</v>
      </c>
      <c r="B168" t="s">
        <v>247</v>
      </c>
      <c r="C168" t="s">
        <v>342</v>
      </c>
      <c r="D168" t="s">
        <v>582</v>
      </c>
      <c r="E168" t="s">
        <v>74</v>
      </c>
      <c r="F168" t="s">
        <v>166</v>
      </c>
      <c r="G168" t="s">
        <v>222</v>
      </c>
      <c r="H168">
        <v>500</v>
      </c>
      <c r="I168" t="s">
        <v>223</v>
      </c>
      <c r="J168">
        <v>5524</v>
      </c>
      <c r="K168" t="s">
        <v>117</v>
      </c>
      <c r="L168">
        <v>55</v>
      </c>
      <c r="M168" t="s">
        <v>2219</v>
      </c>
      <c r="N168" t="s">
        <v>131</v>
      </c>
      <c r="O168" t="s">
        <v>549</v>
      </c>
      <c r="P168" t="s">
        <v>85</v>
      </c>
    </row>
    <row r="169" spans="1:16" hidden="1" x14ac:dyDescent="0.25">
      <c r="A169" t="s">
        <v>800</v>
      </c>
      <c r="B169" t="s">
        <v>247</v>
      </c>
      <c r="C169" t="s">
        <v>342</v>
      </c>
      <c r="D169" t="s">
        <v>582</v>
      </c>
      <c r="E169" t="s">
        <v>74</v>
      </c>
      <c r="F169" t="s">
        <v>166</v>
      </c>
      <c r="G169" t="s">
        <v>117</v>
      </c>
      <c r="H169">
        <v>500</v>
      </c>
      <c r="I169" t="s">
        <v>221</v>
      </c>
      <c r="J169">
        <v>5524</v>
      </c>
      <c r="K169" t="s">
        <v>117</v>
      </c>
      <c r="L169">
        <v>55</v>
      </c>
      <c r="M169" t="s">
        <v>2219</v>
      </c>
      <c r="N169" t="s">
        <v>131</v>
      </c>
      <c r="O169" t="s">
        <v>549</v>
      </c>
      <c r="P169" t="s">
        <v>85</v>
      </c>
    </row>
    <row r="170" spans="1:16" hidden="1" x14ac:dyDescent="0.25">
      <c r="A170" t="s">
        <v>800</v>
      </c>
      <c r="B170" t="s">
        <v>247</v>
      </c>
      <c r="C170" t="s">
        <v>342</v>
      </c>
      <c r="D170" t="s">
        <v>582</v>
      </c>
      <c r="E170" t="s">
        <v>74</v>
      </c>
      <c r="F170" t="s">
        <v>166</v>
      </c>
      <c r="G170" t="s">
        <v>220</v>
      </c>
      <c r="H170">
        <v>100</v>
      </c>
      <c r="J170">
        <v>5524</v>
      </c>
      <c r="K170" t="s">
        <v>117</v>
      </c>
      <c r="L170">
        <v>55</v>
      </c>
      <c r="M170" t="s">
        <v>2219</v>
      </c>
      <c r="N170" t="s">
        <v>131</v>
      </c>
      <c r="O170" t="s">
        <v>549</v>
      </c>
      <c r="P170" t="s">
        <v>85</v>
      </c>
    </row>
    <row r="171" spans="1:16" hidden="1" x14ac:dyDescent="0.25">
      <c r="A171" t="s">
        <v>800</v>
      </c>
      <c r="B171" t="s">
        <v>247</v>
      </c>
      <c r="C171" t="s">
        <v>342</v>
      </c>
      <c r="D171" t="s">
        <v>582</v>
      </c>
      <c r="E171" t="s">
        <v>74</v>
      </c>
      <c r="F171" t="s">
        <v>166</v>
      </c>
      <c r="G171" t="s">
        <v>218</v>
      </c>
      <c r="H171">
        <v>3023</v>
      </c>
      <c r="I171" t="s">
        <v>219</v>
      </c>
      <c r="J171">
        <v>5524</v>
      </c>
      <c r="K171" t="s">
        <v>117</v>
      </c>
      <c r="L171">
        <v>55</v>
      </c>
      <c r="M171" t="s">
        <v>2219</v>
      </c>
      <c r="N171" t="s">
        <v>131</v>
      </c>
      <c r="O171" t="s">
        <v>549</v>
      </c>
      <c r="P171" t="s">
        <v>85</v>
      </c>
    </row>
    <row r="172" spans="1:16" hidden="1" x14ac:dyDescent="0.25">
      <c r="A172" t="s">
        <v>800</v>
      </c>
      <c r="B172" t="s">
        <v>247</v>
      </c>
      <c r="C172" t="s">
        <v>342</v>
      </c>
      <c r="D172" t="s">
        <v>582</v>
      </c>
      <c r="E172" t="s">
        <v>74</v>
      </c>
      <c r="F172" t="s">
        <v>166</v>
      </c>
      <c r="G172" t="s">
        <v>217</v>
      </c>
      <c r="H172">
        <v>200</v>
      </c>
      <c r="J172">
        <v>5524</v>
      </c>
      <c r="K172" t="s">
        <v>117</v>
      </c>
      <c r="L172">
        <v>55</v>
      </c>
      <c r="M172" t="s">
        <v>2219</v>
      </c>
      <c r="N172" t="s">
        <v>131</v>
      </c>
      <c r="O172" t="s">
        <v>549</v>
      </c>
      <c r="P172" t="s">
        <v>85</v>
      </c>
    </row>
    <row r="173" spans="1:16" hidden="1" x14ac:dyDescent="0.25">
      <c r="A173" t="s">
        <v>800</v>
      </c>
      <c r="B173" t="s">
        <v>247</v>
      </c>
      <c r="C173" t="s">
        <v>342</v>
      </c>
      <c r="D173" t="s">
        <v>582</v>
      </c>
      <c r="E173" t="s">
        <v>74</v>
      </c>
      <c r="F173" t="s">
        <v>166</v>
      </c>
      <c r="G173" t="s">
        <v>216</v>
      </c>
      <c r="H173">
        <v>100</v>
      </c>
      <c r="J173">
        <v>5522</v>
      </c>
      <c r="K173" t="s">
        <v>115</v>
      </c>
      <c r="L173">
        <v>55</v>
      </c>
      <c r="M173" t="s">
        <v>2219</v>
      </c>
      <c r="N173" t="s">
        <v>131</v>
      </c>
      <c r="O173" t="s">
        <v>549</v>
      </c>
      <c r="P173" t="s">
        <v>85</v>
      </c>
    </row>
    <row r="174" spans="1:16" hidden="1" x14ac:dyDescent="0.25">
      <c r="A174" t="s">
        <v>800</v>
      </c>
      <c r="B174" t="s">
        <v>247</v>
      </c>
      <c r="C174" t="s">
        <v>342</v>
      </c>
      <c r="D174" t="s">
        <v>582</v>
      </c>
      <c r="E174" t="s">
        <v>74</v>
      </c>
      <c r="F174" t="s">
        <v>166</v>
      </c>
      <c r="G174" t="s">
        <v>214</v>
      </c>
      <c r="H174">
        <v>150</v>
      </c>
      <c r="I174" t="s">
        <v>215</v>
      </c>
      <c r="J174">
        <v>5522</v>
      </c>
      <c r="K174" t="s">
        <v>115</v>
      </c>
      <c r="L174">
        <v>55</v>
      </c>
      <c r="M174" t="s">
        <v>2219</v>
      </c>
      <c r="N174" t="s">
        <v>131</v>
      </c>
      <c r="O174" t="s">
        <v>549</v>
      </c>
      <c r="P174" t="s">
        <v>85</v>
      </c>
    </row>
    <row r="175" spans="1:16" hidden="1" x14ac:dyDescent="0.25">
      <c r="A175" t="s">
        <v>800</v>
      </c>
      <c r="B175" t="s">
        <v>247</v>
      </c>
      <c r="C175" t="s">
        <v>342</v>
      </c>
      <c r="D175" t="s">
        <v>582</v>
      </c>
      <c r="E175" t="s">
        <v>74</v>
      </c>
      <c r="F175" t="s">
        <v>166</v>
      </c>
      <c r="G175" t="s">
        <v>213</v>
      </c>
      <c r="H175">
        <v>10675</v>
      </c>
      <c r="J175">
        <v>5521</v>
      </c>
      <c r="K175" t="s">
        <v>114</v>
      </c>
      <c r="L175">
        <v>55</v>
      </c>
      <c r="M175" t="s">
        <v>2219</v>
      </c>
      <c r="N175" t="s">
        <v>131</v>
      </c>
      <c r="O175" t="s">
        <v>549</v>
      </c>
      <c r="P175" t="s">
        <v>85</v>
      </c>
    </row>
    <row r="176" spans="1:16" hidden="1" x14ac:dyDescent="0.25">
      <c r="A176" t="s">
        <v>800</v>
      </c>
      <c r="B176" t="s">
        <v>247</v>
      </c>
      <c r="C176" t="s">
        <v>342</v>
      </c>
      <c r="D176" t="s">
        <v>582</v>
      </c>
      <c r="E176" t="s">
        <v>74</v>
      </c>
      <c r="F176" t="s">
        <v>166</v>
      </c>
      <c r="G176" t="s">
        <v>211</v>
      </c>
      <c r="H176">
        <v>1000</v>
      </c>
      <c r="I176" t="s">
        <v>212</v>
      </c>
      <c r="J176">
        <v>5515</v>
      </c>
      <c r="K176" t="s">
        <v>112</v>
      </c>
      <c r="L176">
        <v>55</v>
      </c>
      <c r="M176" t="s">
        <v>2219</v>
      </c>
      <c r="N176" t="s">
        <v>131</v>
      </c>
      <c r="O176" t="s">
        <v>549</v>
      </c>
      <c r="P176" t="s">
        <v>85</v>
      </c>
    </row>
    <row r="177" spans="1:16" hidden="1" x14ac:dyDescent="0.25">
      <c r="A177" t="s">
        <v>800</v>
      </c>
      <c r="B177" t="s">
        <v>247</v>
      </c>
      <c r="C177" t="s">
        <v>342</v>
      </c>
      <c r="D177" t="s">
        <v>582</v>
      </c>
      <c r="E177" t="s">
        <v>74</v>
      </c>
      <c r="F177" t="s">
        <v>166</v>
      </c>
      <c r="G177" t="s">
        <v>208</v>
      </c>
      <c r="H177">
        <v>200</v>
      </c>
      <c r="J177">
        <v>5515</v>
      </c>
      <c r="K177" t="s">
        <v>112</v>
      </c>
      <c r="L177">
        <v>55</v>
      </c>
      <c r="M177" t="s">
        <v>2219</v>
      </c>
      <c r="N177" t="s">
        <v>131</v>
      </c>
      <c r="O177" t="s">
        <v>549</v>
      </c>
      <c r="P177" t="s">
        <v>85</v>
      </c>
    </row>
    <row r="178" spans="1:16" hidden="1" x14ac:dyDescent="0.25">
      <c r="A178" t="s">
        <v>800</v>
      </c>
      <c r="B178" t="s">
        <v>247</v>
      </c>
      <c r="C178" t="s">
        <v>342</v>
      </c>
      <c r="D178" t="s">
        <v>582</v>
      </c>
      <c r="E178" t="s">
        <v>74</v>
      </c>
      <c r="F178" t="s">
        <v>166</v>
      </c>
      <c r="G178" t="s">
        <v>206</v>
      </c>
      <c r="H178">
        <v>200</v>
      </c>
      <c r="I178" t="s">
        <v>207</v>
      </c>
      <c r="J178">
        <v>5515</v>
      </c>
      <c r="K178" t="s">
        <v>112</v>
      </c>
      <c r="L178">
        <v>55</v>
      </c>
      <c r="M178" t="s">
        <v>2219</v>
      </c>
      <c r="N178" t="s">
        <v>131</v>
      </c>
      <c r="O178" t="s">
        <v>549</v>
      </c>
      <c r="P178" t="s">
        <v>85</v>
      </c>
    </row>
    <row r="179" spans="1:16" hidden="1" x14ac:dyDescent="0.25">
      <c r="A179" t="s">
        <v>800</v>
      </c>
      <c r="B179" t="s">
        <v>247</v>
      </c>
      <c r="C179" t="s">
        <v>342</v>
      </c>
      <c r="D179" t="s">
        <v>582</v>
      </c>
      <c r="E179" t="s">
        <v>74</v>
      </c>
      <c r="F179" t="s">
        <v>166</v>
      </c>
      <c r="G179" t="s">
        <v>200</v>
      </c>
      <c r="H179">
        <v>704</v>
      </c>
      <c r="I179" t="s">
        <v>205</v>
      </c>
      <c r="J179">
        <v>5513</v>
      </c>
      <c r="K179" t="s">
        <v>111</v>
      </c>
      <c r="L179">
        <v>55</v>
      </c>
      <c r="M179" t="s">
        <v>2219</v>
      </c>
      <c r="N179" t="s">
        <v>131</v>
      </c>
      <c r="O179" t="s">
        <v>549</v>
      </c>
      <c r="P179" t="s">
        <v>85</v>
      </c>
    </row>
    <row r="180" spans="1:16" hidden="1" x14ac:dyDescent="0.25">
      <c r="A180" t="s">
        <v>800</v>
      </c>
      <c r="B180" t="s">
        <v>247</v>
      </c>
      <c r="C180" t="s">
        <v>342</v>
      </c>
      <c r="D180" t="s">
        <v>582</v>
      </c>
      <c r="E180" t="s">
        <v>74</v>
      </c>
      <c r="F180" t="s">
        <v>166</v>
      </c>
      <c r="G180" t="s">
        <v>200</v>
      </c>
      <c r="H180">
        <v>640</v>
      </c>
      <c r="I180" t="s">
        <v>204</v>
      </c>
      <c r="J180">
        <v>5513</v>
      </c>
      <c r="K180" t="s">
        <v>111</v>
      </c>
      <c r="L180">
        <v>55</v>
      </c>
      <c r="M180" t="s">
        <v>2219</v>
      </c>
      <c r="N180" t="s">
        <v>131</v>
      </c>
      <c r="O180" t="s">
        <v>549</v>
      </c>
      <c r="P180" t="s">
        <v>85</v>
      </c>
    </row>
    <row r="181" spans="1:16" hidden="1" x14ac:dyDescent="0.25">
      <c r="A181" t="s">
        <v>800</v>
      </c>
      <c r="B181" t="s">
        <v>247</v>
      </c>
      <c r="C181" t="s">
        <v>342</v>
      </c>
      <c r="D181" t="s">
        <v>582</v>
      </c>
      <c r="E181" t="s">
        <v>74</v>
      </c>
      <c r="F181" t="s">
        <v>166</v>
      </c>
      <c r="G181" t="s">
        <v>200</v>
      </c>
      <c r="H181">
        <v>640</v>
      </c>
      <c r="I181" t="s">
        <v>203</v>
      </c>
      <c r="J181">
        <v>5513</v>
      </c>
      <c r="K181" t="s">
        <v>111</v>
      </c>
      <c r="L181">
        <v>55</v>
      </c>
      <c r="M181" t="s">
        <v>2219</v>
      </c>
      <c r="N181" t="s">
        <v>131</v>
      </c>
      <c r="O181" t="s">
        <v>549</v>
      </c>
      <c r="P181" t="s">
        <v>85</v>
      </c>
    </row>
    <row r="182" spans="1:16" hidden="1" x14ac:dyDescent="0.25">
      <c r="A182" t="s">
        <v>800</v>
      </c>
      <c r="B182" t="s">
        <v>247</v>
      </c>
      <c r="C182" t="s">
        <v>342</v>
      </c>
      <c r="D182" t="s">
        <v>582</v>
      </c>
      <c r="E182" t="s">
        <v>74</v>
      </c>
      <c r="F182" t="s">
        <v>166</v>
      </c>
      <c r="G182" t="s">
        <v>200</v>
      </c>
      <c r="H182">
        <v>640</v>
      </c>
      <c r="I182" t="s">
        <v>202</v>
      </c>
      <c r="J182">
        <v>5513</v>
      </c>
      <c r="K182" t="s">
        <v>111</v>
      </c>
      <c r="L182">
        <v>55</v>
      </c>
      <c r="M182" t="s">
        <v>2219</v>
      </c>
      <c r="N182" t="s">
        <v>131</v>
      </c>
      <c r="O182" t="s">
        <v>549</v>
      </c>
      <c r="P182" t="s">
        <v>85</v>
      </c>
    </row>
    <row r="183" spans="1:16" hidden="1" x14ac:dyDescent="0.25">
      <c r="A183" t="s">
        <v>800</v>
      </c>
      <c r="B183" t="s">
        <v>247</v>
      </c>
      <c r="C183" t="s">
        <v>342</v>
      </c>
      <c r="D183" t="s">
        <v>582</v>
      </c>
      <c r="E183" t="s">
        <v>74</v>
      </c>
      <c r="F183" t="s">
        <v>166</v>
      </c>
      <c r="G183" t="s">
        <v>200</v>
      </c>
      <c r="H183">
        <v>640</v>
      </c>
      <c r="I183" t="s">
        <v>201</v>
      </c>
      <c r="J183">
        <v>5513</v>
      </c>
      <c r="K183" t="s">
        <v>111</v>
      </c>
      <c r="L183">
        <v>55</v>
      </c>
      <c r="M183" t="s">
        <v>2219</v>
      </c>
      <c r="N183" t="s">
        <v>131</v>
      </c>
      <c r="O183" t="s">
        <v>549</v>
      </c>
      <c r="P183" t="s">
        <v>85</v>
      </c>
    </row>
    <row r="184" spans="1:16" hidden="1" x14ac:dyDescent="0.25">
      <c r="A184" t="s">
        <v>800</v>
      </c>
      <c r="B184" t="s">
        <v>247</v>
      </c>
      <c r="C184" t="s">
        <v>342</v>
      </c>
      <c r="D184" t="s">
        <v>582</v>
      </c>
      <c r="E184" t="s">
        <v>74</v>
      </c>
      <c r="F184" t="s">
        <v>166</v>
      </c>
      <c r="G184" t="s">
        <v>199</v>
      </c>
      <c r="H184">
        <v>1000</v>
      </c>
      <c r="J184">
        <v>5513</v>
      </c>
      <c r="K184" t="s">
        <v>111</v>
      </c>
      <c r="L184">
        <v>55</v>
      </c>
      <c r="M184" t="s">
        <v>2219</v>
      </c>
      <c r="N184" t="s">
        <v>131</v>
      </c>
      <c r="O184" t="s">
        <v>549</v>
      </c>
      <c r="P184" t="s">
        <v>85</v>
      </c>
    </row>
    <row r="185" spans="1:16" hidden="1" x14ac:dyDescent="0.25">
      <c r="A185" t="s">
        <v>800</v>
      </c>
      <c r="B185" t="s">
        <v>247</v>
      </c>
      <c r="C185" t="s">
        <v>342</v>
      </c>
      <c r="D185" t="s">
        <v>582</v>
      </c>
      <c r="E185" t="s">
        <v>74</v>
      </c>
      <c r="F185" t="s">
        <v>166</v>
      </c>
      <c r="G185" t="s">
        <v>198</v>
      </c>
      <c r="H185">
        <v>2700</v>
      </c>
      <c r="J185">
        <v>5513</v>
      </c>
      <c r="K185" t="s">
        <v>111</v>
      </c>
      <c r="L185">
        <v>55</v>
      </c>
      <c r="M185" t="s">
        <v>2219</v>
      </c>
      <c r="N185" t="s">
        <v>131</v>
      </c>
      <c r="O185" t="s">
        <v>549</v>
      </c>
      <c r="P185" t="s">
        <v>85</v>
      </c>
    </row>
    <row r="186" spans="1:16" hidden="1" x14ac:dyDescent="0.25">
      <c r="A186" t="s">
        <v>800</v>
      </c>
      <c r="B186" t="s">
        <v>247</v>
      </c>
      <c r="C186" t="s">
        <v>342</v>
      </c>
      <c r="D186" t="s">
        <v>582</v>
      </c>
      <c r="E186" t="s">
        <v>74</v>
      </c>
      <c r="F186" t="s">
        <v>166</v>
      </c>
      <c r="G186" t="s">
        <v>197</v>
      </c>
      <c r="H186">
        <v>620</v>
      </c>
      <c r="J186">
        <v>5513</v>
      </c>
      <c r="K186" t="s">
        <v>111</v>
      </c>
      <c r="L186">
        <v>55</v>
      </c>
      <c r="M186" t="s">
        <v>2219</v>
      </c>
      <c r="N186" t="s">
        <v>131</v>
      </c>
      <c r="O186" t="s">
        <v>549</v>
      </c>
      <c r="P186" t="s">
        <v>85</v>
      </c>
    </row>
    <row r="187" spans="1:16" hidden="1" x14ac:dyDescent="0.25">
      <c r="A187" t="s">
        <v>800</v>
      </c>
      <c r="B187" t="s">
        <v>247</v>
      </c>
      <c r="C187" t="s">
        <v>342</v>
      </c>
      <c r="D187" t="s">
        <v>582</v>
      </c>
      <c r="E187" t="s">
        <v>74</v>
      </c>
      <c r="F187" t="s">
        <v>166</v>
      </c>
      <c r="G187" t="s">
        <v>176</v>
      </c>
      <c r="H187">
        <v>1650</v>
      </c>
      <c r="J187">
        <v>5504</v>
      </c>
      <c r="K187" t="s">
        <v>102</v>
      </c>
      <c r="L187">
        <v>55</v>
      </c>
      <c r="M187" t="s">
        <v>2219</v>
      </c>
      <c r="N187" t="s">
        <v>131</v>
      </c>
      <c r="O187" t="s">
        <v>549</v>
      </c>
      <c r="P187" t="s">
        <v>85</v>
      </c>
    </row>
    <row r="188" spans="1:16" hidden="1" x14ac:dyDescent="0.25">
      <c r="A188" t="s">
        <v>800</v>
      </c>
      <c r="B188" t="s">
        <v>247</v>
      </c>
      <c r="C188" t="s">
        <v>342</v>
      </c>
      <c r="D188" t="s">
        <v>582</v>
      </c>
      <c r="E188" t="s">
        <v>74</v>
      </c>
      <c r="F188" t="s">
        <v>166</v>
      </c>
      <c r="G188" t="s">
        <v>175</v>
      </c>
      <c r="H188">
        <v>100</v>
      </c>
      <c r="J188">
        <v>5500</v>
      </c>
      <c r="K188" t="s">
        <v>100</v>
      </c>
      <c r="L188">
        <v>55</v>
      </c>
      <c r="M188" t="s">
        <v>2219</v>
      </c>
      <c r="N188" t="s">
        <v>131</v>
      </c>
      <c r="O188" t="s">
        <v>549</v>
      </c>
      <c r="P188" t="s">
        <v>85</v>
      </c>
    </row>
    <row r="189" spans="1:16" hidden="1" x14ac:dyDescent="0.25">
      <c r="A189" t="s">
        <v>800</v>
      </c>
      <c r="B189" t="s">
        <v>247</v>
      </c>
      <c r="C189" t="s">
        <v>342</v>
      </c>
      <c r="D189" t="s">
        <v>582</v>
      </c>
      <c r="E189" t="s">
        <v>74</v>
      </c>
      <c r="F189" t="s">
        <v>166</v>
      </c>
      <c r="G189" t="s">
        <v>173</v>
      </c>
      <c r="H189">
        <v>276</v>
      </c>
      <c r="I189" t="s">
        <v>174</v>
      </c>
      <c r="J189">
        <v>5500</v>
      </c>
      <c r="K189" t="s">
        <v>100</v>
      </c>
      <c r="L189">
        <v>55</v>
      </c>
      <c r="M189" t="s">
        <v>2219</v>
      </c>
      <c r="N189" t="s">
        <v>131</v>
      </c>
      <c r="O189" t="s">
        <v>549</v>
      </c>
      <c r="P189" t="s">
        <v>85</v>
      </c>
    </row>
    <row r="190" spans="1:16" hidden="1" x14ac:dyDescent="0.25">
      <c r="A190" t="s">
        <v>800</v>
      </c>
      <c r="B190" t="s">
        <v>247</v>
      </c>
      <c r="C190" t="s">
        <v>342</v>
      </c>
      <c r="D190" t="s">
        <v>582</v>
      </c>
      <c r="E190" t="s">
        <v>74</v>
      </c>
      <c r="F190" t="s">
        <v>166</v>
      </c>
      <c r="G190" t="s">
        <v>172</v>
      </c>
      <c r="H190">
        <v>200</v>
      </c>
      <c r="J190">
        <v>5500</v>
      </c>
      <c r="K190" t="s">
        <v>100</v>
      </c>
      <c r="L190">
        <v>55</v>
      </c>
      <c r="M190" t="s">
        <v>2219</v>
      </c>
      <c r="N190" t="s">
        <v>131</v>
      </c>
      <c r="O190" t="s">
        <v>549</v>
      </c>
      <c r="P190" t="s">
        <v>85</v>
      </c>
    </row>
    <row r="191" spans="1:16" hidden="1" x14ac:dyDescent="0.25">
      <c r="A191" t="s">
        <v>800</v>
      </c>
      <c r="B191" t="s">
        <v>247</v>
      </c>
      <c r="C191" t="s">
        <v>342</v>
      </c>
      <c r="D191" t="s">
        <v>582</v>
      </c>
      <c r="E191" t="s">
        <v>74</v>
      </c>
      <c r="F191" t="s">
        <v>166</v>
      </c>
      <c r="G191" t="s">
        <v>171</v>
      </c>
      <c r="H191">
        <v>24</v>
      </c>
      <c r="J191">
        <v>5500</v>
      </c>
      <c r="K191" t="s">
        <v>100</v>
      </c>
      <c r="L191">
        <v>55</v>
      </c>
      <c r="M191" t="s">
        <v>2219</v>
      </c>
      <c r="N191" t="s">
        <v>131</v>
      </c>
      <c r="O191" t="s">
        <v>549</v>
      </c>
      <c r="P191" t="s">
        <v>85</v>
      </c>
    </row>
    <row r="192" spans="1:16" hidden="1" x14ac:dyDescent="0.25">
      <c r="A192" t="s">
        <v>800</v>
      </c>
      <c r="B192" t="s">
        <v>247</v>
      </c>
      <c r="C192" t="s">
        <v>342</v>
      </c>
      <c r="D192" t="s">
        <v>582</v>
      </c>
      <c r="E192" t="s">
        <v>74</v>
      </c>
      <c r="F192" t="s">
        <v>166</v>
      </c>
      <c r="G192" t="s">
        <v>170</v>
      </c>
      <c r="H192">
        <v>1200</v>
      </c>
      <c r="J192">
        <v>5500</v>
      </c>
      <c r="K192" t="s">
        <v>100</v>
      </c>
      <c r="L192">
        <v>55</v>
      </c>
      <c r="M192" t="s">
        <v>2219</v>
      </c>
      <c r="N192" t="s">
        <v>131</v>
      </c>
      <c r="O192" t="s">
        <v>549</v>
      </c>
      <c r="P192" t="s">
        <v>85</v>
      </c>
    </row>
    <row r="193" spans="1:16" hidden="1" x14ac:dyDescent="0.25">
      <c r="A193" t="s">
        <v>800</v>
      </c>
      <c r="B193" t="s">
        <v>247</v>
      </c>
      <c r="C193" t="s">
        <v>342</v>
      </c>
      <c r="D193" t="s">
        <v>582</v>
      </c>
      <c r="E193" t="s">
        <v>74</v>
      </c>
      <c r="F193" t="s">
        <v>166</v>
      </c>
      <c r="G193" t="s">
        <v>169</v>
      </c>
      <c r="H193">
        <v>50</v>
      </c>
      <c r="J193">
        <v>5500</v>
      </c>
      <c r="K193" t="s">
        <v>100</v>
      </c>
      <c r="L193">
        <v>55</v>
      </c>
      <c r="M193" t="s">
        <v>2219</v>
      </c>
      <c r="N193" t="s">
        <v>131</v>
      </c>
      <c r="O193" t="s">
        <v>549</v>
      </c>
      <c r="P193" t="s">
        <v>85</v>
      </c>
    </row>
    <row r="194" spans="1:16" hidden="1" x14ac:dyDescent="0.25">
      <c r="A194" t="s">
        <v>800</v>
      </c>
      <c r="B194" t="s">
        <v>247</v>
      </c>
      <c r="C194" t="s">
        <v>342</v>
      </c>
      <c r="D194" t="s">
        <v>582</v>
      </c>
      <c r="E194" t="s">
        <v>74</v>
      </c>
      <c r="F194" t="s">
        <v>166</v>
      </c>
      <c r="G194" t="s">
        <v>167</v>
      </c>
      <c r="H194">
        <v>1140</v>
      </c>
      <c r="I194" t="s">
        <v>168</v>
      </c>
      <c r="J194">
        <v>5500</v>
      </c>
      <c r="K194" t="s">
        <v>100</v>
      </c>
      <c r="L194">
        <v>55</v>
      </c>
      <c r="M194" t="s">
        <v>2219</v>
      </c>
      <c r="N194" t="s">
        <v>131</v>
      </c>
      <c r="O194" t="s">
        <v>549</v>
      </c>
      <c r="P194" t="s">
        <v>85</v>
      </c>
    </row>
    <row r="195" spans="1:16" hidden="1" x14ac:dyDescent="0.25">
      <c r="A195" t="s">
        <v>800</v>
      </c>
      <c r="B195" t="s">
        <v>341</v>
      </c>
      <c r="C195" t="s">
        <v>2170</v>
      </c>
      <c r="D195" t="s">
        <v>582</v>
      </c>
      <c r="E195" t="s">
        <v>74</v>
      </c>
      <c r="F195" t="s">
        <v>1870</v>
      </c>
      <c r="G195" t="s">
        <v>2200</v>
      </c>
      <c r="H195">
        <v>2186.58</v>
      </c>
      <c r="I195" t="s">
        <v>2203</v>
      </c>
      <c r="J195">
        <v>5524</v>
      </c>
      <c r="K195" t="s">
        <v>117</v>
      </c>
      <c r="L195">
        <v>55</v>
      </c>
      <c r="M195" t="s">
        <v>2219</v>
      </c>
      <c r="N195" t="s">
        <v>131</v>
      </c>
      <c r="O195" t="s">
        <v>549</v>
      </c>
      <c r="P195" t="s">
        <v>85</v>
      </c>
    </row>
    <row r="196" spans="1:16" hidden="1" x14ac:dyDescent="0.25">
      <c r="A196" t="s">
        <v>800</v>
      </c>
      <c r="B196" t="s">
        <v>341</v>
      </c>
      <c r="C196" t="s">
        <v>2170</v>
      </c>
      <c r="D196" t="s">
        <v>582</v>
      </c>
      <c r="E196" t="s">
        <v>74</v>
      </c>
      <c r="F196" t="s">
        <v>1870</v>
      </c>
      <c r="G196" t="s">
        <v>2199</v>
      </c>
      <c r="H196">
        <v>615.36</v>
      </c>
      <c r="I196" t="s">
        <v>2203</v>
      </c>
      <c r="J196">
        <v>5504</v>
      </c>
      <c r="K196" t="s">
        <v>102</v>
      </c>
      <c r="L196">
        <v>55</v>
      </c>
      <c r="M196" t="s">
        <v>2219</v>
      </c>
      <c r="N196" t="s">
        <v>131</v>
      </c>
      <c r="O196" t="s">
        <v>549</v>
      </c>
      <c r="P196" t="s">
        <v>85</v>
      </c>
    </row>
    <row r="197" spans="1:16" hidden="1" x14ac:dyDescent="0.25">
      <c r="A197" t="s">
        <v>800</v>
      </c>
      <c r="B197" t="s">
        <v>341</v>
      </c>
      <c r="C197" t="s">
        <v>2170</v>
      </c>
      <c r="D197" t="s">
        <v>582</v>
      </c>
      <c r="E197" t="s">
        <v>74</v>
      </c>
      <c r="F197" t="s">
        <v>1870</v>
      </c>
      <c r="G197" t="s">
        <v>422</v>
      </c>
      <c r="H197">
        <v>500</v>
      </c>
      <c r="J197">
        <v>5514</v>
      </c>
      <c r="K197" t="s">
        <v>110</v>
      </c>
      <c r="L197">
        <v>55</v>
      </c>
      <c r="M197" t="s">
        <v>2219</v>
      </c>
      <c r="N197" t="s">
        <v>131</v>
      </c>
      <c r="O197" t="s">
        <v>549</v>
      </c>
      <c r="P197" t="s">
        <v>85</v>
      </c>
    </row>
    <row r="198" spans="1:16" hidden="1" x14ac:dyDescent="0.25">
      <c r="A198" t="s">
        <v>800</v>
      </c>
      <c r="B198" t="s">
        <v>341</v>
      </c>
      <c r="C198" t="s">
        <v>2170</v>
      </c>
      <c r="D198" t="s">
        <v>582</v>
      </c>
      <c r="E198" t="s">
        <v>74</v>
      </c>
      <c r="F198" t="s">
        <v>1870</v>
      </c>
      <c r="G198" t="s">
        <v>199</v>
      </c>
      <c r="H198">
        <v>300</v>
      </c>
      <c r="J198">
        <v>5514</v>
      </c>
      <c r="K198" t="s">
        <v>110</v>
      </c>
      <c r="L198">
        <v>55</v>
      </c>
      <c r="M198" t="s">
        <v>2219</v>
      </c>
      <c r="N198" t="s">
        <v>131</v>
      </c>
      <c r="O198" t="s">
        <v>549</v>
      </c>
      <c r="P198" t="s">
        <v>85</v>
      </c>
    </row>
    <row r="199" spans="1:16" hidden="1" x14ac:dyDescent="0.25">
      <c r="A199" t="s">
        <v>800</v>
      </c>
      <c r="B199" t="s">
        <v>341</v>
      </c>
      <c r="C199" t="s">
        <v>2170</v>
      </c>
      <c r="D199" t="s">
        <v>582</v>
      </c>
      <c r="E199" t="s">
        <v>74</v>
      </c>
      <c r="F199" t="s">
        <v>1870</v>
      </c>
      <c r="G199" t="s">
        <v>421</v>
      </c>
      <c r="H199">
        <v>700</v>
      </c>
      <c r="J199">
        <v>5514</v>
      </c>
      <c r="K199" t="s">
        <v>110</v>
      </c>
      <c r="L199">
        <v>55</v>
      </c>
      <c r="M199" t="s">
        <v>2219</v>
      </c>
      <c r="N199" t="s">
        <v>131</v>
      </c>
      <c r="O199" t="s">
        <v>549</v>
      </c>
      <c r="P199" t="s">
        <v>85</v>
      </c>
    </row>
    <row r="200" spans="1:16" hidden="1" x14ac:dyDescent="0.25">
      <c r="A200" t="s">
        <v>800</v>
      </c>
      <c r="B200" t="s">
        <v>341</v>
      </c>
      <c r="C200" t="s">
        <v>2170</v>
      </c>
      <c r="D200" t="s">
        <v>582</v>
      </c>
      <c r="E200" t="s">
        <v>74</v>
      </c>
      <c r="F200" t="s">
        <v>1870</v>
      </c>
      <c r="G200" t="s">
        <v>420</v>
      </c>
      <c r="H200">
        <v>500</v>
      </c>
      <c r="J200">
        <v>5514</v>
      </c>
      <c r="K200" t="s">
        <v>110</v>
      </c>
      <c r="L200">
        <v>55</v>
      </c>
      <c r="M200" t="s">
        <v>2219</v>
      </c>
      <c r="N200" t="s">
        <v>131</v>
      </c>
      <c r="O200" t="s">
        <v>549</v>
      </c>
      <c r="P200" t="s">
        <v>85</v>
      </c>
    </row>
    <row r="201" spans="1:16" hidden="1" x14ac:dyDescent="0.25">
      <c r="A201" t="s">
        <v>800</v>
      </c>
      <c r="B201" t="s">
        <v>341</v>
      </c>
      <c r="C201" t="s">
        <v>2170</v>
      </c>
      <c r="D201" t="s">
        <v>582</v>
      </c>
      <c r="E201" t="s">
        <v>74</v>
      </c>
      <c r="F201" t="s">
        <v>1870</v>
      </c>
      <c r="G201" t="s">
        <v>419</v>
      </c>
      <c r="H201">
        <v>1000</v>
      </c>
      <c r="J201">
        <v>5514</v>
      </c>
      <c r="K201" t="s">
        <v>110</v>
      </c>
      <c r="L201">
        <v>55</v>
      </c>
      <c r="M201" t="s">
        <v>2219</v>
      </c>
      <c r="N201" t="s">
        <v>131</v>
      </c>
      <c r="O201" t="s">
        <v>549</v>
      </c>
      <c r="P201" t="s">
        <v>85</v>
      </c>
    </row>
    <row r="202" spans="1:16" hidden="1" x14ac:dyDescent="0.25">
      <c r="A202" t="s">
        <v>800</v>
      </c>
      <c r="B202" t="s">
        <v>341</v>
      </c>
      <c r="C202" t="s">
        <v>2170</v>
      </c>
      <c r="D202" t="s">
        <v>582</v>
      </c>
      <c r="E202" t="s">
        <v>74</v>
      </c>
      <c r="F202" t="s">
        <v>1870</v>
      </c>
      <c r="G202" t="s">
        <v>1907</v>
      </c>
      <c r="H202">
        <v>750</v>
      </c>
      <c r="J202">
        <v>5525</v>
      </c>
      <c r="K202" t="s">
        <v>118</v>
      </c>
      <c r="L202">
        <v>55</v>
      </c>
      <c r="M202" t="s">
        <v>2219</v>
      </c>
      <c r="N202" t="s">
        <v>131</v>
      </c>
      <c r="O202" t="s">
        <v>549</v>
      </c>
      <c r="P202" t="s">
        <v>85</v>
      </c>
    </row>
    <row r="203" spans="1:16" hidden="1" x14ac:dyDescent="0.25">
      <c r="A203" t="s">
        <v>800</v>
      </c>
      <c r="B203" t="s">
        <v>341</v>
      </c>
      <c r="C203" t="s">
        <v>2170</v>
      </c>
      <c r="D203" t="s">
        <v>582</v>
      </c>
      <c r="E203" t="s">
        <v>74</v>
      </c>
      <c r="F203" t="s">
        <v>1870</v>
      </c>
      <c r="G203" t="s">
        <v>434</v>
      </c>
      <c r="H203">
        <v>300</v>
      </c>
      <c r="J203">
        <v>5525</v>
      </c>
      <c r="K203" t="s">
        <v>118</v>
      </c>
      <c r="L203">
        <v>55</v>
      </c>
      <c r="M203" t="s">
        <v>2219</v>
      </c>
      <c r="N203" t="s">
        <v>131</v>
      </c>
      <c r="O203" t="s">
        <v>549</v>
      </c>
      <c r="P203" t="s">
        <v>85</v>
      </c>
    </row>
    <row r="204" spans="1:16" hidden="1" x14ac:dyDescent="0.25">
      <c r="A204" t="s">
        <v>800</v>
      </c>
      <c r="B204" t="s">
        <v>341</v>
      </c>
      <c r="C204" t="s">
        <v>2170</v>
      </c>
      <c r="D204" t="s">
        <v>582</v>
      </c>
      <c r="E204" t="s">
        <v>74</v>
      </c>
      <c r="F204" t="s">
        <v>1870</v>
      </c>
      <c r="G204" t="s">
        <v>433</v>
      </c>
      <c r="H204">
        <v>450</v>
      </c>
      <c r="J204">
        <v>5525</v>
      </c>
      <c r="K204" t="s">
        <v>118</v>
      </c>
      <c r="L204">
        <v>55</v>
      </c>
      <c r="M204" t="s">
        <v>2219</v>
      </c>
      <c r="N204" t="s">
        <v>131</v>
      </c>
      <c r="O204" t="s">
        <v>549</v>
      </c>
      <c r="P204" t="s">
        <v>85</v>
      </c>
    </row>
    <row r="205" spans="1:16" hidden="1" x14ac:dyDescent="0.25">
      <c r="A205" t="s">
        <v>800</v>
      </c>
      <c r="B205" t="s">
        <v>341</v>
      </c>
      <c r="C205" t="s">
        <v>2170</v>
      </c>
      <c r="D205" t="s">
        <v>582</v>
      </c>
      <c r="E205" t="s">
        <v>74</v>
      </c>
      <c r="F205" t="s">
        <v>1870</v>
      </c>
      <c r="G205" t="s">
        <v>1893</v>
      </c>
      <c r="H205">
        <v>800</v>
      </c>
      <c r="J205">
        <v>5524</v>
      </c>
      <c r="K205" t="s">
        <v>117</v>
      </c>
      <c r="L205">
        <v>55</v>
      </c>
      <c r="M205" t="s">
        <v>2219</v>
      </c>
      <c r="N205" t="s">
        <v>131</v>
      </c>
      <c r="O205" t="s">
        <v>549</v>
      </c>
      <c r="P205" t="s">
        <v>85</v>
      </c>
    </row>
    <row r="206" spans="1:16" hidden="1" x14ac:dyDescent="0.25">
      <c r="A206" t="s">
        <v>800</v>
      </c>
      <c r="B206" t="s">
        <v>341</v>
      </c>
      <c r="C206" t="s">
        <v>2170</v>
      </c>
      <c r="D206" t="s">
        <v>582</v>
      </c>
      <c r="E206" t="s">
        <v>74</v>
      </c>
      <c r="F206" t="s">
        <v>1870</v>
      </c>
      <c r="G206" t="s">
        <v>432</v>
      </c>
      <c r="H206">
        <v>2800</v>
      </c>
      <c r="J206">
        <v>5524</v>
      </c>
      <c r="K206" t="s">
        <v>117</v>
      </c>
      <c r="L206">
        <v>55</v>
      </c>
      <c r="M206" t="s">
        <v>2219</v>
      </c>
      <c r="N206" t="s">
        <v>131</v>
      </c>
      <c r="O206" t="s">
        <v>549</v>
      </c>
      <c r="P206" t="s">
        <v>85</v>
      </c>
    </row>
    <row r="207" spans="1:16" hidden="1" x14ac:dyDescent="0.25">
      <c r="A207" t="s">
        <v>800</v>
      </c>
      <c r="B207" t="s">
        <v>341</v>
      </c>
      <c r="C207" t="s">
        <v>2170</v>
      </c>
      <c r="D207" t="s">
        <v>582</v>
      </c>
      <c r="E207" t="s">
        <v>74</v>
      </c>
      <c r="F207" t="s">
        <v>1870</v>
      </c>
      <c r="G207" t="s">
        <v>431</v>
      </c>
      <c r="H207">
        <v>500</v>
      </c>
      <c r="J207">
        <v>5524</v>
      </c>
      <c r="K207" t="s">
        <v>117</v>
      </c>
      <c r="L207">
        <v>55</v>
      </c>
      <c r="M207" t="s">
        <v>2219</v>
      </c>
      <c r="N207" t="s">
        <v>131</v>
      </c>
      <c r="O207" t="s">
        <v>549</v>
      </c>
      <c r="P207" t="s">
        <v>85</v>
      </c>
    </row>
    <row r="208" spans="1:16" hidden="1" x14ac:dyDescent="0.25">
      <c r="A208" t="s">
        <v>800</v>
      </c>
      <c r="B208" t="s">
        <v>341</v>
      </c>
      <c r="C208" t="s">
        <v>2170</v>
      </c>
      <c r="D208" t="s">
        <v>582</v>
      </c>
      <c r="E208" t="s">
        <v>74</v>
      </c>
      <c r="F208" t="s">
        <v>1870</v>
      </c>
      <c r="G208" t="s">
        <v>429</v>
      </c>
      <c r="H208">
        <v>500</v>
      </c>
      <c r="J208">
        <v>5524</v>
      </c>
      <c r="K208" t="s">
        <v>117</v>
      </c>
      <c r="L208">
        <v>55</v>
      </c>
      <c r="M208" t="s">
        <v>2219</v>
      </c>
      <c r="N208" t="s">
        <v>131</v>
      </c>
      <c r="O208" t="s">
        <v>549</v>
      </c>
      <c r="P208" t="s">
        <v>85</v>
      </c>
    </row>
    <row r="209" spans="1:16" hidden="1" x14ac:dyDescent="0.25">
      <c r="A209" t="s">
        <v>800</v>
      </c>
      <c r="B209" t="s">
        <v>341</v>
      </c>
      <c r="C209" t="s">
        <v>2170</v>
      </c>
      <c r="D209" t="s">
        <v>582</v>
      </c>
      <c r="E209" t="s">
        <v>74</v>
      </c>
      <c r="F209" t="s">
        <v>1870</v>
      </c>
      <c r="G209" t="s">
        <v>428</v>
      </c>
      <c r="H209">
        <v>313.42000000000007</v>
      </c>
      <c r="J209">
        <v>5524</v>
      </c>
      <c r="K209" t="s">
        <v>117</v>
      </c>
      <c r="L209">
        <v>55</v>
      </c>
      <c r="M209" t="s">
        <v>2219</v>
      </c>
      <c r="N209" t="s">
        <v>131</v>
      </c>
      <c r="O209" t="s">
        <v>549</v>
      </c>
      <c r="P209" t="s">
        <v>85</v>
      </c>
    </row>
    <row r="210" spans="1:16" hidden="1" x14ac:dyDescent="0.25">
      <c r="A210" t="s">
        <v>800</v>
      </c>
      <c r="B210" t="s">
        <v>341</v>
      </c>
      <c r="C210" t="s">
        <v>2170</v>
      </c>
      <c r="D210" t="s">
        <v>582</v>
      </c>
      <c r="E210" t="s">
        <v>74</v>
      </c>
      <c r="F210" t="s">
        <v>1870</v>
      </c>
      <c r="G210" t="s">
        <v>427</v>
      </c>
      <c r="H210">
        <v>300</v>
      </c>
      <c r="J210">
        <v>5522</v>
      </c>
      <c r="K210" t="s">
        <v>115</v>
      </c>
      <c r="L210">
        <v>55</v>
      </c>
      <c r="M210" t="s">
        <v>2219</v>
      </c>
      <c r="N210" t="s">
        <v>131</v>
      </c>
      <c r="O210" t="s">
        <v>549</v>
      </c>
      <c r="P210" t="s">
        <v>85</v>
      </c>
    </row>
    <row r="211" spans="1:16" hidden="1" x14ac:dyDescent="0.25">
      <c r="A211" t="s">
        <v>800</v>
      </c>
      <c r="B211" t="s">
        <v>341</v>
      </c>
      <c r="C211" t="s">
        <v>2170</v>
      </c>
      <c r="D211" t="s">
        <v>582</v>
      </c>
      <c r="E211" t="s">
        <v>74</v>
      </c>
      <c r="F211" t="s">
        <v>1870</v>
      </c>
      <c r="G211" t="s">
        <v>426</v>
      </c>
      <c r="H211">
        <v>50</v>
      </c>
      <c r="J211">
        <v>5522</v>
      </c>
      <c r="K211" t="s">
        <v>115</v>
      </c>
      <c r="L211">
        <v>55</v>
      </c>
      <c r="M211" t="s">
        <v>2219</v>
      </c>
      <c r="N211" t="s">
        <v>131</v>
      </c>
      <c r="O211" t="s">
        <v>549</v>
      </c>
      <c r="P211" t="s">
        <v>85</v>
      </c>
    </row>
    <row r="212" spans="1:16" hidden="1" x14ac:dyDescent="0.25">
      <c r="A212" t="s">
        <v>800</v>
      </c>
      <c r="B212" t="s">
        <v>341</v>
      </c>
      <c r="C212" t="s">
        <v>2170</v>
      </c>
      <c r="D212" t="s">
        <v>582</v>
      </c>
      <c r="E212" t="s">
        <v>74</v>
      </c>
      <c r="F212" t="s">
        <v>1870</v>
      </c>
      <c r="G212" t="s">
        <v>425</v>
      </c>
      <c r="H212">
        <v>600</v>
      </c>
      <c r="J212">
        <v>5522</v>
      </c>
      <c r="K212" t="s">
        <v>115</v>
      </c>
      <c r="L212">
        <v>55</v>
      </c>
      <c r="M212" t="s">
        <v>2219</v>
      </c>
      <c r="N212" t="s">
        <v>131</v>
      </c>
      <c r="O212" t="s">
        <v>549</v>
      </c>
      <c r="P212" t="s">
        <v>85</v>
      </c>
    </row>
    <row r="213" spans="1:16" hidden="1" x14ac:dyDescent="0.25">
      <c r="A213" t="s">
        <v>800</v>
      </c>
      <c r="B213" t="s">
        <v>341</v>
      </c>
      <c r="C213" t="s">
        <v>2170</v>
      </c>
      <c r="D213" t="s">
        <v>582</v>
      </c>
      <c r="E213" t="s">
        <v>74</v>
      </c>
      <c r="F213" t="s">
        <v>1870</v>
      </c>
      <c r="G213" t="s">
        <v>424</v>
      </c>
      <c r="H213">
        <v>100</v>
      </c>
      <c r="J213">
        <v>5522</v>
      </c>
      <c r="K213" t="s">
        <v>115</v>
      </c>
      <c r="L213">
        <v>55</v>
      </c>
      <c r="M213" t="s">
        <v>2219</v>
      </c>
      <c r="N213" t="s">
        <v>131</v>
      </c>
      <c r="O213" t="s">
        <v>549</v>
      </c>
      <c r="P213" t="s">
        <v>85</v>
      </c>
    </row>
    <row r="214" spans="1:16" hidden="1" x14ac:dyDescent="0.25">
      <c r="A214" t="s">
        <v>800</v>
      </c>
      <c r="B214" t="s">
        <v>341</v>
      </c>
      <c r="C214" t="s">
        <v>2170</v>
      </c>
      <c r="D214" t="s">
        <v>582</v>
      </c>
      <c r="E214" t="s">
        <v>74</v>
      </c>
      <c r="F214" t="s">
        <v>1870</v>
      </c>
      <c r="G214" t="s">
        <v>1138</v>
      </c>
      <c r="H214">
        <v>5985</v>
      </c>
      <c r="I214" t="s">
        <v>2203</v>
      </c>
      <c r="J214">
        <v>5521</v>
      </c>
      <c r="K214" t="s">
        <v>114</v>
      </c>
      <c r="L214">
        <v>55</v>
      </c>
      <c r="M214" t="s">
        <v>2219</v>
      </c>
      <c r="N214" t="s">
        <v>131</v>
      </c>
      <c r="O214" t="s">
        <v>549</v>
      </c>
      <c r="P214" t="s">
        <v>85</v>
      </c>
    </row>
    <row r="215" spans="1:16" hidden="1" x14ac:dyDescent="0.25">
      <c r="A215" t="s">
        <v>800</v>
      </c>
      <c r="B215" t="s">
        <v>341</v>
      </c>
      <c r="C215" t="s">
        <v>2170</v>
      </c>
      <c r="D215" t="s">
        <v>582</v>
      </c>
      <c r="E215" t="s">
        <v>74</v>
      </c>
      <c r="F215" t="s">
        <v>1870</v>
      </c>
      <c r="G215" t="s">
        <v>422</v>
      </c>
      <c r="H215">
        <v>300</v>
      </c>
      <c r="J215">
        <v>5515</v>
      </c>
      <c r="K215" t="s">
        <v>112</v>
      </c>
      <c r="L215">
        <v>55</v>
      </c>
      <c r="M215" t="s">
        <v>2219</v>
      </c>
      <c r="N215" t="s">
        <v>131</v>
      </c>
      <c r="O215" t="s">
        <v>549</v>
      </c>
      <c r="P215" t="s">
        <v>85</v>
      </c>
    </row>
    <row r="216" spans="1:16" hidden="1" x14ac:dyDescent="0.25">
      <c r="A216" t="s">
        <v>800</v>
      </c>
      <c r="B216" t="s">
        <v>341</v>
      </c>
      <c r="C216" t="s">
        <v>2170</v>
      </c>
      <c r="D216" t="s">
        <v>582</v>
      </c>
      <c r="E216" t="s">
        <v>74</v>
      </c>
      <c r="F216" t="s">
        <v>1870</v>
      </c>
      <c r="G216" t="s">
        <v>1874</v>
      </c>
      <c r="H216">
        <v>700</v>
      </c>
      <c r="J216">
        <v>5515</v>
      </c>
      <c r="K216" t="s">
        <v>112</v>
      </c>
      <c r="L216">
        <v>55</v>
      </c>
      <c r="M216" t="s">
        <v>2219</v>
      </c>
      <c r="N216" t="s">
        <v>131</v>
      </c>
      <c r="O216" t="s">
        <v>549</v>
      </c>
      <c r="P216" t="s">
        <v>85</v>
      </c>
    </row>
    <row r="217" spans="1:16" hidden="1" x14ac:dyDescent="0.25">
      <c r="A217" t="s">
        <v>800</v>
      </c>
      <c r="B217" t="s">
        <v>341</v>
      </c>
      <c r="C217" t="s">
        <v>2170</v>
      </c>
      <c r="D217" t="s">
        <v>582</v>
      </c>
      <c r="E217" t="s">
        <v>74</v>
      </c>
      <c r="F217" t="s">
        <v>1870</v>
      </c>
      <c r="G217" t="s">
        <v>423</v>
      </c>
      <c r="H217">
        <v>500</v>
      </c>
      <c r="J217">
        <v>5515</v>
      </c>
      <c r="K217" t="s">
        <v>112</v>
      </c>
      <c r="L217">
        <v>55</v>
      </c>
      <c r="M217" t="s">
        <v>2219</v>
      </c>
      <c r="N217" t="s">
        <v>131</v>
      </c>
      <c r="O217" t="s">
        <v>549</v>
      </c>
      <c r="P217" t="s">
        <v>85</v>
      </c>
    </row>
    <row r="218" spans="1:16" hidden="1" x14ac:dyDescent="0.25">
      <c r="A218" t="s">
        <v>800</v>
      </c>
      <c r="B218" t="s">
        <v>341</v>
      </c>
      <c r="C218" t="s">
        <v>2170</v>
      </c>
      <c r="D218" t="s">
        <v>582</v>
      </c>
      <c r="E218" t="s">
        <v>74</v>
      </c>
      <c r="F218" t="s">
        <v>1870</v>
      </c>
      <c r="G218" t="s">
        <v>418</v>
      </c>
      <c r="H218">
        <v>3500</v>
      </c>
      <c r="J218">
        <v>5513</v>
      </c>
      <c r="K218" t="s">
        <v>111</v>
      </c>
      <c r="L218">
        <v>55</v>
      </c>
      <c r="M218" t="s">
        <v>2219</v>
      </c>
      <c r="N218" t="s">
        <v>131</v>
      </c>
      <c r="O218" t="s">
        <v>549</v>
      </c>
      <c r="P218" t="s">
        <v>85</v>
      </c>
    </row>
    <row r="219" spans="1:16" hidden="1" x14ac:dyDescent="0.25">
      <c r="A219" t="s">
        <v>800</v>
      </c>
      <c r="B219" t="s">
        <v>341</v>
      </c>
      <c r="C219" t="s">
        <v>2170</v>
      </c>
      <c r="D219" t="s">
        <v>582</v>
      </c>
      <c r="E219" t="s">
        <v>74</v>
      </c>
      <c r="F219" t="s">
        <v>1870</v>
      </c>
      <c r="G219" t="s">
        <v>417</v>
      </c>
      <c r="H219">
        <v>600</v>
      </c>
      <c r="J219">
        <v>5513</v>
      </c>
      <c r="K219" t="s">
        <v>111</v>
      </c>
      <c r="L219">
        <v>55</v>
      </c>
      <c r="M219" t="s">
        <v>2219</v>
      </c>
      <c r="N219" t="s">
        <v>131</v>
      </c>
      <c r="O219" t="s">
        <v>549</v>
      </c>
      <c r="P219" t="s">
        <v>85</v>
      </c>
    </row>
    <row r="220" spans="1:16" hidden="1" x14ac:dyDescent="0.25">
      <c r="A220" t="s">
        <v>800</v>
      </c>
      <c r="B220" t="s">
        <v>341</v>
      </c>
      <c r="C220" t="s">
        <v>2170</v>
      </c>
      <c r="D220" t="s">
        <v>582</v>
      </c>
      <c r="E220" t="s">
        <v>74</v>
      </c>
      <c r="F220" t="s">
        <v>1870</v>
      </c>
      <c r="G220" t="s">
        <v>1521</v>
      </c>
      <c r="H220">
        <v>184.64</v>
      </c>
      <c r="J220">
        <v>5504</v>
      </c>
      <c r="K220" t="s">
        <v>102</v>
      </c>
      <c r="L220">
        <v>55</v>
      </c>
      <c r="M220" t="s">
        <v>2219</v>
      </c>
      <c r="N220" t="s">
        <v>131</v>
      </c>
      <c r="O220" t="s">
        <v>549</v>
      </c>
      <c r="P220" t="s">
        <v>85</v>
      </c>
    </row>
    <row r="221" spans="1:16" hidden="1" x14ac:dyDescent="0.25">
      <c r="A221" t="s">
        <v>800</v>
      </c>
      <c r="B221" t="s">
        <v>341</v>
      </c>
      <c r="C221" t="s">
        <v>2170</v>
      </c>
      <c r="D221" t="s">
        <v>582</v>
      </c>
      <c r="E221" t="s">
        <v>74</v>
      </c>
      <c r="F221" t="s">
        <v>1870</v>
      </c>
      <c r="G221" t="s">
        <v>1872</v>
      </c>
      <c r="H221">
        <v>150</v>
      </c>
      <c r="J221">
        <v>5500</v>
      </c>
      <c r="K221" t="s">
        <v>100</v>
      </c>
      <c r="L221">
        <v>55</v>
      </c>
      <c r="M221" t="s">
        <v>2219</v>
      </c>
      <c r="N221" t="s">
        <v>131</v>
      </c>
      <c r="O221" t="s">
        <v>549</v>
      </c>
      <c r="P221" t="s">
        <v>85</v>
      </c>
    </row>
    <row r="222" spans="1:16" hidden="1" x14ac:dyDescent="0.25">
      <c r="A222" t="s">
        <v>800</v>
      </c>
      <c r="B222" t="s">
        <v>341</v>
      </c>
      <c r="C222" t="s">
        <v>2170</v>
      </c>
      <c r="D222" t="s">
        <v>582</v>
      </c>
      <c r="E222" t="s">
        <v>74</v>
      </c>
      <c r="F222" t="s">
        <v>1870</v>
      </c>
      <c r="G222" t="s">
        <v>408</v>
      </c>
      <c r="H222">
        <v>50</v>
      </c>
      <c r="J222">
        <v>5500</v>
      </c>
      <c r="K222" t="s">
        <v>100</v>
      </c>
      <c r="L222">
        <v>55</v>
      </c>
      <c r="M222" t="s">
        <v>2219</v>
      </c>
      <c r="N222" t="s">
        <v>131</v>
      </c>
      <c r="O222" t="s">
        <v>549</v>
      </c>
      <c r="P222" t="s">
        <v>85</v>
      </c>
    </row>
    <row r="223" spans="1:16" hidden="1" x14ac:dyDescent="0.25">
      <c r="A223" t="s">
        <v>800</v>
      </c>
      <c r="B223" t="s">
        <v>341</v>
      </c>
      <c r="C223" t="s">
        <v>2170</v>
      </c>
      <c r="D223" t="s">
        <v>582</v>
      </c>
      <c r="E223" t="s">
        <v>74</v>
      </c>
      <c r="F223" t="s">
        <v>1870</v>
      </c>
      <c r="G223" t="s">
        <v>407</v>
      </c>
      <c r="H223">
        <v>150</v>
      </c>
      <c r="J223">
        <v>5500</v>
      </c>
      <c r="K223" t="s">
        <v>100</v>
      </c>
      <c r="L223">
        <v>55</v>
      </c>
      <c r="M223" t="s">
        <v>2219</v>
      </c>
      <c r="N223" t="s">
        <v>131</v>
      </c>
      <c r="O223" t="s">
        <v>549</v>
      </c>
      <c r="P223" t="s">
        <v>85</v>
      </c>
    </row>
    <row r="224" spans="1:16" hidden="1" x14ac:dyDescent="0.25">
      <c r="A224" t="s">
        <v>800</v>
      </c>
      <c r="B224" t="s">
        <v>341</v>
      </c>
      <c r="C224" t="s">
        <v>2170</v>
      </c>
      <c r="D224" t="s">
        <v>582</v>
      </c>
      <c r="E224" t="s">
        <v>74</v>
      </c>
      <c r="F224" t="s">
        <v>1870</v>
      </c>
      <c r="G224" t="s">
        <v>406</v>
      </c>
      <c r="H224">
        <v>150</v>
      </c>
      <c r="J224">
        <v>5500</v>
      </c>
      <c r="K224" t="s">
        <v>100</v>
      </c>
      <c r="L224">
        <v>55</v>
      </c>
      <c r="M224" t="s">
        <v>2219</v>
      </c>
      <c r="N224" t="s">
        <v>131</v>
      </c>
      <c r="O224" t="s">
        <v>549</v>
      </c>
      <c r="P224" t="s">
        <v>85</v>
      </c>
    </row>
    <row r="225" spans="1:16" hidden="1" x14ac:dyDescent="0.25">
      <c r="A225" t="s">
        <v>800</v>
      </c>
      <c r="B225" t="s">
        <v>341</v>
      </c>
      <c r="C225" t="s">
        <v>2170</v>
      </c>
      <c r="D225" t="s">
        <v>582</v>
      </c>
      <c r="E225" t="s">
        <v>74</v>
      </c>
      <c r="F225" t="s">
        <v>1870</v>
      </c>
      <c r="G225" t="s">
        <v>405</v>
      </c>
      <c r="H225">
        <v>0</v>
      </c>
      <c r="J225">
        <v>5500</v>
      </c>
      <c r="K225" t="s">
        <v>100</v>
      </c>
      <c r="L225">
        <v>55</v>
      </c>
      <c r="M225" t="s">
        <v>2219</v>
      </c>
      <c r="N225" t="s">
        <v>131</v>
      </c>
      <c r="O225" t="s">
        <v>549</v>
      </c>
      <c r="P225" t="s">
        <v>85</v>
      </c>
    </row>
    <row r="226" spans="1:16" hidden="1" x14ac:dyDescent="0.25">
      <c r="A226" t="s">
        <v>800</v>
      </c>
      <c r="B226" t="s">
        <v>341</v>
      </c>
      <c r="C226" t="s">
        <v>2170</v>
      </c>
      <c r="D226" t="s">
        <v>582</v>
      </c>
      <c r="E226" t="s">
        <v>74</v>
      </c>
      <c r="F226" t="s">
        <v>1870</v>
      </c>
      <c r="G226" t="s">
        <v>404</v>
      </c>
      <c r="H226">
        <v>300</v>
      </c>
      <c r="J226">
        <v>5500</v>
      </c>
      <c r="K226" t="s">
        <v>100</v>
      </c>
      <c r="L226">
        <v>55</v>
      </c>
      <c r="M226" t="s">
        <v>2219</v>
      </c>
      <c r="N226" t="s">
        <v>131</v>
      </c>
      <c r="O226" t="s">
        <v>549</v>
      </c>
      <c r="P226" t="s">
        <v>85</v>
      </c>
    </row>
    <row r="227" spans="1:16" hidden="1" x14ac:dyDescent="0.25">
      <c r="A227" t="s">
        <v>800</v>
      </c>
      <c r="B227" t="s">
        <v>341</v>
      </c>
      <c r="C227" t="s">
        <v>2170</v>
      </c>
      <c r="D227" t="s">
        <v>582</v>
      </c>
      <c r="E227" t="s">
        <v>74</v>
      </c>
      <c r="F227" t="s">
        <v>1870</v>
      </c>
      <c r="G227" t="s">
        <v>403</v>
      </c>
      <c r="H227">
        <v>50</v>
      </c>
      <c r="J227">
        <v>5500</v>
      </c>
      <c r="K227" t="s">
        <v>100</v>
      </c>
      <c r="L227">
        <v>55</v>
      </c>
      <c r="M227" t="s">
        <v>2219</v>
      </c>
      <c r="N227" t="s">
        <v>131</v>
      </c>
      <c r="O227" t="s">
        <v>549</v>
      </c>
      <c r="P227" t="s">
        <v>85</v>
      </c>
    </row>
    <row r="228" spans="1:16" hidden="1" x14ac:dyDescent="0.25">
      <c r="A228" t="s">
        <v>800</v>
      </c>
      <c r="B228" t="s">
        <v>341</v>
      </c>
      <c r="C228" t="s">
        <v>2170</v>
      </c>
      <c r="D228" t="s">
        <v>582</v>
      </c>
      <c r="E228" t="s">
        <v>74</v>
      </c>
      <c r="F228" t="s">
        <v>1870</v>
      </c>
      <c r="G228" t="s">
        <v>402</v>
      </c>
      <c r="H228">
        <v>170</v>
      </c>
      <c r="J228">
        <v>5500</v>
      </c>
      <c r="K228" t="s">
        <v>100</v>
      </c>
      <c r="L228">
        <v>55</v>
      </c>
      <c r="M228" t="s">
        <v>2219</v>
      </c>
      <c r="N228" t="s">
        <v>131</v>
      </c>
      <c r="O228" t="s">
        <v>549</v>
      </c>
      <c r="P228" t="s">
        <v>85</v>
      </c>
    </row>
    <row r="229" spans="1:16" hidden="1" x14ac:dyDescent="0.25">
      <c r="A229" t="s">
        <v>800</v>
      </c>
      <c r="B229" t="s">
        <v>341</v>
      </c>
      <c r="C229" t="s">
        <v>2170</v>
      </c>
      <c r="D229" t="s">
        <v>582</v>
      </c>
      <c r="E229" t="s">
        <v>74</v>
      </c>
      <c r="F229" t="s">
        <v>1870</v>
      </c>
      <c r="G229" t="s">
        <v>401</v>
      </c>
      <c r="H229">
        <v>250</v>
      </c>
      <c r="J229">
        <v>5500</v>
      </c>
      <c r="K229" t="s">
        <v>100</v>
      </c>
      <c r="L229">
        <v>55</v>
      </c>
      <c r="M229" t="s">
        <v>2219</v>
      </c>
      <c r="N229" t="s">
        <v>131</v>
      </c>
      <c r="O229" t="s">
        <v>549</v>
      </c>
      <c r="P229" t="s">
        <v>85</v>
      </c>
    </row>
    <row r="230" spans="1:16" hidden="1" x14ac:dyDescent="0.25">
      <c r="A230" t="s">
        <v>800</v>
      </c>
      <c r="B230" t="s">
        <v>341</v>
      </c>
      <c r="C230" t="s">
        <v>2170</v>
      </c>
      <c r="D230" t="s">
        <v>582</v>
      </c>
      <c r="E230" t="s">
        <v>74</v>
      </c>
      <c r="F230" t="s">
        <v>1870</v>
      </c>
      <c r="G230" t="s">
        <v>1871</v>
      </c>
      <c r="H230">
        <v>400</v>
      </c>
      <c r="J230">
        <v>5500</v>
      </c>
      <c r="K230" t="s">
        <v>100</v>
      </c>
      <c r="L230">
        <v>55</v>
      </c>
      <c r="M230" t="s">
        <v>2219</v>
      </c>
      <c r="N230" t="s">
        <v>131</v>
      </c>
      <c r="O230" t="s">
        <v>549</v>
      </c>
      <c r="P230" t="s">
        <v>85</v>
      </c>
    </row>
    <row r="231" spans="1:16" hidden="1" x14ac:dyDescent="0.25">
      <c r="A231" t="s">
        <v>800</v>
      </c>
      <c r="B231" t="s">
        <v>341</v>
      </c>
      <c r="C231" t="s">
        <v>2170</v>
      </c>
      <c r="D231" t="s">
        <v>582</v>
      </c>
      <c r="E231" t="s">
        <v>74</v>
      </c>
      <c r="F231" t="s">
        <v>1870</v>
      </c>
      <c r="G231" t="s">
        <v>436</v>
      </c>
      <c r="H231">
        <v>150</v>
      </c>
      <c r="J231">
        <v>5511</v>
      </c>
      <c r="K231" t="s">
        <v>106</v>
      </c>
      <c r="L231">
        <v>55</v>
      </c>
      <c r="M231" t="s">
        <v>2219</v>
      </c>
      <c r="N231" t="s">
        <v>131</v>
      </c>
      <c r="O231" t="s">
        <v>549</v>
      </c>
      <c r="P231" t="s">
        <v>85</v>
      </c>
    </row>
    <row r="232" spans="1:16" hidden="1" x14ac:dyDescent="0.25">
      <c r="A232" t="s">
        <v>800</v>
      </c>
      <c r="B232" t="s">
        <v>341</v>
      </c>
      <c r="C232" t="s">
        <v>2170</v>
      </c>
      <c r="D232" t="s">
        <v>582</v>
      </c>
      <c r="E232" t="s">
        <v>74</v>
      </c>
      <c r="F232" t="s">
        <v>1870</v>
      </c>
      <c r="G232" t="s">
        <v>1873</v>
      </c>
      <c r="H232">
        <v>700</v>
      </c>
      <c r="J232">
        <v>5511</v>
      </c>
      <c r="K232" t="s">
        <v>106</v>
      </c>
      <c r="L232">
        <v>55</v>
      </c>
      <c r="M232" t="s">
        <v>2219</v>
      </c>
      <c r="N232" t="s">
        <v>131</v>
      </c>
      <c r="O232" t="s">
        <v>549</v>
      </c>
      <c r="P232" t="s">
        <v>85</v>
      </c>
    </row>
    <row r="233" spans="1:16" hidden="1" x14ac:dyDescent="0.25">
      <c r="A233" t="s">
        <v>800</v>
      </c>
      <c r="B233" t="s">
        <v>341</v>
      </c>
      <c r="C233" t="s">
        <v>2170</v>
      </c>
      <c r="D233" t="s">
        <v>582</v>
      </c>
      <c r="E233" t="s">
        <v>74</v>
      </c>
      <c r="F233" t="s">
        <v>1870</v>
      </c>
      <c r="G233" t="s">
        <v>415</v>
      </c>
      <c r="H233">
        <v>900</v>
      </c>
      <c r="J233">
        <v>5511</v>
      </c>
      <c r="K233" t="s">
        <v>106</v>
      </c>
      <c r="L233">
        <v>55</v>
      </c>
      <c r="M233" t="s">
        <v>2219</v>
      </c>
      <c r="N233" t="s">
        <v>131</v>
      </c>
      <c r="O233" t="s">
        <v>549</v>
      </c>
      <c r="P233" t="s">
        <v>85</v>
      </c>
    </row>
    <row r="234" spans="1:16" hidden="1" x14ac:dyDescent="0.25">
      <c r="A234" t="s">
        <v>800</v>
      </c>
      <c r="B234" t="s">
        <v>341</v>
      </c>
      <c r="C234" t="s">
        <v>2170</v>
      </c>
      <c r="D234" t="s">
        <v>582</v>
      </c>
      <c r="E234" t="s">
        <v>74</v>
      </c>
      <c r="F234" t="s">
        <v>1870</v>
      </c>
      <c r="G234" t="s">
        <v>414</v>
      </c>
      <c r="H234">
        <v>500</v>
      </c>
      <c r="J234">
        <v>5511</v>
      </c>
      <c r="K234" t="s">
        <v>106</v>
      </c>
      <c r="L234">
        <v>55</v>
      </c>
      <c r="M234" t="s">
        <v>2219</v>
      </c>
      <c r="N234" t="s">
        <v>131</v>
      </c>
      <c r="O234" t="s">
        <v>549</v>
      </c>
      <c r="P234" t="s">
        <v>85</v>
      </c>
    </row>
    <row r="235" spans="1:16" hidden="1" x14ac:dyDescent="0.25">
      <c r="A235" t="s">
        <v>800</v>
      </c>
      <c r="B235" t="s">
        <v>341</v>
      </c>
      <c r="C235" t="s">
        <v>2170</v>
      </c>
      <c r="D235" t="s">
        <v>582</v>
      </c>
      <c r="E235" t="s">
        <v>74</v>
      </c>
      <c r="F235" t="s">
        <v>1870</v>
      </c>
      <c r="G235" t="s">
        <v>413</v>
      </c>
      <c r="H235">
        <v>1500</v>
      </c>
      <c r="J235">
        <v>5511</v>
      </c>
      <c r="K235" t="s">
        <v>106</v>
      </c>
      <c r="L235">
        <v>55</v>
      </c>
      <c r="M235" t="s">
        <v>2219</v>
      </c>
      <c r="N235" t="s">
        <v>131</v>
      </c>
      <c r="O235" t="s">
        <v>549</v>
      </c>
      <c r="P235" t="s">
        <v>85</v>
      </c>
    </row>
    <row r="236" spans="1:16" hidden="1" x14ac:dyDescent="0.25">
      <c r="A236" t="s">
        <v>800</v>
      </c>
      <c r="B236" t="s">
        <v>341</v>
      </c>
      <c r="C236" t="s">
        <v>2170</v>
      </c>
      <c r="D236" t="s">
        <v>582</v>
      </c>
      <c r="E236" t="s">
        <v>74</v>
      </c>
      <c r="F236" t="s">
        <v>1870</v>
      </c>
      <c r="G236" t="s">
        <v>412</v>
      </c>
      <c r="H236">
        <v>0</v>
      </c>
      <c r="J236">
        <v>5511</v>
      </c>
      <c r="K236" t="s">
        <v>106</v>
      </c>
      <c r="L236">
        <v>55</v>
      </c>
      <c r="M236" t="s">
        <v>2219</v>
      </c>
      <c r="N236" t="s">
        <v>131</v>
      </c>
      <c r="O236" t="s">
        <v>549</v>
      </c>
      <c r="P236" t="s">
        <v>85</v>
      </c>
    </row>
    <row r="237" spans="1:16" hidden="1" x14ac:dyDescent="0.25">
      <c r="A237" t="s">
        <v>800</v>
      </c>
      <c r="B237" t="s">
        <v>341</v>
      </c>
      <c r="C237" t="s">
        <v>2170</v>
      </c>
      <c r="D237" t="s">
        <v>582</v>
      </c>
      <c r="E237" t="s">
        <v>74</v>
      </c>
      <c r="F237" t="s">
        <v>1870</v>
      </c>
      <c r="G237" t="s">
        <v>180</v>
      </c>
      <c r="H237">
        <v>500</v>
      </c>
      <c r="J237">
        <v>5511</v>
      </c>
      <c r="K237" t="s">
        <v>106</v>
      </c>
      <c r="L237">
        <v>55</v>
      </c>
      <c r="M237" t="s">
        <v>2219</v>
      </c>
      <c r="N237" t="s">
        <v>131</v>
      </c>
      <c r="O237" t="s">
        <v>549</v>
      </c>
      <c r="P237" t="s">
        <v>85</v>
      </c>
    </row>
    <row r="238" spans="1:16" hidden="1" x14ac:dyDescent="0.25">
      <c r="A238" t="s">
        <v>800</v>
      </c>
      <c r="B238" t="s">
        <v>341</v>
      </c>
      <c r="C238" t="s">
        <v>2170</v>
      </c>
      <c r="D238" t="s">
        <v>582</v>
      </c>
      <c r="E238" t="s">
        <v>74</v>
      </c>
      <c r="F238" t="s">
        <v>1870</v>
      </c>
      <c r="G238" t="s">
        <v>411</v>
      </c>
      <c r="H238">
        <v>2000</v>
      </c>
      <c r="J238">
        <v>5511</v>
      </c>
      <c r="K238" t="s">
        <v>106</v>
      </c>
      <c r="L238">
        <v>55</v>
      </c>
      <c r="M238" t="s">
        <v>2219</v>
      </c>
      <c r="N238" t="s">
        <v>131</v>
      </c>
      <c r="O238" t="s">
        <v>549</v>
      </c>
      <c r="P238" t="s">
        <v>85</v>
      </c>
    </row>
    <row r="239" spans="1:16" hidden="1" x14ac:dyDescent="0.25">
      <c r="A239" t="s">
        <v>800</v>
      </c>
      <c r="B239" t="s">
        <v>341</v>
      </c>
      <c r="C239" t="s">
        <v>2170</v>
      </c>
      <c r="D239" t="s">
        <v>582</v>
      </c>
      <c r="E239" t="s">
        <v>74</v>
      </c>
      <c r="F239" t="s">
        <v>1870</v>
      </c>
      <c r="G239" t="s">
        <v>410</v>
      </c>
      <c r="H239">
        <v>400</v>
      </c>
      <c r="J239">
        <v>5511</v>
      </c>
      <c r="K239" t="s">
        <v>106</v>
      </c>
      <c r="L239">
        <v>55</v>
      </c>
      <c r="M239" t="s">
        <v>2219</v>
      </c>
      <c r="N239" t="s">
        <v>131</v>
      </c>
      <c r="O239" t="s">
        <v>549</v>
      </c>
      <c r="P239" t="s">
        <v>85</v>
      </c>
    </row>
    <row r="240" spans="1:16" hidden="1" x14ac:dyDescent="0.25">
      <c r="A240" t="s">
        <v>800</v>
      </c>
      <c r="B240" t="s">
        <v>341</v>
      </c>
      <c r="C240" t="s">
        <v>2170</v>
      </c>
      <c r="D240" t="s">
        <v>582</v>
      </c>
      <c r="E240" t="s">
        <v>74</v>
      </c>
      <c r="F240" t="s">
        <v>1870</v>
      </c>
      <c r="G240" t="s">
        <v>178</v>
      </c>
      <c r="H240">
        <v>5300</v>
      </c>
      <c r="J240">
        <v>5511</v>
      </c>
      <c r="K240" t="s">
        <v>106</v>
      </c>
      <c r="L240">
        <v>55</v>
      </c>
      <c r="M240" t="s">
        <v>2219</v>
      </c>
      <c r="N240" t="s">
        <v>131</v>
      </c>
      <c r="O240" t="s">
        <v>549</v>
      </c>
      <c r="P240" t="s">
        <v>85</v>
      </c>
    </row>
    <row r="241" spans="1:16" hidden="1" x14ac:dyDescent="0.25">
      <c r="A241" t="s">
        <v>800</v>
      </c>
      <c r="B241" t="s">
        <v>341</v>
      </c>
      <c r="C241" t="s">
        <v>2170</v>
      </c>
      <c r="D241" t="s">
        <v>582</v>
      </c>
      <c r="E241" t="s">
        <v>74</v>
      </c>
      <c r="F241" t="s">
        <v>1870</v>
      </c>
      <c r="G241" t="s">
        <v>177</v>
      </c>
      <c r="H241">
        <v>27000</v>
      </c>
      <c r="J241">
        <v>5511</v>
      </c>
      <c r="K241" t="s">
        <v>106</v>
      </c>
      <c r="L241">
        <v>55</v>
      </c>
      <c r="M241" t="s">
        <v>2219</v>
      </c>
      <c r="N241" t="s">
        <v>131</v>
      </c>
      <c r="O241" t="s">
        <v>549</v>
      </c>
      <c r="P241" t="s">
        <v>85</v>
      </c>
    </row>
    <row r="242" spans="1:16" hidden="1" x14ac:dyDescent="0.25">
      <c r="A242" t="s">
        <v>800</v>
      </c>
      <c r="B242" t="s">
        <v>340</v>
      </c>
      <c r="C242" t="s">
        <v>2169</v>
      </c>
      <c r="D242" t="s">
        <v>582</v>
      </c>
      <c r="E242" t="s">
        <v>74</v>
      </c>
      <c r="F242" t="s">
        <v>1870</v>
      </c>
      <c r="G242" t="s">
        <v>2200</v>
      </c>
      <c r="H242">
        <v>4311.42</v>
      </c>
      <c r="I242" t="s">
        <v>2203</v>
      </c>
      <c r="J242">
        <v>5524</v>
      </c>
      <c r="K242" t="s">
        <v>117</v>
      </c>
      <c r="L242">
        <v>55</v>
      </c>
      <c r="M242" t="s">
        <v>2219</v>
      </c>
      <c r="N242" t="s">
        <v>131</v>
      </c>
      <c r="O242" t="s">
        <v>549</v>
      </c>
      <c r="P242" t="s">
        <v>85</v>
      </c>
    </row>
    <row r="243" spans="1:16" hidden="1" x14ac:dyDescent="0.25">
      <c r="A243" t="s">
        <v>800</v>
      </c>
      <c r="B243" t="s">
        <v>340</v>
      </c>
      <c r="C243" t="s">
        <v>2169</v>
      </c>
      <c r="D243" t="s">
        <v>582</v>
      </c>
      <c r="E243" t="s">
        <v>74</v>
      </c>
      <c r="F243" t="s">
        <v>1870</v>
      </c>
      <c r="G243" t="s">
        <v>2199</v>
      </c>
      <c r="H243">
        <v>1384.56</v>
      </c>
      <c r="I243" t="s">
        <v>2203</v>
      </c>
      <c r="J243">
        <v>5504</v>
      </c>
      <c r="K243" t="s">
        <v>102</v>
      </c>
      <c r="L243">
        <v>55</v>
      </c>
      <c r="M243" t="s">
        <v>2219</v>
      </c>
      <c r="N243" t="s">
        <v>131</v>
      </c>
      <c r="O243" t="s">
        <v>549</v>
      </c>
      <c r="P243" t="s">
        <v>85</v>
      </c>
    </row>
    <row r="244" spans="1:16" x14ac:dyDescent="0.25">
      <c r="A244" t="s">
        <v>800</v>
      </c>
      <c r="B244" t="s">
        <v>340</v>
      </c>
      <c r="C244" t="s">
        <v>2169</v>
      </c>
      <c r="D244" t="s">
        <v>582</v>
      </c>
      <c r="E244" t="s">
        <v>74</v>
      </c>
      <c r="F244" t="s">
        <v>841</v>
      </c>
      <c r="G244" t="s">
        <v>2062</v>
      </c>
      <c r="H244">
        <v>350000</v>
      </c>
      <c r="J244">
        <v>1551</v>
      </c>
      <c r="K244" t="s">
        <v>92</v>
      </c>
      <c r="L244">
        <v>15</v>
      </c>
      <c r="M244" t="s">
        <v>2220</v>
      </c>
      <c r="N244" t="s">
        <v>4</v>
      </c>
      <c r="O244" t="s">
        <v>4</v>
      </c>
      <c r="P244" t="s">
        <v>87</v>
      </c>
    </row>
    <row r="245" spans="1:16" hidden="1" x14ac:dyDescent="0.25">
      <c r="A245" t="s">
        <v>800</v>
      </c>
      <c r="B245" t="s">
        <v>340</v>
      </c>
      <c r="C245" t="s">
        <v>2169</v>
      </c>
      <c r="D245" t="s">
        <v>582</v>
      </c>
      <c r="E245" t="s">
        <v>74</v>
      </c>
      <c r="F245" t="s">
        <v>1870</v>
      </c>
      <c r="G245" t="s">
        <v>199</v>
      </c>
      <c r="H245">
        <v>300</v>
      </c>
      <c r="J245">
        <v>5514</v>
      </c>
      <c r="K245" t="s">
        <v>110</v>
      </c>
      <c r="L245">
        <v>55</v>
      </c>
      <c r="M245" t="s">
        <v>2219</v>
      </c>
      <c r="N245" t="s">
        <v>131</v>
      </c>
      <c r="O245" t="s">
        <v>549</v>
      </c>
      <c r="P245" t="s">
        <v>85</v>
      </c>
    </row>
    <row r="246" spans="1:16" hidden="1" x14ac:dyDescent="0.25">
      <c r="A246" t="s">
        <v>800</v>
      </c>
      <c r="B246" t="s">
        <v>340</v>
      </c>
      <c r="C246" t="s">
        <v>2169</v>
      </c>
      <c r="D246" t="s">
        <v>582</v>
      </c>
      <c r="E246" t="s">
        <v>74</v>
      </c>
      <c r="F246" t="s">
        <v>1870</v>
      </c>
      <c r="G246" t="s">
        <v>421</v>
      </c>
      <c r="H246">
        <v>600</v>
      </c>
      <c r="J246">
        <v>5514</v>
      </c>
      <c r="K246" t="s">
        <v>110</v>
      </c>
      <c r="L246">
        <v>55</v>
      </c>
      <c r="M246" t="s">
        <v>2219</v>
      </c>
      <c r="N246" t="s">
        <v>131</v>
      </c>
      <c r="O246" t="s">
        <v>549</v>
      </c>
      <c r="P246" t="s">
        <v>85</v>
      </c>
    </row>
    <row r="247" spans="1:16" hidden="1" x14ac:dyDescent="0.25">
      <c r="A247" t="s">
        <v>800</v>
      </c>
      <c r="B247" t="s">
        <v>340</v>
      </c>
      <c r="C247" t="s">
        <v>2169</v>
      </c>
      <c r="D247" t="s">
        <v>582</v>
      </c>
      <c r="E247" t="s">
        <v>74</v>
      </c>
      <c r="F247" t="s">
        <v>1870</v>
      </c>
      <c r="G247" t="s">
        <v>420</v>
      </c>
      <c r="H247">
        <v>500</v>
      </c>
      <c r="J247">
        <v>5514</v>
      </c>
      <c r="K247" t="s">
        <v>110</v>
      </c>
      <c r="L247">
        <v>55</v>
      </c>
      <c r="M247" t="s">
        <v>2219</v>
      </c>
      <c r="N247" t="s">
        <v>131</v>
      </c>
      <c r="O247" t="s">
        <v>549</v>
      </c>
      <c r="P247" t="s">
        <v>85</v>
      </c>
    </row>
    <row r="248" spans="1:16" hidden="1" x14ac:dyDescent="0.25">
      <c r="A248" t="s">
        <v>800</v>
      </c>
      <c r="B248" t="s">
        <v>340</v>
      </c>
      <c r="C248" t="s">
        <v>2169</v>
      </c>
      <c r="D248" t="s">
        <v>582</v>
      </c>
      <c r="E248" t="s">
        <v>74</v>
      </c>
      <c r="F248" t="s">
        <v>1870</v>
      </c>
      <c r="G248" t="s">
        <v>419</v>
      </c>
      <c r="H248">
        <v>1000</v>
      </c>
      <c r="J248">
        <v>5514</v>
      </c>
      <c r="K248" t="s">
        <v>110</v>
      </c>
      <c r="L248">
        <v>55</v>
      </c>
      <c r="M248" t="s">
        <v>2219</v>
      </c>
      <c r="N248" t="s">
        <v>131</v>
      </c>
      <c r="O248" t="s">
        <v>549</v>
      </c>
      <c r="P248" t="s">
        <v>85</v>
      </c>
    </row>
    <row r="249" spans="1:16" hidden="1" x14ac:dyDescent="0.25">
      <c r="A249" t="s">
        <v>800</v>
      </c>
      <c r="B249" t="s">
        <v>340</v>
      </c>
      <c r="C249" t="s">
        <v>2169</v>
      </c>
      <c r="D249" t="s">
        <v>582</v>
      </c>
      <c r="E249" t="s">
        <v>74</v>
      </c>
      <c r="F249" t="s">
        <v>1870</v>
      </c>
      <c r="G249" t="s">
        <v>1894</v>
      </c>
      <c r="H249">
        <v>2000</v>
      </c>
      <c r="J249">
        <v>5525</v>
      </c>
      <c r="K249" t="s">
        <v>118</v>
      </c>
      <c r="L249">
        <v>55</v>
      </c>
      <c r="M249" t="s">
        <v>2219</v>
      </c>
      <c r="N249" t="s">
        <v>131</v>
      </c>
      <c r="O249" t="s">
        <v>549</v>
      </c>
      <c r="P249" t="s">
        <v>85</v>
      </c>
    </row>
    <row r="250" spans="1:16" hidden="1" x14ac:dyDescent="0.25">
      <c r="A250" t="s">
        <v>800</v>
      </c>
      <c r="B250" t="s">
        <v>340</v>
      </c>
      <c r="C250" t="s">
        <v>2169</v>
      </c>
      <c r="D250" t="s">
        <v>582</v>
      </c>
      <c r="E250" t="s">
        <v>74</v>
      </c>
      <c r="F250" t="s">
        <v>1870</v>
      </c>
      <c r="G250" t="s">
        <v>435</v>
      </c>
      <c r="H250">
        <v>3000</v>
      </c>
      <c r="J250">
        <v>5525</v>
      </c>
      <c r="K250" t="s">
        <v>118</v>
      </c>
      <c r="L250">
        <v>55</v>
      </c>
      <c r="M250" t="s">
        <v>2219</v>
      </c>
      <c r="N250" t="s">
        <v>131</v>
      </c>
      <c r="O250" t="s">
        <v>549</v>
      </c>
      <c r="P250" t="s">
        <v>85</v>
      </c>
    </row>
    <row r="251" spans="1:16" hidden="1" x14ac:dyDescent="0.25">
      <c r="A251" t="s">
        <v>800</v>
      </c>
      <c r="B251" t="s">
        <v>340</v>
      </c>
      <c r="C251" t="s">
        <v>2169</v>
      </c>
      <c r="D251" t="s">
        <v>582</v>
      </c>
      <c r="E251" t="s">
        <v>74</v>
      </c>
      <c r="F251" t="s">
        <v>1870</v>
      </c>
      <c r="G251" t="s">
        <v>434</v>
      </c>
      <c r="H251">
        <v>100</v>
      </c>
      <c r="J251">
        <v>5525</v>
      </c>
      <c r="K251" t="s">
        <v>118</v>
      </c>
      <c r="L251">
        <v>55</v>
      </c>
      <c r="M251" t="s">
        <v>2219</v>
      </c>
      <c r="N251" t="s">
        <v>131</v>
      </c>
      <c r="O251" t="s">
        <v>549</v>
      </c>
      <c r="P251" t="s">
        <v>85</v>
      </c>
    </row>
    <row r="252" spans="1:16" hidden="1" x14ac:dyDescent="0.25">
      <c r="A252" t="s">
        <v>800</v>
      </c>
      <c r="B252" t="s">
        <v>340</v>
      </c>
      <c r="C252" t="s">
        <v>2169</v>
      </c>
      <c r="D252" t="s">
        <v>582</v>
      </c>
      <c r="E252" t="s">
        <v>74</v>
      </c>
      <c r="F252" t="s">
        <v>1870</v>
      </c>
      <c r="G252" t="s">
        <v>433</v>
      </c>
      <c r="H252">
        <v>150</v>
      </c>
      <c r="J252">
        <v>5525</v>
      </c>
      <c r="K252" t="s">
        <v>118</v>
      </c>
      <c r="L252">
        <v>55</v>
      </c>
      <c r="M252" t="s">
        <v>2219</v>
      </c>
      <c r="N252" t="s">
        <v>131</v>
      </c>
      <c r="O252" t="s">
        <v>549</v>
      </c>
      <c r="P252" t="s">
        <v>85</v>
      </c>
    </row>
    <row r="253" spans="1:16" hidden="1" x14ac:dyDescent="0.25">
      <c r="A253" t="s">
        <v>800</v>
      </c>
      <c r="B253" t="s">
        <v>340</v>
      </c>
      <c r="C253" t="s">
        <v>2169</v>
      </c>
      <c r="D253" t="s">
        <v>582</v>
      </c>
      <c r="E253" t="s">
        <v>74</v>
      </c>
      <c r="F253" t="s">
        <v>1870</v>
      </c>
      <c r="G253" t="s">
        <v>1893</v>
      </c>
      <c r="H253">
        <v>900</v>
      </c>
      <c r="J253">
        <v>5524</v>
      </c>
      <c r="K253" t="s">
        <v>117</v>
      </c>
      <c r="L253">
        <v>55</v>
      </c>
      <c r="M253" t="s">
        <v>2219</v>
      </c>
      <c r="N253" t="s">
        <v>131</v>
      </c>
      <c r="O253" t="s">
        <v>549</v>
      </c>
      <c r="P253" t="s">
        <v>85</v>
      </c>
    </row>
    <row r="254" spans="1:16" hidden="1" x14ac:dyDescent="0.25">
      <c r="A254" t="s">
        <v>800</v>
      </c>
      <c r="B254" t="s">
        <v>340</v>
      </c>
      <c r="C254" t="s">
        <v>2169</v>
      </c>
      <c r="D254" t="s">
        <v>582</v>
      </c>
      <c r="E254" t="s">
        <v>74</v>
      </c>
      <c r="F254" t="s">
        <v>1870</v>
      </c>
      <c r="G254" t="s">
        <v>432</v>
      </c>
      <c r="H254">
        <v>4000</v>
      </c>
      <c r="J254">
        <v>5524</v>
      </c>
      <c r="K254" t="s">
        <v>117</v>
      </c>
      <c r="L254">
        <v>55</v>
      </c>
      <c r="M254" t="s">
        <v>2219</v>
      </c>
      <c r="N254" t="s">
        <v>131</v>
      </c>
      <c r="O254" t="s">
        <v>549</v>
      </c>
      <c r="P254" t="s">
        <v>85</v>
      </c>
    </row>
    <row r="255" spans="1:16" hidden="1" x14ac:dyDescent="0.25">
      <c r="A255" t="s">
        <v>800</v>
      </c>
      <c r="B255" t="s">
        <v>340</v>
      </c>
      <c r="C255" t="s">
        <v>2169</v>
      </c>
      <c r="D255" t="s">
        <v>582</v>
      </c>
      <c r="E255" t="s">
        <v>74</v>
      </c>
      <c r="F255" t="s">
        <v>1870</v>
      </c>
      <c r="G255" t="s">
        <v>431</v>
      </c>
      <c r="H255">
        <v>600</v>
      </c>
      <c r="J255">
        <v>5524</v>
      </c>
      <c r="K255" t="s">
        <v>117</v>
      </c>
      <c r="L255">
        <v>55</v>
      </c>
      <c r="M255" t="s">
        <v>2219</v>
      </c>
      <c r="N255" t="s">
        <v>131</v>
      </c>
      <c r="O255" t="s">
        <v>549</v>
      </c>
      <c r="P255" t="s">
        <v>85</v>
      </c>
    </row>
    <row r="256" spans="1:16" hidden="1" x14ac:dyDescent="0.25">
      <c r="A256" t="s">
        <v>800</v>
      </c>
      <c r="B256" t="s">
        <v>340</v>
      </c>
      <c r="C256" t="s">
        <v>2169</v>
      </c>
      <c r="D256" t="s">
        <v>582</v>
      </c>
      <c r="E256" t="s">
        <v>74</v>
      </c>
      <c r="F256" t="s">
        <v>1870</v>
      </c>
      <c r="G256" t="s">
        <v>430</v>
      </c>
      <c r="H256">
        <v>0</v>
      </c>
      <c r="J256">
        <v>5524</v>
      </c>
      <c r="K256" t="s">
        <v>117</v>
      </c>
      <c r="L256">
        <v>55</v>
      </c>
      <c r="M256" t="s">
        <v>2219</v>
      </c>
      <c r="N256" t="s">
        <v>131</v>
      </c>
      <c r="O256" t="s">
        <v>549</v>
      </c>
      <c r="P256" t="s">
        <v>85</v>
      </c>
    </row>
    <row r="257" spans="1:16" hidden="1" x14ac:dyDescent="0.25">
      <c r="A257" t="s">
        <v>800</v>
      </c>
      <c r="B257" t="s">
        <v>340</v>
      </c>
      <c r="C257" t="s">
        <v>2169</v>
      </c>
      <c r="D257" t="s">
        <v>582</v>
      </c>
      <c r="E257" t="s">
        <v>74</v>
      </c>
      <c r="F257" t="s">
        <v>1870</v>
      </c>
      <c r="G257" t="s">
        <v>429</v>
      </c>
      <c r="H257">
        <v>1400</v>
      </c>
      <c r="J257">
        <v>5524</v>
      </c>
      <c r="K257" t="s">
        <v>117</v>
      </c>
      <c r="L257">
        <v>55</v>
      </c>
      <c r="M257" t="s">
        <v>2219</v>
      </c>
      <c r="N257" t="s">
        <v>131</v>
      </c>
      <c r="O257" t="s">
        <v>549</v>
      </c>
      <c r="P257" t="s">
        <v>85</v>
      </c>
    </row>
    <row r="258" spans="1:16" hidden="1" x14ac:dyDescent="0.25">
      <c r="A258" t="s">
        <v>800</v>
      </c>
      <c r="B258" t="s">
        <v>340</v>
      </c>
      <c r="C258" t="s">
        <v>2169</v>
      </c>
      <c r="D258" t="s">
        <v>582</v>
      </c>
      <c r="E258" t="s">
        <v>74</v>
      </c>
      <c r="F258" t="s">
        <v>1870</v>
      </c>
      <c r="G258" t="s">
        <v>428</v>
      </c>
      <c r="H258">
        <v>2788.58</v>
      </c>
      <c r="J258">
        <v>5524</v>
      </c>
      <c r="K258" t="s">
        <v>117</v>
      </c>
      <c r="L258">
        <v>55</v>
      </c>
      <c r="M258" t="s">
        <v>2219</v>
      </c>
      <c r="N258" t="s">
        <v>131</v>
      </c>
      <c r="O258" t="s">
        <v>549</v>
      </c>
      <c r="P258" t="s">
        <v>85</v>
      </c>
    </row>
    <row r="259" spans="1:16" hidden="1" x14ac:dyDescent="0.25">
      <c r="A259" t="s">
        <v>800</v>
      </c>
      <c r="B259" t="s">
        <v>340</v>
      </c>
      <c r="C259" t="s">
        <v>2169</v>
      </c>
      <c r="D259" t="s">
        <v>582</v>
      </c>
      <c r="E259" t="s">
        <v>74</v>
      </c>
      <c r="F259" t="s">
        <v>1870</v>
      </c>
      <c r="G259" t="s">
        <v>427</v>
      </c>
      <c r="H259">
        <v>300</v>
      </c>
      <c r="J259">
        <v>5522</v>
      </c>
      <c r="K259" t="s">
        <v>115</v>
      </c>
      <c r="L259">
        <v>55</v>
      </c>
      <c r="M259" t="s">
        <v>2219</v>
      </c>
      <c r="N259" t="s">
        <v>131</v>
      </c>
      <c r="O259" t="s">
        <v>549</v>
      </c>
      <c r="P259" t="s">
        <v>85</v>
      </c>
    </row>
    <row r="260" spans="1:16" hidden="1" x14ac:dyDescent="0.25">
      <c r="A260" t="s">
        <v>800</v>
      </c>
      <c r="B260" t="s">
        <v>340</v>
      </c>
      <c r="C260" t="s">
        <v>2169</v>
      </c>
      <c r="D260" t="s">
        <v>582</v>
      </c>
      <c r="E260" t="s">
        <v>74</v>
      </c>
      <c r="F260" t="s">
        <v>1870</v>
      </c>
      <c r="G260" t="s">
        <v>426</v>
      </c>
      <c r="H260">
        <v>50</v>
      </c>
      <c r="J260">
        <v>5522</v>
      </c>
      <c r="K260" t="s">
        <v>115</v>
      </c>
      <c r="L260">
        <v>55</v>
      </c>
      <c r="M260" t="s">
        <v>2219</v>
      </c>
      <c r="N260" t="s">
        <v>131</v>
      </c>
      <c r="O260" t="s">
        <v>549</v>
      </c>
      <c r="P260" t="s">
        <v>85</v>
      </c>
    </row>
    <row r="261" spans="1:16" hidden="1" x14ac:dyDescent="0.25">
      <c r="A261" t="s">
        <v>800</v>
      </c>
      <c r="B261" t="s">
        <v>340</v>
      </c>
      <c r="C261" t="s">
        <v>2169</v>
      </c>
      <c r="D261" t="s">
        <v>582</v>
      </c>
      <c r="E261" t="s">
        <v>74</v>
      </c>
      <c r="F261" t="s">
        <v>1870</v>
      </c>
      <c r="G261" t="s">
        <v>425</v>
      </c>
      <c r="H261">
        <v>600</v>
      </c>
      <c r="J261">
        <v>5522</v>
      </c>
      <c r="K261" t="s">
        <v>115</v>
      </c>
      <c r="L261">
        <v>55</v>
      </c>
      <c r="M261" t="s">
        <v>2219</v>
      </c>
      <c r="N261" t="s">
        <v>131</v>
      </c>
      <c r="O261" t="s">
        <v>549</v>
      </c>
      <c r="P261" t="s">
        <v>85</v>
      </c>
    </row>
    <row r="262" spans="1:16" hidden="1" x14ac:dyDescent="0.25">
      <c r="A262" t="s">
        <v>800</v>
      </c>
      <c r="B262" t="s">
        <v>340</v>
      </c>
      <c r="C262" t="s">
        <v>2169</v>
      </c>
      <c r="D262" t="s">
        <v>582</v>
      </c>
      <c r="E262" t="s">
        <v>74</v>
      </c>
      <c r="F262" t="s">
        <v>1870</v>
      </c>
      <c r="G262" t="s">
        <v>424</v>
      </c>
      <c r="H262">
        <v>100</v>
      </c>
      <c r="J262">
        <v>5522</v>
      </c>
      <c r="K262" t="s">
        <v>115</v>
      </c>
      <c r="L262">
        <v>55</v>
      </c>
      <c r="M262" t="s">
        <v>2219</v>
      </c>
      <c r="N262" t="s">
        <v>131</v>
      </c>
      <c r="O262" t="s">
        <v>549</v>
      </c>
      <c r="P262" t="s">
        <v>85</v>
      </c>
    </row>
    <row r="263" spans="1:16" hidden="1" x14ac:dyDescent="0.25">
      <c r="A263" t="s">
        <v>800</v>
      </c>
      <c r="B263" t="s">
        <v>340</v>
      </c>
      <c r="C263" t="s">
        <v>2169</v>
      </c>
      <c r="D263" t="s">
        <v>582</v>
      </c>
      <c r="E263" t="s">
        <v>74</v>
      </c>
      <c r="F263" t="s">
        <v>1870</v>
      </c>
      <c r="G263" t="s">
        <v>1863</v>
      </c>
      <c r="H263">
        <v>13965</v>
      </c>
      <c r="I263" t="s">
        <v>2203</v>
      </c>
      <c r="J263">
        <v>5521</v>
      </c>
      <c r="K263" t="s">
        <v>114</v>
      </c>
      <c r="L263">
        <v>55</v>
      </c>
      <c r="M263" t="s">
        <v>2219</v>
      </c>
      <c r="N263" t="s">
        <v>131</v>
      </c>
      <c r="O263" t="s">
        <v>549</v>
      </c>
      <c r="P263" t="s">
        <v>85</v>
      </c>
    </row>
    <row r="264" spans="1:16" hidden="1" x14ac:dyDescent="0.25">
      <c r="A264" t="s">
        <v>800</v>
      </c>
      <c r="B264" t="s">
        <v>340</v>
      </c>
      <c r="C264" t="s">
        <v>2169</v>
      </c>
      <c r="D264" t="s">
        <v>582</v>
      </c>
      <c r="E264" t="s">
        <v>74</v>
      </c>
      <c r="F264" t="s">
        <v>1870</v>
      </c>
      <c r="G264" t="s">
        <v>1874</v>
      </c>
      <c r="H264">
        <v>500</v>
      </c>
      <c r="J264">
        <v>5515</v>
      </c>
      <c r="K264" t="s">
        <v>112</v>
      </c>
      <c r="L264">
        <v>55</v>
      </c>
      <c r="M264" t="s">
        <v>2219</v>
      </c>
      <c r="N264" t="s">
        <v>131</v>
      </c>
      <c r="O264" t="s">
        <v>549</v>
      </c>
      <c r="P264" t="s">
        <v>85</v>
      </c>
    </row>
    <row r="265" spans="1:16" hidden="1" x14ac:dyDescent="0.25">
      <c r="A265" t="s">
        <v>800</v>
      </c>
      <c r="B265" t="s">
        <v>340</v>
      </c>
      <c r="C265" t="s">
        <v>2169</v>
      </c>
      <c r="D265" t="s">
        <v>582</v>
      </c>
      <c r="E265" t="s">
        <v>74</v>
      </c>
      <c r="F265" t="s">
        <v>1870</v>
      </c>
      <c r="G265" t="s">
        <v>423</v>
      </c>
      <c r="H265">
        <v>3000</v>
      </c>
      <c r="J265">
        <v>5515</v>
      </c>
      <c r="K265" t="s">
        <v>112</v>
      </c>
      <c r="L265">
        <v>55</v>
      </c>
      <c r="M265" t="s">
        <v>2219</v>
      </c>
      <c r="N265" t="s">
        <v>131</v>
      </c>
      <c r="O265" t="s">
        <v>549</v>
      </c>
      <c r="P265" t="s">
        <v>85</v>
      </c>
    </row>
    <row r="266" spans="1:16" hidden="1" x14ac:dyDescent="0.25">
      <c r="A266" t="s">
        <v>800</v>
      </c>
      <c r="B266" t="s">
        <v>340</v>
      </c>
      <c r="C266" t="s">
        <v>2169</v>
      </c>
      <c r="D266" t="s">
        <v>582</v>
      </c>
      <c r="E266" t="s">
        <v>74</v>
      </c>
      <c r="F266" t="s">
        <v>1870</v>
      </c>
      <c r="G266" t="s">
        <v>418</v>
      </c>
      <c r="H266">
        <v>3500</v>
      </c>
      <c r="J266">
        <v>5513</v>
      </c>
      <c r="K266" t="s">
        <v>111</v>
      </c>
      <c r="L266">
        <v>55</v>
      </c>
      <c r="M266" t="s">
        <v>2219</v>
      </c>
      <c r="N266" t="s">
        <v>131</v>
      </c>
      <c r="O266" t="s">
        <v>549</v>
      </c>
      <c r="P266" t="s">
        <v>85</v>
      </c>
    </row>
    <row r="267" spans="1:16" hidden="1" x14ac:dyDescent="0.25">
      <c r="A267" t="s">
        <v>800</v>
      </c>
      <c r="B267" t="s">
        <v>340</v>
      </c>
      <c r="C267" t="s">
        <v>2169</v>
      </c>
      <c r="D267" t="s">
        <v>582</v>
      </c>
      <c r="E267" t="s">
        <v>74</v>
      </c>
      <c r="F267" t="s">
        <v>1870</v>
      </c>
      <c r="G267" t="s">
        <v>417</v>
      </c>
      <c r="H267">
        <v>2600</v>
      </c>
      <c r="J267">
        <v>5513</v>
      </c>
      <c r="K267" t="s">
        <v>111</v>
      </c>
      <c r="L267">
        <v>55</v>
      </c>
      <c r="M267" t="s">
        <v>2219</v>
      </c>
      <c r="N267" t="s">
        <v>131</v>
      </c>
      <c r="O267" t="s">
        <v>549</v>
      </c>
      <c r="P267" t="s">
        <v>85</v>
      </c>
    </row>
    <row r="268" spans="1:16" hidden="1" x14ac:dyDescent="0.25">
      <c r="A268" t="s">
        <v>800</v>
      </c>
      <c r="B268" t="s">
        <v>340</v>
      </c>
      <c r="C268" t="s">
        <v>2169</v>
      </c>
      <c r="D268" t="s">
        <v>582</v>
      </c>
      <c r="E268" t="s">
        <v>74</v>
      </c>
      <c r="F268" t="s">
        <v>1870</v>
      </c>
      <c r="G268" t="s">
        <v>1521</v>
      </c>
      <c r="H268">
        <v>415.44000000000005</v>
      </c>
      <c r="J268">
        <v>5504</v>
      </c>
      <c r="K268" t="s">
        <v>102</v>
      </c>
      <c r="L268">
        <v>55</v>
      </c>
      <c r="M268" t="s">
        <v>2219</v>
      </c>
      <c r="N268" t="s">
        <v>131</v>
      </c>
      <c r="O268" t="s">
        <v>549</v>
      </c>
      <c r="P268" t="s">
        <v>85</v>
      </c>
    </row>
    <row r="269" spans="1:16" hidden="1" x14ac:dyDescent="0.25">
      <c r="A269" t="s">
        <v>800</v>
      </c>
      <c r="B269" t="s">
        <v>340</v>
      </c>
      <c r="C269" t="s">
        <v>2169</v>
      </c>
      <c r="D269" t="s">
        <v>582</v>
      </c>
      <c r="E269" t="s">
        <v>74</v>
      </c>
      <c r="F269" t="s">
        <v>1870</v>
      </c>
      <c r="G269" t="s">
        <v>1872</v>
      </c>
      <c r="H269">
        <v>150</v>
      </c>
      <c r="J269">
        <v>5500</v>
      </c>
      <c r="K269" t="s">
        <v>100</v>
      </c>
      <c r="L269">
        <v>55</v>
      </c>
      <c r="M269" t="s">
        <v>2219</v>
      </c>
      <c r="N269" t="s">
        <v>131</v>
      </c>
      <c r="O269" t="s">
        <v>549</v>
      </c>
      <c r="P269" t="s">
        <v>85</v>
      </c>
    </row>
    <row r="270" spans="1:16" hidden="1" x14ac:dyDescent="0.25">
      <c r="A270" t="s">
        <v>800</v>
      </c>
      <c r="B270" t="s">
        <v>340</v>
      </c>
      <c r="C270" t="s">
        <v>2169</v>
      </c>
      <c r="D270" t="s">
        <v>582</v>
      </c>
      <c r="E270" t="s">
        <v>74</v>
      </c>
      <c r="F270" t="s">
        <v>1870</v>
      </c>
      <c r="G270" t="s">
        <v>408</v>
      </c>
      <c r="H270">
        <v>50</v>
      </c>
      <c r="J270">
        <v>5500</v>
      </c>
      <c r="K270" t="s">
        <v>100</v>
      </c>
      <c r="L270">
        <v>55</v>
      </c>
      <c r="M270" t="s">
        <v>2219</v>
      </c>
      <c r="N270" t="s">
        <v>131</v>
      </c>
      <c r="O270" t="s">
        <v>549</v>
      </c>
      <c r="P270" t="s">
        <v>85</v>
      </c>
    </row>
    <row r="271" spans="1:16" hidden="1" x14ac:dyDescent="0.25">
      <c r="A271" t="s">
        <v>800</v>
      </c>
      <c r="B271" t="s">
        <v>340</v>
      </c>
      <c r="C271" t="s">
        <v>2169</v>
      </c>
      <c r="D271" t="s">
        <v>582</v>
      </c>
      <c r="E271" t="s">
        <v>74</v>
      </c>
      <c r="F271" t="s">
        <v>1870</v>
      </c>
      <c r="G271" t="s">
        <v>407</v>
      </c>
      <c r="H271">
        <v>250</v>
      </c>
      <c r="J271">
        <v>5500</v>
      </c>
      <c r="K271" t="s">
        <v>100</v>
      </c>
      <c r="L271">
        <v>55</v>
      </c>
      <c r="M271" t="s">
        <v>2219</v>
      </c>
      <c r="N271" t="s">
        <v>131</v>
      </c>
      <c r="O271" t="s">
        <v>549</v>
      </c>
      <c r="P271" t="s">
        <v>85</v>
      </c>
    </row>
    <row r="272" spans="1:16" hidden="1" x14ac:dyDescent="0.25">
      <c r="A272" t="s">
        <v>800</v>
      </c>
      <c r="B272" t="s">
        <v>340</v>
      </c>
      <c r="C272" t="s">
        <v>2169</v>
      </c>
      <c r="D272" t="s">
        <v>582</v>
      </c>
      <c r="E272" t="s">
        <v>74</v>
      </c>
      <c r="F272" t="s">
        <v>1870</v>
      </c>
      <c r="G272" t="s">
        <v>406</v>
      </c>
      <c r="H272">
        <v>150</v>
      </c>
      <c r="J272">
        <v>5500</v>
      </c>
      <c r="K272" t="s">
        <v>100</v>
      </c>
      <c r="L272">
        <v>55</v>
      </c>
      <c r="M272" t="s">
        <v>2219</v>
      </c>
      <c r="N272" t="s">
        <v>131</v>
      </c>
      <c r="O272" t="s">
        <v>549</v>
      </c>
      <c r="P272" t="s">
        <v>85</v>
      </c>
    </row>
    <row r="273" spans="1:16" hidden="1" x14ac:dyDescent="0.25">
      <c r="A273" t="s">
        <v>800</v>
      </c>
      <c r="B273" t="s">
        <v>340</v>
      </c>
      <c r="C273" t="s">
        <v>2169</v>
      </c>
      <c r="D273" t="s">
        <v>582</v>
      </c>
      <c r="E273" t="s">
        <v>74</v>
      </c>
      <c r="F273" t="s">
        <v>1870</v>
      </c>
      <c r="G273" t="s">
        <v>405</v>
      </c>
      <c r="H273">
        <v>200</v>
      </c>
      <c r="J273">
        <v>5500</v>
      </c>
      <c r="K273" t="s">
        <v>100</v>
      </c>
      <c r="L273">
        <v>55</v>
      </c>
      <c r="M273" t="s">
        <v>2219</v>
      </c>
      <c r="N273" t="s">
        <v>131</v>
      </c>
      <c r="O273" t="s">
        <v>549</v>
      </c>
      <c r="P273" t="s">
        <v>85</v>
      </c>
    </row>
    <row r="274" spans="1:16" hidden="1" x14ac:dyDescent="0.25">
      <c r="A274" t="s">
        <v>800</v>
      </c>
      <c r="B274" t="s">
        <v>340</v>
      </c>
      <c r="C274" t="s">
        <v>2169</v>
      </c>
      <c r="D274" t="s">
        <v>582</v>
      </c>
      <c r="E274" t="s">
        <v>74</v>
      </c>
      <c r="F274" t="s">
        <v>1870</v>
      </c>
      <c r="G274" t="s">
        <v>404</v>
      </c>
      <c r="H274">
        <v>350</v>
      </c>
      <c r="J274">
        <v>5500</v>
      </c>
      <c r="K274" t="s">
        <v>100</v>
      </c>
      <c r="L274">
        <v>55</v>
      </c>
      <c r="M274" t="s">
        <v>2219</v>
      </c>
      <c r="N274" t="s">
        <v>131</v>
      </c>
      <c r="O274" t="s">
        <v>549</v>
      </c>
      <c r="P274" t="s">
        <v>85</v>
      </c>
    </row>
    <row r="275" spans="1:16" hidden="1" x14ac:dyDescent="0.25">
      <c r="A275" t="s">
        <v>800</v>
      </c>
      <c r="B275" t="s">
        <v>340</v>
      </c>
      <c r="C275" t="s">
        <v>2169</v>
      </c>
      <c r="D275" t="s">
        <v>582</v>
      </c>
      <c r="E275" t="s">
        <v>74</v>
      </c>
      <c r="F275" t="s">
        <v>1870</v>
      </c>
      <c r="G275" t="s">
        <v>403</v>
      </c>
      <c r="H275">
        <v>50</v>
      </c>
      <c r="J275">
        <v>5500</v>
      </c>
      <c r="K275" t="s">
        <v>100</v>
      </c>
      <c r="L275">
        <v>55</v>
      </c>
      <c r="M275" t="s">
        <v>2219</v>
      </c>
      <c r="N275" t="s">
        <v>131</v>
      </c>
      <c r="O275" t="s">
        <v>549</v>
      </c>
      <c r="P275" t="s">
        <v>85</v>
      </c>
    </row>
    <row r="276" spans="1:16" hidden="1" x14ac:dyDescent="0.25">
      <c r="A276" t="s">
        <v>800</v>
      </c>
      <c r="B276" t="s">
        <v>340</v>
      </c>
      <c r="C276" t="s">
        <v>2169</v>
      </c>
      <c r="D276" t="s">
        <v>582</v>
      </c>
      <c r="E276" t="s">
        <v>74</v>
      </c>
      <c r="F276" t="s">
        <v>1870</v>
      </c>
      <c r="G276" t="s">
        <v>402</v>
      </c>
      <c r="H276">
        <v>150</v>
      </c>
      <c r="J276">
        <v>5500</v>
      </c>
      <c r="K276" t="s">
        <v>100</v>
      </c>
      <c r="L276">
        <v>55</v>
      </c>
      <c r="M276" t="s">
        <v>2219</v>
      </c>
      <c r="N276" t="s">
        <v>131</v>
      </c>
      <c r="O276" t="s">
        <v>549</v>
      </c>
      <c r="P276" t="s">
        <v>85</v>
      </c>
    </row>
    <row r="277" spans="1:16" hidden="1" x14ac:dyDescent="0.25">
      <c r="A277" t="s">
        <v>800</v>
      </c>
      <c r="B277" t="s">
        <v>340</v>
      </c>
      <c r="C277" t="s">
        <v>2169</v>
      </c>
      <c r="D277" t="s">
        <v>582</v>
      </c>
      <c r="E277" t="s">
        <v>74</v>
      </c>
      <c r="F277" t="s">
        <v>1870</v>
      </c>
      <c r="G277" t="s">
        <v>401</v>
      </c>
      <c r="H277">
        <v>400</v>
      </c>
      <c r="J277">
        <v>5500</v>
      </c>
      <c r="K277" t="s">
        <v>100</v>
      </c>
      <c r="L277">
        <v>55</v>
      </c>
      <c r="M277" t="s">
        <v>2219</v>
      </c>
      <c r="N277" t="s">
        <v>131</v>
      </c>
      <c r="O277" t="s">
        <v>549</v>
      </c>
      <c r="P277" t="s">
        <v>85</v>
      </c>
    </row>
    <row r="278" spans="1:16" hidden="1" x14ac:dyDescent="0.25">
      <c r="A278" t="s">
        <v>800</v>
      </c>
      <c r="B278" t="s">
        <v>340</v>
      </c>
      <c r="C278" t="s">
        <v>2169</v>
      </c>
      <c r="D278" t="s">
        <v>582</v>
      </c>
      <c r="E278" t="s">
        <v>74</v>
      </c>
      <c r="F278" t="s">
        <v>1870</v>
      </c>
      <c r="G278" t="s">
        <v>436</v>
      </c>
      <c r="H278">
        <v>150</v>
      </c>
      <c r="J278">
        <v>5511</v>
      </c>
      <c r="K278" t="s">
        <v>106</v>
      </c>
      <c r="L278">
        <v>55</v>
      </c>
      <c r="M278" t="s">
        <v>2219</v>
      </c>
      <c r="N278" t="s">
        <v>131</v>
      </c>
      <c r="O278" t="s">
        <v>549</v>
      </c>
      <c r="P278" t="s">
        <v>85</v>
      </c>
    </row>
    <row r="279" spans="1:16" hidden="1" x14ac:dyDescent="0.25">
      <c r="A279" t="s">
        <v>800</v>
      </c>
      <c r="B279" t="s">
        <v>340</v>
      </c>
      <c r="C279" t="s">
        <v>2169</v>
      </c>
      <c r="D279" t="s">
        <v>582</v>
      </c>
      <c r="E279" t="s">
        <v>74</v>
      </c>
      <c r="F279" t="s">
        <v>1870</v>
      </c>
      <c r="G279" t="s">
        <v>1873</v>
      </c>
      <c r="H279">
        <v>1500</v>
      </c>
      <c r="J279">
        <v>5511</v>
      </c>
      <c r="K279" t="s">
        <v>106</v>
      </c>
      <c r="L279">
        <v>55</v>
      </c>
      <c r="M279" t="s">
        <v>2219</v>
      </c>
      <c r="N279" t="s">
        <v>131</v>
      </c>
      <c r="O279" t="s">
        <v>549</v>
      </c>
      <c r="P279" t="s">
        <v>85</v>
      </c>
    </row>
    <row r="280" spans="1:16" hidden="1" x14ac:dyDescent="0.25">
      <c r="A280" t="s">
        <v>800</v>
      </c>
      <c r="B280" t="s">
        <v>340</v>
      </c>
      <c r="C280" t="s">
        <v>2169</v>
      </c>
      <c r="D280" t="s">
        <v>582</v>
      </c>
      <c r="E280" t="s">
        <v>74</v>
      </c>
      <c r="F280" t="s">
        <v>1870</v>
      </c>
      <c r="G280" t="s">
        <v>415</v>
      </c>
      <c r="H280">
        <v>760</v>
      </c>
      <c r="J280">
        <v>5511</v>
      </c>
      <c r="K280" t="s">
        <v>106</v>
      </c>
      <c r="L280">
        <v>55</v>
      </c>
      <c r="M280" t="s">
        <v>2219</v>
      </c>
      <c r="N280" t="s">
        <v>131</v>
      </c>
      <c r="O280" t="s">
        <v>549</v>
      </c>
      <c r="P280" t="s">
        <v>85</v>
      </c>
    </row>
    <row r="281" spans="1:16" hidden="1" x14ac:dyDescent="0.25">
      <c r="A281" t="s">
        <v>800</v>
      </c>
      <c r="B281" t="s">
        <v>340</v>
      </c>
      <c r="C281" t="s">
        <v>2169</v>
      </c>
      <c r="D281" t="s">
        <v>582</v>
      </c>
      <c r="E281" t="s">
        <v>74</v>
      </c>
      <c r="F281" t="s">
        <v>1870</v>
      </c>
      <c r="G281" t="s">
        <v>414</v>
      </c>
      <c r="H281">
        <v>500</v>
      </c>
      <c r="J281">
        <v>5511</v>
      </c>
      <c r="K281" t="s">
        <v>106</v>
      </c>
      <c r="L281">
        <v>55</v>
      </c>
      <c r="M281" t="s">
        <v>2219</v>
      </c>
      <c r="N281" t="s">
        <v>131</v>
      </c>
      <c r="O281" t="s">
        <v>549</v>
      </c>
      <c r="P281" t="s">
        <v>85</v>
      </c>
    </row>
    <row r="282" spans="1:16" hidden="1" x14ac:dyDescent="0.25">
      <c r="A282" t="s">
        <v>800</v>
      </c>
      <c r="B282" t="s">
        <v>340</v>
      </c>
      <c r="C282" t="s">
        <v>2169</v>
      </c>
      <c r="D282" t="s">
        <v>582</v>
      </c>
      <c r="E282" t="s">
        <v>74</v>
      </c>
      <c r="F282" t="s">
        <v>1870</v>
      </c>
      <c r="G282" t="s">
        <v>413</v>
      </c>
      <c r="H282">
        <v>3000</v>
      </c>
      <c r="J282">
        <v>5511</v>
      </c>
      <c r="K282" t="s">
        <v>106</v>
      </c>
      <c r="L282">
        <v>55</v>
      </c>
      <c r="M282" t="s">
        <v>2219</v>
      </c>
      <c r="N282" t="s">
        <v>131</v>
      </c>
      <c r="O282" t="s">
        <v>549</v>
      </c>
      <c r="P282" t="s">
        <v>85</v>
      </c>
    </row>
    <row r="283" spans="1:16" hidden="1" x14ac:dyDescent="0.25">
      <c r="A283" t="s">
        <v>800</v>
      </c>
      <c r="B283" t="s">
        <v>340</v>
      </c>
      <c r="C283" t="s">
        <v>2169</v>
      </c>
      <c r="D283" t="s">
        <v>582</v>
      </c>
      <c r="E283" t="s">
        <v>74</v>
      </c>
      <c r="F283" t="s">
        <v>1870</v>
      </c>
      <c r="G283" t="s">
        <v>412</v>
      </c>
      <c r="H283">
        <v>120</v>
      </c>
      <c r="J283">
        <v>5511</v>
      </c>
      <c r="K283" t="s">
        <v>106</v>
      </c>
      <c r="L283">
        <v>55</v>
      </c>
      <c r="M283" t="s">
        <v>2219</v>
      </c>
      <c r="N283" t="s">
        <v>131</v>
      </c>
      <c r="O283" t="s">
        <v>549</v>
      </c>
      <c r="P283" t="s">
        <v>85</v>
      </c>
    </row>
    <row r="284" spans="1:16" hidden="1" x14ac:dyDescent="0.25">
      <c r="A284" t="s">
        <v>800</v>
      </c>
      <c r="B284" t="s">
        <v>340</v>
      </c>
      <c r="C284" t="s">
        <v>2169</v>
      </c>
      <c r="D284" t="s">
        <v>582</v>
      </c>
      <c r="E284" t="s">
        <v>74</v>
      </c>
      <c r="F284" t="s">
        <v>1870</v>
      </c>
      <c r="G284" t="s">
        <v>180</v>
      </c>
      <c r="H284">
        <v>500</v>
      </c>
      <c r="J284">
        <v>5511</v>
      </c>
      <c r="K284" t="s">
        <v>106</v>
      </c>
      <c r="L284">
        <v>55</v>
      </c>
      <c r="M284" t="s">
        <v>2219</v>
      </c>
      <c r="N284" t="s">
        <v>131</v>
      </c>
      <c r="O284" t="s">
        <v>549</v>
      </c>
      <c r="P284" t="s">
        <v>85</v>
      </c>
    </row>
    <row r="285" spans="1:16" hidden="1" x14ac:dyDescent="0.25">
      <c r="A285" t="s">
        <v>800</v>
      </c>
      <c r="B285" t="s">
        <v>340</v>
      </c>
      <c r="C285" t="s">
        <v>2169</v>
      </c>
      <c r="D285" t="s">
        <v>582</v>
      </c>
      <c r="E285" t="s">
        <v>74</v>
      </c>
      <c r="F285" t="s">
        <v>1870</v>
      </c>
      <c r="G285" t="s">
        <v>411</v>
      </c>
      <c r="H285">
        <v>2600</v>
      </c>
      <c r="J285">
        <v>5511</v>
      </c>
      <c r="K285" t="s">
        <v>106</v>
      </c>
      <c r="L285">
        <v>55</v>
      </c>
      <c r="M285" t="s">
        <v>2219</v>
      </c>
      <c r="N285" t="s">
        <v>131</v>
      </c>
      <c r="O285" t="s">
        <v>549</v>
      </c>
      <c r="P285" t="s">
        <v>85</v>
      </c>
    </row>
    <row r="286" spans="1:16" hidden="1" x14ac:dyDescent="0.25">
      <c r="A286" t="s">
        <v>800</v>
      </c>
      <c r="B286" t="s">
        <v>340</v>
      </c>
      <c r="C286" t="s">
        <v>2169</v>
      </c>
      <c r="D286" t="s">
        <v>582</v>
      </c>
      <c r="E286" t="s">
        <v>74</v>
      </c>
      <c r="F286" t="s">
        <v>1870</v>
      </c>
      <c r="G286" t="s">
        <v>410</v>
      </c>
      <c r="H286">
        <v>500</v>
      </c>
      <c r="J286">
        <v>5511</v>
      </c>
      <c r="K286" t="s">
        <v>106</v>
      </c>
      <c r="L286">
        <v>55</v>
      </c>
      <c r="M286" t="s">
        <v>2219</v>
      </c>
      <c r="N286" t="s">
        <v>131</v>
      </c>
      <c r="O286" t="s">
        <v>549</v>
      </c>
      <c r="P286" t="s">
        <v>85</v>
      </c>
    </row>
    <row r="287" spans="1:16" hidden="1" x14ac:dyDescent="0.25">
      <c r="A287" t="s">
        <v>800</v>
      </c>
      <c r="B287" t="s">
        <v>340</v>
      </c>
      <c r="C287" t="s">
        <v>2169</v>
      </c>
      <c r="D287" t="s">
        <v>582</v>
      </c>
      <c r="E287" t="s">
        <v>74</v>
      </c>
      <c r="F287" t="s">
        <v>1870</v>
      </c>
      <c r="G287" t="s">
        <v>178</v>
      </c>
      <c r="H287">
        <v>6000</v>
      </c>
      <c r="J287">
        <v>5511</v>
      </c>
      <c r="K287" t="s">
        <v>106</v>
      </c>
      <c r="L287">
        <v>55</v>
      </c>
      <c r="M287" t="s">
        <v>2219</v>
      </c>
      <c r="N287" t="s">
        <v>131</v>
      </c>
      <c r="O287" t="s">
        <v>549</v>
      </c>
      <c r="P287" t="s">
        <v>85</v>
      </c>
    </row>
    <row r="288" spans="1:16" hidden="1" x14ac:dyDescent="0.25">
      <c r="A288" t="s">
        <v>800</v>
      </c>
      <c r="B288" t="s">
        <v>340</v>
      </c>
      <c r="C288" t="s">
        <v>2169</v>
      </c>
      <c r="D288" t="s">
        <v>582</v>
      </c>
      <c r="E288" t="s">
        <v>74</v>
      </c>
      <c r="F288" t="s">
        <v>1870</v>
      </c>
      <c r="G288" t="s">
        <v>177</v>
      </c>
      <c r="H288">
        <v>20000</v>
      </c>
      <c r="J288">
        <v>5511</v>
      </c>
      <c r="K288" t="s">
        <v>106</v>
      </c>
      <c r="L288">
        <v>55</v>
      </c>
      <c r="M288" t="s">
        <v>2219</v>
      </c>
      <c r="N288" t="s">
        <v>131</v>
      </c>
      <c r="O288" t="s">
        <v>549</v>
      </c>
      <c r="P288" t="s">
        <v>85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9"/>
  <sheetViews>
    <sheetView workbookViewId="0">
      <selection activeCell="C5" sqref="C5:C7"/>
    </sheetView>
  </sheetViews>
  <sheetFormatPr defaultRowHeight="15" x14ac:dyDescent="0.25"/>
  <cols>
    <col min="1" max="1" width="18.140625" bestFit="1" customWidth="1"/>
    <col min="2" max="2" width="15.42578125" customWidth="1"/>
    <col min="3" max="3" width="9.140625" customWidth="1"/>
    <col min="4" max="4" width="10" bestFit="1" customWidth="1"/>
    <col min="5" max="5" width="18.140625" bestFit="1" customWidth="1"/>
  </cols>
  <sheetData>
    <row r="3" spans="1:8" x14ac:dyDescent="0.25">
      <c r="A3" s="4" t="s">
        <v>396</v>
      </c>
      <c r="B3" t="s">
        <v>399</v>
      </c>
    </row>
    <row r="4" spans="1:8" x14ac:dyDescent="0.25">
      <c r="A4" s="5" t="s">
        <v>377</v>
      </c>
      <c r="B4" s="3">
        <v>70000</v>
      </c>
      <c r="D4" s="2">
        <f>SUM(B4:C4)</f>
        <v>70000</v>
      </c>
      <c r="E4" t="s">
        <v>379</v>
      </c>
      <c r="F4">
        <v>7008</v>
      </c>
      <c r="G4">
        <v>2368.7040000000002</v>
      </c>
      <c r="H4">
        <f>SUM(F4:G4)</f>
        <v>9376.7039999999997</v>
      </c>
    </row>
    <row r="5" spans="1:8" x14ac:dyDescent="0.25">
      <c r="A5" s="5" t="s">
        <v>373</v>
      </c>
      <c r="B5" s="3">
        <v>50095</v>
      </c>
      <c r="C5">
        <f>H5</f>
        <v>124233.3</v>
      </c>
      <c r="D5" s="2">
        <f t="shared" ref="D5:D7" si="0">SUM(B5:C5)</f>
        <v>174328.3</v>
      </c>
      <c r="E5" t="s">
        <v>373</v>
      </c>
      <c r="F5">
        <v>92850</v>
      </c>
      <c r="G5">
        <v>31383.300000000003</v>
      </c>
      <c r="H5">
        <f t="shared" ref="H5:H6" si="1">SUM(F5:G5)</f>
        <v>124233.3</v>
      </c>
    </row>
    <row r="6" spans="1:8" x14ac:dyDescent="0.25">
      <c r="A6" s="5" t="s">
        <v>375</v>
      </c>
      <c r="B6" s="3">
        <v>258762</v>
      </c>
      <c r="C6">
        <f>H6</f>
        <v>183975.0016056</v>
      </c>
      <c r="D6" s="2">
        <f t="shared" si="0"/>
        <v>442737.0016056</v>
      </c>
      <c r="E6" t="s">
        <v>375</v>
      </c>
      <c r="F6">
        <v>137500.0012</v>
      </c>
      <c r="G6">
        <v>46475.000405600003</v>
      </c>
      <c r="H6">
        <f t="shared" si="1"/>
        <v>183975.0016056</v>
      </c>
    </row>
    <row r="7" spans="1:8" x14ac:dyDescent="0.25">
      <c r="A7" s="5" t="s">
        <v>379</v>
      </c>
      <c r="B7" s="3">
        <v>4090</v>
      </c>
      <c r="C7">
        <f>H4</f>
        <v>9376.7039999999997</v>
      </c>
      <c r="D7" s="2">
        <f t="shared" si="0"/>
        <v>13466.704</v>
      </c>
    </row>
    <row r="8" spans="1:8" x14ac:dyDescent="0.25">
      <c r="A8" s="5" t="s">
        <v>397</v>
      </c>
      <c r="B8" s="3">
        <v>382947</v>
      </c>
      <c r="D8" s="7">
        <f>SUM(D4:D7)</f>
        <v>700532.00560559996</v>
      </c>
    </row>
    <row r="9" spans="1:8" x14ac:dyDescent="0.25">
      <c r="D9" s="2"/>
    </row>
  </sheetData>
  <pageMargins left="0.7" right="0.7" top="0.75" bottom="0.75" header="0.3" footer="0.3"/>
  <pageSetup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workbookViewId="0">
      <selection activeCell="G15" sqref="G15"/>
    </sheetView>
  </sheetViews>
  <sheetFormatPr defaultRowHeight="15" x14ac:dyDescent="0.25"/>
  <cols>
    <col min="1" max="1" width="11.5703125" customWidth="1"/>
    <col min="2" max="2" width="13" customWidth="1"/>
    <col min="3" max="3" width="21.7109375" customWidth="1"/>
    <col min="4" max="4" width="23.28515625" customWidth="1"/>
    <col min="5" max="5" width="26.28515625" customWidth="1"/>
    <col min="6" max="6" width="21.85546875" customWidth="1"/>
    <col min="7" max="7" width="19.7109375" customWidth="1"/>
    <col min="8" max="8" width="10.85546875" customWidth="1"/>
    <col min="9" max="9" width="12" customWidth="1"/>
    <col min="11" max="11" width="16.140625" customWidth="1"/>
    <col min="12" max="12" width="15.85546875" customWidth="1"/>
    <col min="13" max="13" width="14" customWidth="1"/>
    <col min="14" max="14" width="24" customWidth="1"/>
    <col min="15" max="16" width="21" customWidth="1"/>
  </cols>
  <sheetData>
    <row r="1" spans="1:16" x14ac:dyDescent="0.25">
      <c r="A1" t="s">
        <v>7</v>
      </c>
      <c r="B1" t="s">
        <v>1</v>
      </c>
      <c r="C1" t="s">
        <v>246</v>
      </c>
      <c r="D1" t="s">
        <v>490</v>
      </c>
      <c r="E1" t="s">
        <v>67</v>
      </c>
      <c r="F1" t="s">
        <v>5</v>
      </c>
      <c r="G1" t="s">
        <v>6</v>
      </c>
      <c r="H1" t="s">
        <v>398</v>
      </c>
      <c r="I1" t="s">
        <v>165</v>
      </c>
      <c r="J1" t="s">
        <v>2</v>
      </c>
      <c r="K1" t="s">
        <v>91</v>
      </c>
      <c r="L1" t="s">
        <v>77</v>
      </c>
      <c r="M1" t="s">
        <v>9</v>
      </c>
      <c r="N1" t="s">
        <v>160</v>
      </c>
      <c r="O1" t="s">
        <v>2009</v>
      </c>
      <c r="P1" t="s">
        <v>135</v>
      </c>
    </row>
    <row r="2" spans="1:16" hidden="1" x14ac:dyDescent="0.25">
      <c r="A2" t="s">
        <v>801</v>
      </c>
      <c r="B2" t="s">
        <v>378</v>
      </c>
      <c r="C2" t="s">
        <v>379</v>
      </c>
      <c r="D2" t="s">
        <v>589</v>
      </c>
      <c r="E2" t="s">
        <v>75</v>
      </c>
      <c r="F2" t="s">
        <v>437</v>
      </c>
      <c r="G2" t="s">
        <v>444</v>
      </c>
      <c r="H2">
        <v>50</v>
      </c>
      <c r="J2">
        <v>5511</v>
      </c>
      <c r="K2" t="s">
        <v>106</v>
      </c>
      <c r="L2">
        <v>55</v>
      </c>
      <c r="M2" t="s">
        <v>2219</v>
      </c>
      <c r="N2" t="s">
        <v>131</v>
      </c>
      <c r="O2" t="s">
        <v>549</v>
      </c>
      <c r="P2" t="s">
        <v>85</v>
      </c>
    </row>
    <row r="3" spans="1:16" hidden="1" x14ac:dyDescent="0.25">
      <c r="A3" t="s">
        <v>801</v>
      </c>
      <c r="B3" t="s">
        <v>378</v>
      </c>
      <c r="C3" t="s">
        <v>379</v>
      </c>
      <c r="D3" t="s">
        <v>589</v>
      </c>
      <c r="E3" t="s">
        <v>75</v>
      </c>
      <c r="F3" t="s">
        <v>437</v>
      </c>
      <c r="G3" t="s">
        <v>443</v>
      </c>
      <c r="H3">
        <v>50</v>
      </c>
      <c r="J3">
        <v>5511</v>
      </c>
      <c r="K3" t="s">
        <v>106</v>
      </c>
      <c r="L3">
        <v>55</v>
      </c>
      <c r="M3" t="s">
        <v>2219</v>
      </c>
      <c r="N3" t="s">
        <v>131</v>
      </c>
      <c r="O3" t="s">
        <v>549</v>
      </c>
      <c r="P3" t="s">
        <v>85</v>
      </c>
    </row>
    <row r="4" spans="1:16" hidden="1" x14ac:dyDescent="0.25">
      <c r="A4" t="s">
        <v>801</v>
      </c>
      <c r="B4" t="s">
        <v>378</v>
      </c>
      <c r="C4" t="s">
        <v>379</v>
      </c>
      <c r="D4" t="s">
        <v>589</v>
      </c>
      <c r="E4" t="s">
        <v>75</v>
      </c>
      <c r="F4" t="s">
        <v>437</v>
      </c>
      <c r="G4" t="s">
        <v>441</v>
      </c>
      <c r="H4">
        <v>100</v>
      </c>
      <c r="J4">
        <v>5511</v>
      </c>
      <c r="K4" t="s">
        <v>106</v>
      </c>
      <c r="L4">
        <v>55</v>
      </c>
      <c r="M4" t="s">
        <v>2219</v>
      </c>
      <c r="N4" t="s">
        <v>131</v>
      </c>
      <c r="O4" t="s">
        <v>549</v>
      </c>
      <c r="P4" t="s">
        <v>85</v>
      </c>
    </row>
    <row r="5" spans="1:16" hidden="1" x14ac:dyDescent="0.25">
      <c r="A5" t="s">
        <v>801</v>
      </c>
      <c r="B5" t="s">
        <v>378</v>
      </c>
      <c r="C5" t="s">
        <v>379</v>
      </c>
      <c r="D5" t="s">
        <v>589</v>
      </c>
      <c r="E5" t="s">
        <v>75</v>
      </c>
      <c r="F5" t="s">
        <v>437</v>
      </c>
      <c r="G5" t="s">
        <v>449</v>
      </c>
      <c r="H5">
        <v>500</v>
      </c>
      <c r="J5">
        <v>5525</v>
      </c>
      <c r="K5" t="s">
        <v>118</v>
      </c>
      <c r="L5">
        <v>55</v>
      </c>
      <c r="M5" t="s">
        <v>2219</v>
      </c>
      <c r="N5" t="s">
        <v>131</v>
      </c>
      <c r="O5" t="s">
        <v>549</v>
      </c>
      <c r="P5" t="s">
        <v>85</v>
      </c>
    </row>
    <row r="6" spans="1:16" hidden="1" x14ac:dyDescent="0.25">
      <c r="A6" t="s">
        <v>801</v>
      </c>
      <c r="B6" t="s">
        <v>378</v>
      </c>
      <c r="C6" t="s">
        <v>379</v>
      </c>
      <c r="D6" t="s">
        <v>589</v>
      </c>
      <c r="E6" t="s">
        <v>75</v>
      </c>
      <c r="F6" t="s">
        <v>437</v>
      </c>
      <c r="G6" t="s">
        <v>448</v>
      </c>
      <c r="H6">
        <v>1350</v>
      </c>
      <c r="J6">
        <v>5525</v>
      </c>
      <c r="K6" t="s">
        <v>118</v>
      </c>
      <c r="L6">
        <v>55</v>
      </c>
      <c r="M6" t="s">
        <v>2219</v>
      </c>
      <c r="N6" t="s">
        <v>131</v>
      </c>
      <c r="O6" t="s">
        <v>549</v>
      </c>
      <c r="P6" t="s">
        <v>85</v>
      </c>
    </row>
    <row r="7" spans="1:16" hidden="1" x14ac:dyDescent="0.25">
      <c r="A7" t="s">
        <v>801</v>
      </c>
      <c r="B7" t="s">
        <v>378</v>
      </c>
      <c r="C7" t="s">
        <v>379</v>
      </c>
      <c r="D7" t="s">
        <v>589</v>
      </c>
      <c r="E7" t="s">
        <v>75</v>
      </c>
      <c r="F7" t="s">
        <v>437</v>
      </c>
      <c r="G7" t="s">
        <v>447</v>
      </c>
      <c r="H7">
        <v>640</v>
      </c>
      <c r="J7">
        <v>5525</v>
      </c>
      <c r="K7" t="s">
        <v>118</v>
      </c>
      <c r="L7">
        <v>55</v>
      </c>
      <c r="M7" t="s">
        <v>2219</v>
      </c>
      <c r="N7" t="s">
        <v>131</v>
      </c>
      <c r="O7" t="s">
        <v>549</v>
      </c>
      <c r="P7" t="s">
        <v>85</v>
      </c>
    </row>
    <row r="8" spans="1:16" hidden="1" x14ac:dyDescent="0.25">
      <c r="A8" t="s">
        <v>801</v>
      </c>
      <c r="B8" t="s">
        <v>378</v>
      </c>
      <c r="C8" t="s">
        <v>379</v>
      </c>
      <c r="D8" t="s">
        <v>589</v>
      </c>
      <c r="E8" t="s">
        <v>75</v>
      </c>
      <c r="F8" t="s">
        <v>437</v>
      </c>
      <c r="G8" t="s">
        <v>446</v>
      </c>
      <c r="H8">
        <v>100</v>
      </c>
      <c r="J8">
        <v>5525</v>
      </c>
      <c r="K8" t="s">
        <v>118</v>
      </c>
      <c r="L8">
        <v>55</v>
      </c>
      <c r="M8" t="s">
        <v>2219</v>
      </c>
      <c r="N8" t="s">
        <v>131</v>
      </c>
      <c r="O8" t="s">
        <v>549</v>
      </c>
      <c r="P8" t="s">
        <v>85</v>
      </c>
    </row>
    <row r="9" spans="1:16" hidden="1" x14ac:dyDescent="0.25">
      <c r="A9" t="s">
        <v>801</v>
      </c>
      <c r="B9" t="s">
        <v>378</v>
      </c>
      <c r="C9" t="s">
        <v>379</v>
      </c>
      <c r="D9" t="s">
        <v>589</v>
      </c>
      <c r="E9" t="s">
        <v>75</v>
      </c>
      <c r="F9" t="s">
        <v>437</v>
      </c>
      <c r="G9" t="s">
        <v>445</v>
      </c>
      <c r="H9">
        <v>200</v>
      </c>
      <c r="J9">
        <v>5525</v>
      </c>
      <c r="K9" t="s">
        <v>118</v>
      </c>
      <c r="L9">
        <v>55</v>
      </c>
      <c r="M9" t="s">
        <v>2219</v>
      </c>
      <c r="N9" t="s">
        <v>131</v>
      </c>
      <c r="O9" t="s">
        <v>549</v>
      </c>
      <c r="P9" t="s">
        <v>85</v>
      </c>
    </row>
    <row r="10" spans="1:16" hidden="1" x14ac:dyDescent="0.25">
      <c r="A10" t="s">
        <v>801</v>
      </c>
      <c r="B10" t="s">
        <v>378</v>
      </c>
      <c r="C10" t="s">
        <v>379</v>
      </c>
      <c r="D10" t="s">
        <v>589</v>
      </c>
      <c r="E10" t="s">
        <v>75</v>
      </c>
      <c r="F10" t="s">
        <v>437</v>
      </c>
      <c r="G10" t="s">
        <v>442</v>
      </c>
      <c r="H10">
        <v>760</v>
      </c>
      <c r="J10">
        <v>5513</v>
      </c>
      <c r="K10" t="s">
        <v>111</v>
      </c>
      <c r="L10">
        <v>55</v>
      </c>
      <c r="M10" t="s">
        <v>2219</v>
      </c>
      <c r="N10" t="s">
        <v>131</v>
      </c>
      <c r="O10" t="s">
        <v>549</v>
      </c>
      <c r="P10" t="s">
        <v>85</v>
      </c>
    </row>
    <row r="11" spans="1:16" hidden="1" x14ac:dyDescent="0.25">
      <c r="A11" t="s">
        <v>801</v>
      </c>
      <c r="B11" t="s">
        <v>378</v>
      </c>
      <c r="C11" t="s">
        <v>379</v>
      </c>
      <c r="D11" t="s">
        <v>589</v>
      </c>
      <c r="E11" t="s">
        <v>75</v>
      </c>
      <c r="F11" t="s">
        <v>437</v>
      </c>
      <c r="G11" t="s">
        <v>102</v>
      </c>
      <c r="H11">
        <v>50</v>
      </c>
      <c r="J11">
        <v>5504</v>
      </c>
      <c r="K11" t="s">
        <v>102</v>
      </c>
      <c r="L11">
        <v>55</v>
      </c>
      <c r="M11" t="s">
        <v>2219</v>
      </c>
      <c r="N11" t="s">
        <v>131</v>
      </c>
      <c r="O11" t="s">
        <v>549</v>
      </c>
      <c r="P11" t="s">
        <v>85</v>
      </c>
    </row>
    <row r="12" spans="1:16" hidden="1" x14ac:dyDescent="0.25">
      <c r="A12" t="s">
        <v>801</v>
      </c>
      <c r="B12" t="s">
        <v>378</v>
      </c>
      <c r="C12" t="s">
        <v>379</v>
      </c>
      <c r="D12" t="s">
        <v>589</v>
      </c>
      <c r="E12" t="s">
        <v>75</v>
      </c>
      <c r="F12" t="s">
        <v>437</v>
      </c>
      <c r="G12" t="s">
        <v>440</v>
      </c>
      <c r="H12">
        <v>200</v>
      </c>
      <c r="J12">
        <v>5500</v>
      </c>
      <c r="K12" t="s">
        <v>100</v>
      </c>
      <c r="L12">
        <v>55</v>
      </c>
      <c r="M12" t="s">
        <v>2219</v>
      </c>
      <c r="N12" t="s">
        <v>131</v>
      </c>
      <c r="O12" t="s">
        <v>549</v>
      </c>
      <c r="P12" t="s">
        <v>85</v>
      </c>
    </row>
    <row r="13" spans="1:16" hidden="1" x14ac:dyDescent="0.25">
      <c r="A13" t="s">
        <v>801</v>
      </c>
      <c r="B13" t="s">
        <v>378</v>
      </c>
      <c r="C13" t="s">
        <v>379</v>
      </c>
      <c r="D13" t="s">
        <v>589</v>
      </c>
      <c r="E13" t="s">
        <v>75</v>
      </c>
      <c r="F13" t="s">
        <v>437</v>
      </c>
      <c r="G13" t="s">
        <v>439</v>
      </c>
      <c r="H13">
        <v>50</v>
      </c>
      <c r="J13">
        <v>5500</v>
      </c>
      <c r="K13" t="s">
        <v>100</v>
      </c>
      <c r="L13">
        <v>55</v>
      </c>
      <c r="M13" t="s">
        <v>2219</v>
      </c>
      <c r="N13" t="s">
        <v>131</v>
      </c>
      <c r="O13" t="s">
        <v>549</v>
      </c>
      <c r="P13" t="s">
        <v>85</v>
      </c>
    </row>
    <row r="14" spans="1:16" hidden="1" x14ac:dyDescent="0.25">
      <c r="A14" t="s">
        <v>801</v>
      </c>
      <c r="B14" t="s">
        <v>378</v>
      </c>
      <c r="C14" t="s">
        <v>379</v>
      </c>
      <c r="D14" t="s">
        <v>589</v>
      </c>
      <c r="E14" t="s">
        <v>75</v>
      </c>
      <c r="F14" t="s">
        <v>437</v>
      </c>
      <c r="G14" t="s">
        <v>438</v>
      </c>
      <c r="H14">
        <v>40</v>
      </c>
      <c r="J14">
        <v>5500</v>
      </c>
      <c r="K14" t="s">
        <v>100</v>
      </c>
      <c r="L14">
        <v>55</v>
      </c>
      <c r="M14" t="s">
        <v>2219</v>
      </c>
      <c r="N14" t="s">
        <v>131</v>
      </c>
      <c r="O14" t="s">
        <v>549</v>
      </c>
      <c r="P14" t="s">
        <v>85</v>
      </c>
    </row>
    <row r="15" spans="1:16" x14ac:dyDescent="0.25">
      <c r="A15" t="s">
        <v>801</v>
      </c>
      <c r="B15" t="s">
        <v>376</v>
      </c>
      <c r="C15" t="s">
        <v>377</v>
      </c>
      <c r="D15" t="s">
        <v>589</v>
      </c>
      <c r="E15" t="s">
        <v>75</v>
      </c>
      <c r="F15" t="s">
        <v>462</v>
      </c>
      <c r="G15" t="s">
        <v>700</v>
      </c>
      <c r="H15">
        <v>70000</v>
      </c>
      <c r="J15">
        <v>5526</v>
      </c>
      <c r="K15" t="s">
        <v>119</v>
      </c>
      <c r="L15">
        <v>55</v>
      </c>
      <c r="M15" t="s">
        <v>2219</v>
      </c>
      <c r="N15" t="s">
        <v>131</v>
      </c>
      <c r="O15" t="s">
        <v>549</v>
      </c>
      <c r="P15" t="s">
        <v>85</v>
      </c>
    </row>
    <row r="16" spans="1:16" hidden="1" x14ac:dyDescent="0.25">
      <c r="A16" t="s">
        <v>801</v>
      </c>
      <c r="B16" t="s">
        <v>374</v>
      </c>
      <c r="C16" t="s">
        <v>375</v>
      </c>
      <c r="D16" t="s">
        <v>589</v>
      </c>
      <c r="E16" t="s">
        <v>75</v>
      </c>
      <c r="F16" t="s">
        <v>1641</v>
      </c>
      <c r="G16" t="s">
        <v>1662</v>
      </c>
      <c r="H16">
        <v>-12000</v>
      </c>
      <c r="I16" t="s">
        <v>2151</v>
      </c>
      <c r="J16">
        <v>5522</v>
      </c>
      <c r="K16" t="s">
        <v>115</v>
      </c>
      <c r="L16">
        <v>55</v>
      </c>
      <c r="M16" t="s">
        <v>2219</v>
      </c>
      <c r="N16" t="s">
        <v>131</v>
      </c>
      <c r="O16" t="s">
        <v>549</v>
      </c>
      <c r="P16" t="s">
        <v>85</v>
      </c>
    </row>
    <row r="17" spans="1:16" hidden="1" x14ac:dyDescent="0.25">
      <c r="A17" t="s">
        <v>801</v>
      </c>
      <c r="B17" t="s">
        <v>374</v>
      </c>
      <c r="C17" t="s">
        <v>375</v>
      </c>
      <c r="D17" t="s">
        <v>589</v>
      </c>
      <c r="E17" t="s">
        <v>75</v>
      </c>
      <c r="F17" t="s">
        <v>1641</v>
      </c>
      <c r="G17" t="s">
        <v>1662</v>
      </c>
      <c r="H17">
        <v>12000</v>
      </c>
      <c r="J17">
        <v>5522</v>
      </c>
      <c r="K17" t="s">
        <v>115</v>
      </c>
      <c r="L17">
        <v>55</v>
      </c>
      <c r="M17" t="s">
        <v>2219</v>
      </c>
      <c r="N17" t="s">
        <v>131</v>
      </c>
      <c r="O17" t="s">
        <v>549</v>
      </c>
      <c r="P17" t="s">
        <v>85</v>
      </c>
    </row>
    <row r="18" spans="1:16" hidden="1" x14ac:dyDescent="0.25">
      <c r="A18" t="s">
        <v>801</v>
      </c>
      <c r="B18" t="s">
        <v>374</v>
      </c>
      <c r="C18" t="s">
        <v>375</v>
      </c>
      <c r="D18" t="s">
        <v>589</v>
      </c>
      <c r="E18" t="s">
        <v>75</v>
      </c>
      <c r="F18" t="s">
        <v>1641</v>
      </c>
      <c r="G18" t="s">
        <v>1661</v>
      </c>
      <c r="H18">
        <v>-2200</v>
      </c>
      <c r="I18" t="s">
        <v>2150</v>
      </c>
      <c r="J18">
        <v>5521</v>
      </c>
      <c r="K18" t="s">
        <v>114</v>
      </c>
      <c r="L18">
        <v>55</v>
      </c>
      <c r="M18" t="s">
        <v>2219</v>
      </c>
      <c r="N18" t="s">
        <v>131</v>
      </c>
      <c r="O18" t="s">
        <v>549</v>
      </c>
      <c r="P18" t="s">
        <v>85</v>
      </c>
    </row>
    <row r="19" spans="1:16" hidden="1" x14ac:dyDescent="0.25">
      <c r="A19" t="s">
        <v>801</v>
      </c>
      <c r="B19" t="s">
        <v>374</v>
      </c>
      <c r="C19" t="s">
        <v>375</v>
      </c>
      <c r="D19" t="s">
        <v>589</v>
      </c>
      <c r="E19" t="s">
        <v>75</v>
      </c>
      <c r="F19" t="s">
        <v>1641</v>
      </c>
      <c r="G19" t="s">
        <v>1652</v>
      </c>
      <c r="H19">
        <v>100</v>
      </c>
      <c r="J19">
        <v>5514</v>
      </c>
      <c r="K19" t="s">
        <v>110</v>
      </c>
      <c r="L19">
        <v>55</v>
      </c>
      <c r="M19" t="s">
        <v>2219</v>
      </c>
      <c r="N19" t="s">
        <v>131</v>
      </c>
      <c r="O19" t="s">
        <v>549</v>
      </c>
      <c r="P19" t="s">
        <v>85</v>
      </c>
    </row>
    <row r="20" spans="1:16" hidden="1" x14ac:dyDescent="0.25">
      <c r="A20" t="s">
        <v>801</v>
      </c>
      <c r="B20" t="s">
        <v>374</v>
      </c>
      <c r="C20" t="s">
        <v>375</v>
      </c>
      <c r="D20" t="s">
        <v>589</v>
      </c>
      <c r="E20" t="s">
        <v>75</v>
      </c>
      <c r="F20" t="s">
        <v>1641</v>
      </c>
      <c r="G20" t="s">
        <v>1653</v>
      </c>
      <c r="H20">
        <v>650</v>
      </c>
      <c r="J20">
        <v>5514</v>
      </c>
      <c r="K20" t="s">
        <v>110</v>
      </c>
      <c r="L20">
        <v>55</v>
      </c>
      <c r="M20" t="s">
        <v>2219</v>
      </c>
      <c r="N20" t="s">
        <v>131</v>
      </c>
      <c r="O20" t="s">
        <v>549</v>
      </c>
      <c r="P20" t="s">
        <v>85</v>
      </c>
    </row>
    <row r="21" spans="1:16" hidden="1" x14ac:dyDescent="0.25">
      <c r="A21" t="s">
        <v>801</v>
      </c>
      <c r="B21" t="s">
        <v>374</v>
      </c>
      <c r="C21" t="s">
        <v>375</v>
      </c>
      <c r="D21" t="s">
        <v>589</v>
      </c>
      <c r="E21" t="s">
        <v>75</v>
      </c>
      <c r="F21" t="s">
        <v>1641</v>
      </c>
      <c r="G21" t="s">
        <v>1645</v>
      </c>
      <c r="H21">
        <v>180</v>
      </c>
      <c r="J21">
        <v>5511</v>
      </c>
      <c r="K21" t="s">
        <v>106</v>
      </c>
      <c r="L21">
        <v>55</v>
      </c>
      <c r="M21" t="s">
        <v>2219</v>
      </c>
      <c r="N21" t="s">
        <v>131</v>
      </c>
      <c r="O21" t="s">
        <v>549</v>
      </c>
      <c r="P21" t="s">
        <v>85</v>
      </c>
    </row>
    <row r="22" spans="1:16" hidden="1" x14ac:dyDescent="0.25">
      <c r="A22" t="s">
        <v>801</v>
      </c>
      <c r="B22" t="s">
        <v>374</v>
      </c>
      <c r="C22" t="s">
        <v>375</v>
      </c>
      <c r="D22" t="s">
        <v>589</v>
      </c>
      <c r="E22" t="s">
        <v>75</v>
      </c>
      <c r="F22" t="s">
        <v>1641</v>
      </c>
      <c r="G22" t="s">
        <v>1646</v>
      </c>
      <c r="H22">
        <v>6000</v>
      </c>
      <c r="J22">
        <v>5511</v>
      </c>
      <c r="K22" t="s">
        <v>106</v>
      </c>
      <c r="L22">
        <v>55</v>
      </c>
      <c r="M22" t="s">
        <v>2219</v>
      </c>
      <c r="N22" t="s">
        <v>131</v>
      </c>
      <c r="O22" t="s">
        <v>549</v>
      </c>
      <c r="P22" t="s">
        <v>85</v>
      </c>
    </row>
    <row r="23" spans="1:16" hidden="1" x14ac:dyDescent="0.25">
      <c r="A23" t="s">
        <v>801</v>
      </c>
      <c r="B23" t="s">
        <v>374</v>
      </c>
      <c r="C23" t="s">
        <v>375</v>
      </c>
      <c r="D23" t="s">
        <v>589</v>
      </c>
      <c r="E23" t="s">
        <v>75</v>
      </c>
      <c r="F23" t="s">
        <v>1641</v>
      </c>
      <c r="G23" t="s">
        <v>1647</v>
      </c>
      <c r="H23">
        <v>900</v>
      </c>
      <c r="J23">
        <v>5511</v>
      </c>
      <c r="K23" t="s">
        <v>106</v>
      </c>
      <c r="L23">
        <v>55</v>
      </c>
      <c r="M23" t="s">
        <v>2219</v>
      </c>
      <c r="N23" t="s">
        <v>131</v>
      </c>
      <c r="O23" t="s">
        <v>549</v>
      </c>
      <c r="P23" t="s">
        <v>85</v>
      </c>
    </row>
    <row r="24" spans="1:16" hidden="1" x14ac:dyDescent="0.25">
      <c r="A24" t="s">
        <v>801</v>
      </c>
      <c r="B24" t="s">
        <v>374</v>
      </c>
      <c r="C24" t="s">
        <v>375</v>
      </c>
      <c r="D24" t="s">
        <v>589</v>
      </c>
      <c r="E24" t="s">
        <v>75</v>
      </c>
      <c r="F24" t="s">
        <v>1641</v>
      </c>
      <c r="G24" t="s">
        <v>1648</v>
      </c>
      <c r="H24">
        <v>1000</v>
      </c>
      <c r="J24">
        <v>5511</v>
      </c>
      <c r="K24" t="s">
        <v>106</v>
      </c>
      <c r="L24">
        <v>55</v>
      </c>
      <c r="M24" t="s">
        <v>2219</v>
      </c>
      <c r="N24" t="s">
        <v>131</v>
      </c>
      <c r="O24" t="s">
        <v>549</v>
      </c>
      <c r="P24" t="s">
        <v>85</v>
      </c>
    </row>
    <row r="25" spans="1:16" hidden="1" x14ac:dyDescent="0.25">
      <c r="A25" t="s">
        <v>801</v>
      </c>
      <c r="B25" t="s">
        <v>374</v>
      </c>
      <c r="C25" t="s">
        <v>375</v>
      </c>
      <c r="D25" t="s">
        <v>589</v>
      </c>
      <c r="E25" t="s">
        <v>75</v>
      </c>
      <c r="F25" t="s">
        <v>1641</v>
      </c>
      <c r="G25" t="s">
        <v>443</v>
      </c>
      <c r="H25">
        <v>2400</v>
      </c>
      <c r="J25">
        <v>5511</v>
      </c>
      <c r="K25" t="s">
        <v>106</v>
      </c>
      <c r="L25">
        <v>55</v>
      </c>
      <c r="M25" t="s">
        <v>2219</v>
      </c>
      <c r="N25" t="s">
        <v>131</v>
      </c>
      <c r="O25" t="s">
        <v>549</v>
      </c>
      <c r="P25" t="s">
        <v>85</v>
      </c>
    </row>
    <row r="26" spans="1:16" hidden="1" x14ac:dyDescent="0.25">
      <c r="A26" t="s">
        <v>801</v>
      </c>
      <c r="B26" t="s">
        <v>374</v>
      </c>
      <c r="C26" t="s">
        <v>375</v>
      </c>
      <c r="D26" t="s">
        <v>589</v>
      </c>
      <c r="E26" t="s">
        <v>75</v>
      </c>
      <c r="F26" t="s">
        <v>1641</v>
      </c>
      <c r="G26" t="s">
        <v>178</v>
      </c>
      <c r="H26">
        <v>6000</v>
      </c>
      <c r="J26">
        <v>5511</v>
      </c>
      <c r="K26" t="s">
        <v>106</v>
      </c>
      <c r="L26">
        <v>55</v>
      </c>
      <c r="M26" t="s">
        <v>2219</v>
      </c>
      <c r="N26" t="s">
        <v>131</v>
      </c>
      <c r="O26" t="s">
        <v>549</v>
      </c>
      <c r="P26" t="s">
        <v>85</v>
      </c>
    </row>
    <row r="27" spans="1:16" hidden="1" x14ac:dyDescent="0.25">
      <c r="A27" t="s">
        <v>801</v>
      </c>
      <c r="B27" t="s">
        <v>374</v>
      </c>
      <c r="C27" t="s">
        <v>375</v>
      </c>
      <c r="D27" t="s">
        <v>589</v>
      </c>
      <c r="E27" t="s">
        <v>75</v>
      </c>
      <c r="F27" t="s">
        <v>1641</v>
      </c>
      <c r="G27" t="s">
        <v>1649</v>
      </c>
      <c r="H27">
        <v>9000</v>
      </c>
      <c r="J27">
        <v>5511</v>
      </c>
      <c r="K27" t="s">
        <v>106</v>
      </c>
      <c r="L27">
        <v>55</v>
      </c>
      <c r="M27" t="s">
        <v>2219</v>
      </c>
      <c r="N27" t="s">
        <v>131</v>
      </c>
      <c r="O27" t="s">
        <v>549</v>
      </c>
      <c r="P27" t="s">
        <v>85</v>
      </c>
    </row>
    <row r="28" spans="1:16" hidden="1" x14ac:dyDescent="0.25">
      <c r="A28" t="s">
        <v>801</v>
      </c>
      <c r="B28" t="s">
        <v>374</v>
      </c>
      <c r="C28" t="s">
        <v>375</v>
      </c>
      <c r="D28" t="s">
        <v>589</v>
      </c>
      <c r="E28" t="s">
        <v>75</v>
      </c>
      <c r="F28" t="s">
        <v>1641</v>
      </c>
      <c r="G28" t="s">
        <v>1668</v>
      </c>
      <c r="H28">
        <v>1000</v>
      </c>
      <c r="I28" t="s">
        <v>1666</v>
      </c>
      <c r="J28">
        <v>5526</v>
      </c>
      <c r="K28" t="s">
        <v>119</v>
      </c>
      <c r="L28">
        <v>55</v>
      </c>
      <c r="M28" t="s">
        <v>2219</v>
      </c>
      <c r="N28" t="s">
        <v>131</v>
      </c>
      <c r="O28" t="s">
        <v>549</v>
      </c>
      <c r="P28" t="s">
        <v>85</v>
      </c>
    </row>
    <row r="29" spans="1:16" hidden="1" x14ac:dyDescent="0.25">
      <c r="A29" t="s">
        <v>801</v>
      </c>
      <c r="B29" t="s">
        <v>374</v>
      </c>
      <c r="C29" t="s">
        <v>375</v>
      </c>
      <c r="D29" t="s">
        <v>589</v>
      </c>
      <c r="E29" t="s">
        <v>75</v>
      </c>
      <c r="F29" t="s">
        <v>1641</v>
      </c>
      <c r="G29" t="s">
        <v>1667</v>
      </c>
      <c r="H29">
        <v>300</v>
      </c>
      <c r="J29">
        <v>5526</v>
      </c>
      <c r="K29" t="s">
        <v>119</v>
      </c>
      <c r="L29">
        <v>55</v>
      </c>
      <c r="M29" t="s">
        <v>2219</v>
      </c>
      <c r="N29" t="s">
        <v>131</v>
      </c>
      <c r="O29" t="s">
        <v>549</v>
      </c>
      <c r="P29" t="s">
        <v>85</v>
      </c>
    </row>
    <row r="30" spans="1:16" hidden="1" x14ac:dyDescent="0.25">
      <c r="A30" t="s">
        <v>801</v>
      </c>
      <c r="B30" t="s">
        <v>374</v>
      </c>
      <c r="C30" t="s">
        <v>375</v>
      </c>
      <c r="D30" t="s">
        <v>589</v>
      </c>
      <c r="E30" t="s">
        <v>75</v>
      </c>
      <c r="F30" t="s">
        <v>1641</v>
      </c>
      <c r="G30" t="s">
        <v>1665</v>
      </c>
      <c r="H30">
        <v>500</v>
      </c>
      <c r="J30">
        <v>5532</v>
      </c>
      <c r="K30" t="s">
        <v>120</v>
      </c>
      <c r="L30">
        <v>55</v>
      </c>
      <c r="M30" t="s">
        <v>2219</v>
      </c>
      <c r="N30" t="s">
        <v>131</v>
      </c>
      <c r="O30" t="s">
        <v>549</v>
      </c>
      <c r="P30" t="s">
        <v>85</v>
      </c>
    </row>
    <row r="31" spans="1:16" hidden="1" x14ac:dyDescent="0.25">
      <c r="A31" t="s">
        <v>801</v>
      </c>
      <c r="B31" t="s">
        <v>374</v>
      </c>
      <c r="C31" t="s">
        <v>375</v>
      </c>
      <c r="D31" t="s">
        <v>589</v>
      </c>
      <c r="E31" t="s">
        <v>75</v>
      </c>
      <c r="F31" t="s">
        <v>1641</v>
      </c>
      <c r="G31" t="s">
        <v>1664</v>
      </c>
      <c r="H31">
        <v>1600</v>
      </c>
      <c r="J31">
        <v>5525</v>
      </c>
      <c r="K31" t="s">
        <v>118</v>
      </c>
      <c r="L31">
        <v>55</v>
      </c>
      <c r="M31" t="s">
        <v>2219</v>
      </c>
      <c r="N31" t="s">
        <v>131</v>
      </c>
      <c r="O31" t="s">
        <v>549</v>
      </c>
      <c r="P31" t="s">
        <v>85</v>
      </c>
    </row>
    <row r="32" spans="1:16" hidden="1" x14ac:dyDescent="0.25">
      <c r="A32" t="s">
        <v>801</v>
      </c>
      <c r="B32" t="s">
        <v>374</v>
      </c>
      <c r="C32" t="s">
        <v>375</v>
      </c>
      <c r="D32" t="s">
        <v>589</v>
      </c>
      <c r="E32" t="s">
        <v>75</v>
      </c>
      <c r="F32" t="s">
        <v>1641</v>
      </c>
      <c r="G32" t="s">
        <v>1663</v>
      </c>
      <c r="H32">
        <v>0</v>
      </c>
      <c r="I32" t="s">
        <v>2147</v>
      </c>
      <c r="J32">
        <v>5511</v>
      </c>
      <c r="K32" t="s">
        <v>106</v>
      </c>
      <c r="L32">
        <v>55</v>
      </c>
      <c r="M32" t="s">
        <v>2219</v>
      </c>
      <c r="N32" t="s">
        <v>131</v>
      </c>
      <c r="O32" t="s">
        <v>549</v>
      </c>
      <c r="P32" t="s">
        <v>85</v>
      </c>
    </row>
    <row r="33" spans="1:16" hidden="1" x14ac:dyDescent="0.25">
      <c r="A33" t="s">
        <v>801</v>
      </c>
      <c r="B33" t="s">
        <v>374</v>
      </c>
      <c r="C33" t="s">
        <v>375</v>
      </c>
      <c r="D33" t="s">
        <v>589</v>
      </c>
      <c r="E33" t="s">
        <v>75</v>
      </c>
      <c r="F33" t="s">
        <v>1641</v>
      </c>
      <c r="G33" t="s">
        <v>1662</v>
      </c>
      <c r="H33">
        <v>200</v>
      </c>
      <c r="J33">
        <v>5522</v>
      </c>
      <c r="K33" t="s">
        <v>115</v>
      </c>
      <c r="L33">
        <v>55</v>
      </c>
      <c r="M33" t="s">
        <v>2219</v>
      </c>
      <c r="N33" t="s">
        <v>131</v>
      </c>
      <c r="O33" t="s">
        <v>549</v>
      </c>
      <c r="P33" t="s">
        <v>85</v>
      </c>
    </row>
    <row r="34" spans="1:16" hidden="1" x14ac:dyDescent="0.25">
      <c r="A34" t="s">
        <v>801</v>
      </c>
      <c r="B34" t="s">
        <v>374</v>
      </c>
      <c r="C34" t="s">
        <v>375</v>
      </c>
      <c r="D34" t="s">
        <v>589</v>
      </c>
      <c r="E34" t="s">
        <v>75</v>
      </c>
      <c r="F34" t="s">
        <v>1641</v>
      </c>
      <c r="G34" t="s">
        <v>1661</v>
      </c>
      <c r="H34">
        <v>2200</v>
      </c>
      <c r="J34">
        <v>5521</v>
      </c>
      <c r="K34" t="s">
        <v>114</v>
      </c>
      <c r="L34">
        <v>55</v>
      </c>
      <c r="M34" t="s">
        <v>2219</v>
      </c>
      <c r="N34" t="s">
        <v>131</v>
      </c>
      <c r="O34" t="s">
        <v>549</v>
      </c>
      <c r="P34" t="s">
        <v>85</v>
      </c>
    </row>
    <row r="35" spans="1:16" hidden="1" x14ac:dyDescent="0.25">
      <c r="A35" t="s">
        <v>801</v>
      </c>
      <c r="B35" t="s">
        <v>374</v>
      </c>
      <c r="C35" t="s">
        <v>375</v>
      </c>
      <c r="D35" t="s">
        <v>589</v>
      </c>
      <c r="E35" t="s">
        <v>75</v>
      </c>
      <c r="F35" t="s">
        <v>1641</v>
      </c>
      <c r="G35" t="s">
        <v>1138</v>
      </c>
      <c r="H35">
        <v>24012</v>
      </c>
      <c r="J35">
        <v>5521</v>
      </c>
      <c r="K35" t="s">
        <v>114</v>
      </c>
      <c r="L35">
        <v>55</v>
      </c>
      <c r="M35" t="s">
        <v>2219</v>
      </c>
      <c r="N35" t="s">
        <v>131</v>
      </c>
      <c r="O35" t="s">
        <v>549</v>
      </c>
      <c r="P35" t="s">
        <v>85</v>
      </c>
    </row>
    <row r="36" spans="1:16" hidden="1" x14ac:dyDescent="0.25">
      <c r="A36" t="s">
        <v>801</v>
      </c>
      <c r="B36" t="s">
        <v>374</v>
      </c>
      <c r="C36" t="s">
        <v>375</v>
      </c>
      <c r="D36" t="s">
        <v>589</v>
      </c>
      <c r="E36" t="s">
        <v>75</v>
      </c>
      <c r="F36" t="s">
        <v>1641</v>
      </c>
      <c r="G36" t="s">
        <v>1660</v>
      </c>
      <c r="H36">
        <v>0</v>
      </c>
      <c r="I36" t="s">
        <v>2147</v>
      </c>
      <c r="J36">
        <v>5515</v>
      </c>
      <c r="K36" t="s">
        <v>112</v>
      </c>
      <c r="L36">
        <v>55</v>
      </c>
      <c r="M36" t="s">
        <v>2219</v>
      </c>
      <c r="N36" t="s">
        <v>131</v>
      </c>
      <c r="O36" t="s">
        <v>549</v>
      </c>
      <c r="P36" t="s">
        <v>85</v>
      </c>
    </row>
    <row r="37" spans="1:16" hidden="1" x14ac:dyDescent="0.25">
      <c r="A37" t="s">
        <v>801</v>
      </c>
      <c r="B37" t="s">
        <v>374</v>
      </c>
      <c r="C37" t="s">
        <v>375</v>
      </c>
      <c r="D37" t="s">
        <v>589</v>
      </c>
      <c r="E37" t="s">
        <v>75</v>
      </c>
      <c r="F37" t="s">
        <v>1641</v>
      </c>
      <c r="G37" t="s">
        <v>1659</v>
      </c>
      <c r="H37">
        <v>200</v>
      </c>
      <c r="J37">
        <v>5515</v>
      </c>
      <c r="K37" t="s">
        <v>112</v>
      </c>
      <c r="L37">
        <v>55</v>
      </c>
      <c r="M37" t="s">
        <v>2219</v>
      </c>
      <c r="N37" t="s">
        <v>131</v>
      </c>
      <c r="O37" t="s">
        <v>549</v>
      </c>
      <c r="P37" t="s">
        <v>85</v>
      </c>
    </row>
    <row r="38" spans="1:16" hidden="1" x14ac:dyDescent="0.25">
      <c r="A38" t="s">
        <v>801</v>
      </c>
      <c r="B38" t="s">
        <v>374</v>
      </c>
      <c r="C38" t="s">
        <v>375</v>
      </c>
      <c r="D38" t="s">
        <v>589</v>
      </c>
      <c r="E38" t="s">
        <v>75</v>
      </c>
      <c r="F38" t="s">
        <v>1641</v>
      </c>
      <c r="G38" t="s">
        <v>1658</v>
      </c>
      <c r="H38">
        <v>0</v>
      </c>
      <c r="I38" t="s">
        <v>2147</v>
      </c>
      <c r="J38">
        <v>5515</v>
      </c>
      <c r="K38" t="s">
        <v>112</v>
      </c>
      <c r="L38">
        <v>55</v>
      </c>
      <c r="M38" t="s">
        <v>2219</v>
      </c>
      <c r="N38" t="s">
        <v>131</v>
      </c>
      <c r="O38" t="s">
        <v>549</v>
      </c>
      <c r="P38" t="s">
        <v>85</v>
      </c>
    </row>
    <row r="39" spans="1:16" hidden="1" x14ac:dyDescent="0.25">
      <c r="A39" t="s">
        <v>801</v>
      </c>
      <c r="B39" t="s">
        <v>374</v>
      </c>
      <c r="C39" t="s">
        <v>375</v>
      </c>
      <c r="D39" t="s">
        <v>589</v>
      </c>
      <c r="E39" t="s">
        <v>75</v>
      </c>
      <c r="F39" t="s">
        <v>1641</v>
      </c>
      <c r="G39" t="s">
        <v>1657</v>
      </c>
      <c r="H39">
        <v>500</v>
      </c>
      <c r="J39">
        <v>5515</v>
      </c>
      <c r="K39" t="s">
        <v>112</v>
      </c>
      <c r="L39">
        <v>55</v>
      </c>
      <c r="M39" t="s">
        <v>2219</v>
      </c>
      <c r="N39" t="s">
        <v>131</v>
      </c>
      <c r="O39" t="s">
        <v>549</v>
      </c>
      <c r="P39" t="s">
        <v>85</v>
      </c>
    </row>
    <row r="40" spans="1:16" hidden="1" x14ac:dyDescent="0.25">
      <c r="A40" t="s">
        <v>801</v>
      </c>
      <c r="B40" t="s">
        <v>374</v>
      </c>
      <c r="C40" t="s">
        <v>375</v>
      </c>
      <c r="D40" t="s">
        <v>589</v>
      </c>
      <c r="E40" t="s">
        <v>75</v>
      </c>
      <c r="F40" t="s">
        <v>1641</v>
      </c>
      <c r="G40" t="s">
        <v>1656</v>
      </c>
      <c r="H40">
        <v>600</v>
      </c>
      <c r="J40">
        <v>5515</v>
      </c>
      <c r="K40" t="s">
        <v>112</v>
      </c>
      <c r="L40">
        <v>55</v>
      </c>
      <c r="M40" t="s">
        <v>2219</v>
      </c>
      <c r="N40" t="s">
        <v>131</v>
      </c>
      <c r="O40" t="s">
        <v>549</v>
      </c>
      <c r="P40" t="s">
        <v>85</v>
      </c>
    </row>
    <row r="41" spans="1:16" hidden="1" x14ac:dyDescent="0.25">
      <c r="A41" t="s">
        <v>801</v>
      </c>
      <c r="B41" t="s">
        <v>374</v>
      </c>
      <c r="C41" t="s">
        <v>375</v>
      </c>
      <c r="D41" t="s">
        <v>589</v>
      </c>
      <c r="E41" t="s">
        <v>75</v>
      </c>
      <c r="F41" t="s">
        <v>1641</v>
      </c>
      <c r="G41" t="s">
        <v>1655</v>
      </c>
      <c r="H41">
        <v>230</v>
      </c>
      <c r="J41">
        <v>5515</v>
      </c>
      <c r="K41" t="s">
        <v>112</v>
      </c>
      <c r="L41">
        <v>55</v>
      </c>
      <c r="M41" t="s">
        <v>2219</v>
      </c>
      <c r="N41" t="s">
        <v>131</v>
      </c>
      <c r="O41" t="s">
        <v>549</v>
      </c>
      <c r="P41" t="s">
        <v>85</v>
      </c>
    </row>
    <row r="42" spans="1:16" hidden="1" x14ac:dyDescent="0.25">
      <c r="A42" t="s">
        <v>801</v>
      </c>
      <c r="B42" t="s">
        <v>374</v>
      </c>
      <c r="C42" t="s">
        <v>375</v>
      </c>
      <c r="D42" t="s">
        <v>589</v>
      </c>
      <c r="E42" t="s">
        <v>75</v>
      </c>
      <c r="F42" t="s">
        <v>1641</v>
      </c>
      <c r="G42" t="s">
        <v>1654</v>
      </c>
      <c r="H42">
        <v>600</v>
      </c>
      <c r="J42">
        <v>5515</v>
      </c>
      <c r="K42" t="s">
        <v>112</v>
      </c>
      <c r="L42">
        <v>55</v>
      </c>
      <c r="M42" t="s">
        <v>2219</v>
      </c>
      <c r="N42" t="s">
        <v>131</v>
      </c>
      <c r="O42" t="s">
        <v>549</v>
      </c>
      <c r="P42" t="s">
        <v>85</v>
      </c>
    </row>
    <row r="43" spans="1:16" hidden="1" x14ac:dyDescent="0.25">
      <c r="A43" t="s">
        <v>801</v>
      </c>
      <c r="B43" t="s">
        <v>374</v>
      </c>
      <c r="C43" t="s">
        <v>375</v>
      </c>
      <c r="D43" t="s">
        <v>589</v>
      </c>
      <c r="E43" t="s">
        <v>75</v>
      </c>
      <c r="F43" t="s">
        <v>1641</v>
      </c>
      <c r="G43" t="s">
        <v>1650</v>
      </c>
      <c r="H43">
        <v>1650</v>
      </c>
      <c r="I43" t="s">
        <v>1651</v>
      </c>
      <c r="J43">
        <v>5513</v>
      </c>
      <c r="K43" t="s">
        <v>111</v>
      </c>
      <c r="L43">
        <v>55</v>
      </c>
      <c r="M43" t="s">
        <v>2219</v>
      </c>
      <c r="N43" t="s">
        <v>131</v>
      </c>
      <c r="O43" t="s">
        <v>549</v>
      </c>
      <c r="P43" t="s">
        <v>85</v>
      </c>
    </row>
    <row r="44" spans="1:16" hidden="1" x14ac:dyDescent="0.25">
      <c r="A44" t="s">
        <v>801</v>
      </c>
      <c r="B44" t="s">
        <v>374</v>
      </c>
      <c r="C44" t="s">
        <v>375</v>
      </c>
      <c r="D44" t="s">
        <v>589</v>
      </c>
      <c r="E44" t="s">
        <v>75</v>
      </c>
      <c r="F44" t="s">
        <v>1641</v>
      </c>
      <c r="G44" t="s">
        <v>1521</v>
      </c>
      <c r="H44">
        <v>650</v>
      </c>
      <c r="J44">
        <v>5504</v>
      </c>
      <c r="K44" t="s">
        <v>102</v>
      </c>
      <c r="L44">
        <v>55</v>
      </c>
      <c r="M44" t="s">
        <v>2219</v>
      </c>
      <c r="N44" t="s">
        <v>131</v>
      </c>
      <c r="O44" t="s">
        <v>549</v>
      </c>
      <c r="P44" t="s">
        <v>85</v>
      </c>
    </row>
    <row r="45" spans="1:16" hidden="1" x14ac:dyDescent="0.25">
      <c r="A45" t="s">
        <v>801</v>
      </c>
      <c r="B45" t="s">
        <v>374</v>
      </c>
      <c r="C45" t="s">
        <v>375</v>
      </c>
      <c r="D45" t="s">
        <v>589</v>
      </c>
      <c r="E45" t="s">
        <v>75</v>
      </c>
      <c r="F45" t="s">
        <v>1641</v>
      </c>
      <c r="G45" t="s">
        <v>1644</v>
      </c>
      <c r="H45">
        <v>200</v>
      </c>
      <c r="J45">
        <v>5500</v>
      </c>
      <c r="K45" t="s">
        <v>100</v>
      </c>
      <c r="L45">
        <v>55</v>
      </c>
      <c r="M45" t="s">
        <v>2219</v>
      </c>
      <c r="N45" t="s">
        <v>131</v>
      </c>
      <c r="O45" t="s">
        <v>549</v>
      </c>
      <c r="P45" t="s">
        <v>85</v>
      </c>
    </row>
    <row r="46" spans="1:16" hidden="1" x14ac:dyDescent="0.25">
      <c r="A46" t="s">
        <v>801</v>
      </c>
      <c r="B46" t="s">
        <v>374</v>
      </c>
      <c r="C46" t="s">
        <v>375</v>
      </c>
      <c r="D46" t="s">
        <v>589</v>
      </c>
      <c r="E46" t="s">
        <v>75</v>
      </c>
      <c r="F46" t="s">
        <v>1641</v>
      </c>
      <c r="G46" t="s">
        <v>1643</v>
      </c>
      <c r="H46">
        <v>170</v>
      </c>
      <c r="J46">
        <v>5500</v>
      </c>
      <c r="K46" t="s">
        <v>100</v>
      </c>
      <c r="L46">
        <v>55</v>
      </c>
      <c r="M46" t="s">
        <v>2219</v>
      </c>
      <c r="N46" t="s">
        <v>131</v>
      </c>
      <c r="O46" t="s">
        <v>549</v>
      </c>
      <c r="P46" t="s">
        <v>85</v>
      </c>
    </row>
    <row r="47" spans="1:16" hidden="1" x14ac:dyDescent="0.25">
      <c r="A47" t="s">
        <v>801</v>
      </c>
      <c r="B47" t="s">
        <v>374</v>
      </c>
      <c r="C47" t="s">
        <v>375</v>
      </c>
      <c r="D47" t="s">
        <v>589</v>
      </c>
      <c r="E47" t="s">
        <v>75</v>
      </c>
      <c r="F47" t="s">
        <v>1641</v>
      </c>
      <c r="G47" t="s">
        <v>400</v>
      </c>
      <c r="H47">
        <v>120</v>
      </c>
      <c r="J47">
        <v>5500</v>
      </c>
      <c r="K47" t="s">
        <v>100</v>
      </c>
      <c r="L47">
        <v>55</v>
      </c>
      <c r="M47" t="s">
        <v>2219</v>
      </c>
      <c r="N47" t="s">
        <v>131</v>
      </c>
      <c r="O47" t="s">
        <v>549</v>
      </c>
      <c r="P47" t="s">
        <v>85</v>
      </c>
    </row>
    <row r="48" spans="1:16" hidden="1" x14ac:dyDescent="0.25">
      <c r="A48" t="s">
        <v>801</v>
      </c>
      <c r="B48" t="s">
        <v>374</v>
      </c>
      <c r="C48" t="s">
        <v>375</v>
      </c>
      <c r="D48" t="s">
        <v>589</v>
      </c>
      <c r="E48" t="s">
        <v>75</v>
      </c>
      <c r="F48" t="s">
        <v>648</v>
      </c>
      <c r="G48" t="s">
        <v>1590</v>
      </c>
      <c r="H48">
        <v>-200000</v>
      </c>
      <c r="I48" t="s">
        <v>1591</v>
      </c>
      <c r="J48">
        <v>20385</v>
      </c>
      <c r="K48" t="s">
        <v>958</v>
      </c>
      <c r="L48">
        <v>3502</v>
      </c>
      <c r="M48" t="s">
        <v>2218</v>
      </c>
      <c r="N48" t="s">
        <v>2024</v>
      </c>
      <c r="O48" t="s">
        <v>2024</v>
      </c>
      <c r="P48" t="s">
        <v>87</v>
      </c>
    </row>
    <row r="49" spans="1:16" hidden="1" x14ac:dyDescent="0.25">
      <c r="A49" t="s">
        <v>801</v>
      </c>
      <c r="B49" t="s">
        <v>374</v>
      </c>
      <c r="C49" t="s">
        <v>375</v>
      </c>
      <c r="D49" t="s">
        <v>589</v>
      </c>
      <c r="E49" t="s">
        <v>75</v>
      </c>
      <c r="F49" t="s">
        <v>648</v>
      </c>
      <c r="G49" t="s">
        <v>1590</v>
      </c>
      <c r="H49">
        <v>400000</v>
      </c>
      <c r="J49">
        <v>1551</v>
      </c>
      <c r="K49" t="s">
        <v>92</v>
      </c>
      <c r="L49">
        <v>15</v>
      </c>
      <c r="M49" t="s">
        <v>2220</v>
      </c>
      <c r="N49" t="s">
        <v>4</v>
      </c>
      <c r="O49" t="s">
        <v>4</v>
      </c>
      <c r="P49" t="s">
        <v>87</v>
      </c>
    </row>
    <row r="50" spans="1:16" hidden="1" x14ac:dyDescent="0.25">
      <c r="A50" t="s">
        <v>801</v>
      </c>
      <c r="B50" t="s">
        <v>372</v>
      </c>
      <c r="C50" t="s">
        <v>373</v>
      </c>
      <c r="D50" t="s">
        <v>589</v>
      </c>
      <c r="E50" t="s">
        <v>75</v>
      </c>
      <c r="F50" t="s">
        <v>1594</v>
      </c>
      <c r="G50" t="s">
        <v>1626</v>
      </c>
      <c r="H50">
        <v>1100</v>
      </c>
      <c r="J50">
        <v>5514</v>
      </c>
      <c r="K50" t="s">
        <v>110</v>
      </c>
      <c r="L50">
        <v>55</v>
      </c>
      <c r="M50" t="s">
        <v>2219</v>
      </c>
      <c r="N50" t="s">
        <v>131</v>
      </c>
      <c r="O50" t="s">
        <v>549</v>
      </c>
      <c r="P50" t="s">
        <v>85</v>
      </c>
    </row>
    <row r="51" spans="1:16" hidden="1" x14ac:dyDescent="0.25">
      <c r="A51" t="s">
        <v>801</v>
      </c>
      <c r="B51" t="s">
        <v>372</v>
      </c>
      <c r="C51" t="s">
        <v>373</v>
      </c>
      <c r="D51" t="s">
        <v>589</v>
      </c>
      <c r="E51" t="s">
        <v>75</v>
      </c>
      <c r="F51" t="s">
        <v>1594</v>
      </c>
      <c r="G51" t="s">
        <v>1613</v>
      </c>
      <c r="H51">
        <v>180</v>
      </c>
      <c r="I51" t="s">
        <v>1622</v>
      </c>
      <c r="J51">
        <v>5511</v>
      </c>
      <c r="K51" t="s">
        <v>106</v>
      </c>
      <c r="L51">
        <v>55</v>
      </c>
      <c r="M51" t="s">
        <v>2219</v>
      </c>
      <c r="N51" t="s">
        <v>131</v>
      </c>
      <c r="O51" t="s">
        <v>549</v>
      </c>
      <c r="P51" t="s">
        <v>85</v>
      </c>
    </row>
    <row r="52" spans="1:16" hidden="1" x14ac:dyDescent="0.25">
      <c r="A52" t="s">
        <v>801</v>
      </c>
      <c r="B52" t="s">
        <v>372</v>
      </c>
      <c r="C52" t="s">
        <v>373</v>
      </c>
      <c r="D52" t="s">
        <v>589</v>
      </c>
      <c r="E52" t="s">
        <v>75</v>
      </c>
      <c r="F52" t="s">
        <v>1594</v>
      </c>
      <c r="G52" t="s">
        <v>1612</v>
      </c>
      <c r="H52">
        <v>296</v>
      </c>
      <c r="I52" t="s">
        <v>1623</v>
      </c>
      <c r="J52">
        <v>5511</v>
      </c>
      <c r="K52" t="s">
        <v>106</v>
      </c>
      <c r="L52">
        <v>55</v>
      </c>
      <c r="M52" t="s">
        <v>2219</v>
      </c>
      <c r="N52" t="s">
        <v>131</v>
      </c>
      <c r="O52" t="s">
        <v>549</v>
      </c>
      <c r="P52" t="s">
        <v>85</v>
      </c>
    </row>
    <row r="53" spans="1:16" hidden="1" x14ac:dyDescent="0.25">
      <c r="A53" t="s">
        <v>801</v>
      </c>
      <c r="B53" t="s">
        <v>372</v>
      </c>
      <c r="C53" t="s">
        <v>373</v>
      </c>
      <c r="D53" t="s">
        <v>589</v>
      </c>
      <c r="E53" t="s">
        <v>75</v>
      </c>
      <c r="F53" t="s">
        <v>1594</v>
      </c>
      <c r="G53" t="s">
        <v>1611</v>
      </c>
      <c r="H53">
        <v>654</v>
      </c>
      <c r="I53" t="s">
        <v>1621</v>
      </c>
      <c r="J53">
        <v>5511</v>
      </c>
      <c r="K53" t="s">
        <v>106</v>
      </c>
      <c r="L53">
        <v>55</v>
      </c>
      <c r="M53" t="s">
        <v>2219</v>
      </c>
      <c r="N53" t="s">
        <v>131</v>
      </c>
      <c r="O53" t="s">
        <v>549</v>
      </c>
      <c r="P53" t="s">
        <v>85</v>
      </c>
    </row>
    <row r="54" spans="1:16" hidden="1" x14ac:dyDescent="0.25">
      <c r="A54" t="s">
        <v>801</v>
      </c>
      <c r="B54" t="s">
        <v>372</v>
      </c>
      <c r="C54" t="s">
        <v>373</v>
      </c>
      <c r="D54" t="s">
        <v>589</v>
      </c>
      <c r="E54" t="s">
        <v>75</v>
      </c>
      <c r="F54" t="s">
        <v>1594</v>
      </c>
      <c r="G54" t="s">
        <v>1610</v>
      </c>
      <c r="H54">
        <v>150</v>
      </c>
      <c r="I54" t="s">
        <v>1620</v>
      </c>
      <c r="J54">
        <v>5511</v>
      </c>
      <c r="K54" t="s">
        <v>106</v>
      </c>
      <c r="L54">
        <v>55</v>
      </c>
      <c r="M54" t="s">
        <v>2219</v>
      </c>
      <c r="N54" t="s">
        <v>131</v>
      </c>
      <c r="O54" t="s">
        <v>549</v>
      </c>
      <c r="P54" t="s">
        <v>85</v>
      </c>
    </row>
    <row r="55" spans="1:16" hidden="1" x14ac:dyDescent="0.25">
      <c r="A55" t="s">
        <v>801</v>
      </c>
      <c r="B55" t="s">
        <v>372</v>
      </c>
      <c r="C55" t="s">
        <v>373</v>
      </c>
      <c r="D55" t="s">
        <v>589</v>
      </c>
      <c r="E55" t="s">
        <v>75</v>
      </c>
      <c r="F55" t="s">
        <v>1594</v>
      </c>
      <c r="G55" t="s">
        <v>1609</v>
      </c>
      <c r="H55">
        <v>288</v>
      </c>
      <c r="I55" t="s">
        <v>1619</v>
      </c>
      <c r="J55">
        <v>5511</v>
      </c>
      <c r="K55" t="s">
        <v>106</v>
      </c>
      <c r="L55">
        <v>55</v>
      </c>
      <c r="M55" t="s">
        <v>2219</v>
      </c>
      <c r="N55" t="s">
        <v>131</v>
      </c>
      <c r="O55" t="s">
        <v>549</v>
      </c>
      <c r="P55" t="s">
        <v>85</v>
      </c>
    </row>
    <row r="56" spans="1:16" hidden="1" x14ac:dyDescent="0.25">
      <c r="A56" t="s">
        <v>801</v>
      </c>
      <c r="B56" t="s">
        <v>372</v>
      </c>
      <c r="C56" t="s">
        <v>373</v>
      </c>
      <c r="D56" t="s">
        <v>589</v>
      </c>
      <c r="E56" t="s">
        <v>75</v>
      </c>
      <c r="F56" t="s">
        <v>1594</v>
      </c>
      <c r="G56" t="s">
        <v>1608</v>
      </c>
      <c r="H56">
        <v>4300</v>
      </c>
      <c r="I56" t="s">
        <v>1618</v>
      </c>
      <c r="J56">
        <v>5511</v>
      </c>
      <c r="K56" t="s">
        <v>106</v>
      </c>
      <c r="L56">
        <v>55</v>
      </c>
      <c r="M56" t="s">
        <v>2219</v>
      </c>
      <c r="N56" t="s">
        <v>131</v>
      </c>
      <c r="O56" t="s">
        <v>549</v>
      </c>
      <c r="P56" t="s">
        <v>85</v>
      </c>
    </row>
    <row r="57" spans="1:16" hidden="1" x14ac:dyDescent="0.25">
      <c r="A57" t="s">
        <v>801</v>
      </c>
      <c r="B57" t="s">
        <v>372</v>
      </c>
      <c r="C57" t="s">
        <v>373</v>
      </c>
      <c r="D57" t="s">
        <v>589</v>
      </c>
      <c r="E57" t="s">
        <v>75</v>
      </c>
      <c r="F57" t="s">
        <v>1594</v>
      </c>
      <c r="G57" t="s">
        <v>1607</v>
      </c>
      <c r="H57">
        <v>4100</v>
      </c>
      <c r="I57" t="s">
        <v>1617</v>
      </c>
      <c r="J57">
        <v>5511</v>
      </c>
      <c r="K57" t="s">
        <v>106</v>
      </c>
      <c r="L57">
        <v>55</v>
      </c>
      <c r="M57" t="s">
        <v>2219</v>
      </c>
      <c r="N57" t="s">
        <v>131</v>
      </c>
      <c r="O57" t="s">
        <v>549</v>
      </c>
      <c r="P57" t="s">
        <v>85</v>
      </c>
    </row>
    <row r="58" spans="1:16" hidden="1" x14ac:dyDescent="0.25">
      <c r="A58" t="s">
        <v>801</v>
      </c>
      <c r="B58" t="s">
        <v>372</v>
      </c>
      <c r="C58" t="s">
        <v>373</v>
      </c>
      <c r="D58" t="s">
        <v>589</v>
      </c>
      <c r="E58" t="s">
        <v>75</v>
      </c>
      <c r="F58" t="s">
        <v>1594</v>
      </c>
      <c r="G58" t="s">
        <v>443</v>
      </c>
      <c r="H58">
        <v>2760</v>
      </c>
      <c r="I58" t="s">
        <v>1616</v>
      </c>
      <c r="J58">
        <v>5511</v>
      </c>
      <c r="K58" t="s">
        <v>106</v>
      </c>
      <c r="L58">
        <v>55</v>
      </c>
      <c r="M58" t="s">
        <v>2219</v>
      </c>
      <c r="N58" t="s">
        <v>131</v>
      </c>
      <c r="O58" t="s">
        <v>549</v>
      </c>
      <c r="P58" t="s">
        <v>85</v>
      </c>
    </row>
    <row r="59" spans="1:16" hidden="1" x14ac:dyDescent="0.25">
      <c r="A59" t="s">
        <v>801</v>
      </c>
      <c r="B59" t="s">
        <v>372</v>
      </c>
      <c r="C59" t="s">
        <v>373</v>
      </c>
      <c r="D59" t="s">
        <v>589</v>
      </c>
      <c r="E59" t="s">
        <v>75</v>
      </c>
      <c r="F59" t="s">
        <v>1594</v>
      </c>
      <c r="G59" t="s">
        <v>178</v>
      </c>
      <c r="H59">
        <v>4150</v>
      </c>
      <c r="I59" t="s">
        <v>1615</v>
      </c>
      <c r="J59">
        <v>5511</v>
      </c>
      <c r="K59" t="s">
        <v>106</v>
      </c>
      <c r="L59">
        <v>55</v>
      </c>
      <c r="M59" t="s">
        <v>2219</v>
      </c>
      <c r="N59" t="s">
        <v>131</v>
      </c>
      <c r="O59" t="s">
        <v>549</v>
      </c>
      <c r="P59" t="s">
        <v>85</v>
      </c>
    </row>
    <row r="60" spans="1:16" hidden="1" x14ac:dyDescent="0.25">
      <c r="A60" t="s">
        <v>801</v>
      </c>
      <c r="B60" t="s">
        <v>372</v>
      </c>
      <c r="C60" t="s">
        <v>373</v>
      </c>
      <c r="D60" t="s">
        <v>589</v>
      </c>
      <c r="E60" t="s">
        <v>75</v>
      </c>
      <c r="F60" t="s">
        <v>1594</v>
      </c>
      <c r="G60" t="s">
        <v>177</v>
      </c>
      <c r="H60">
        <v>1500</v>
      </c>
      <c r="I60" t="s">
        <v>1614</v>
      </c>
      <c r="J60">
        <v>5511</v>
      </c>
      <c r="K60" t="s">
        <v>106</v>
      </c>
      <c r="L60">
        <v>55</v>
      </c>
      <c r="M60" t="s">
        <v>2219</v>
      </c>
      <c r="N60" t="s">
        <v>131</v>
      </c>
      <c r="O60" t="s">
        <v>549</v>
      </c>
      <c r="P60" t="s">
        <v>85</v>
      </c>
    </row>
    <row r="61" spans="1:16" hidden="1" x14ac:dyDescent="0.25">
      <c r="A61" t="s">
        <v>801</v>
      </c>
      <c r="B61" t="s">
        <v>372</v>
      </c>
      <c r="C61" t="s">
        <v>373</v>
      </c>
      <c r="D61" t="s">
        <v>589</v>
      </c>
      <c r="E61" t="s">
        <v>75</v>
      </c>
      <c r="F61" t="s">
        <v>1594</v>
      </c>
      <c r="G61" t="s">
        <v>1639</v>
      </c>
      <c r="H61">
        <v>940</v>
      </c>
      <c r="J61">
        <v>5540</v>
      </c>
      <c r="K61" t="s">
        <v>121</v>
      </c>
      <c r="L61">
        <v>55</v>
      </c>
      <c r="M61" t="s">
        <v>2219</v>
      </c>
      <c r="N61" t="s">
        <v>131</v>
      </c>
      <c r="O61" t="s">
        <v>549</v>
      </c>
      <c r="P61" t="s">
        <v>85</v>
      </c>
    </row>
    <row r="62" spans="1:16" hidden="1" x14ac:dyDescent="0.25">
      <c r="A62" t="s">
        <v>801</v>
      </c>
      <c r="B62" t="s">
        <v>372</v>
      </c>
      <c r="C62" t="s">
        <v>373</v>
      </c>
      <c r="D62" t="s">
        <v>589</v>
      </c>
      <c r="E62" t="s">
        <v>75</v>
      </c>
      <c r="F62" t="s">
        <v>1594</v>
      </c>
      <c r="G62" t="s">
        <v>1638</v>
      </c>
      <c r="H62">
        <v>1000</v>
      </c>
      <c r="J62">
        <v>5525</v>
      </c>
      <c r="K62" t="s">
        <v>118</v>
      </c>
      <c r="L62">
        <v>55</v>
      </c>
      <c r="M62" t="s">
        <v>2219</v>
      </c>
      <c r="N62" t="s">
        <v>131</v>
      </c>
      <c r="O62" t="s">
        <v>549</v>
      </c>
      <c r="P62" t="s">
        <v>85</v>
      </c>
    </row>
    <row r="63" spans="1:16" hidden="1" x14ac:dyDescent="0.25">
      <c r="A63" t="s">
        <v>801</v>
      </c>
      <c r="B63" t="s">
        <v>372</v>
      </c>
      <c r="C63" t="s">
        <v>373</v>
      </c>
      <c r="D63" t="s">
        <v>589</v>
      </c>
      <c r="E63" t="s">
        <v>75</v>
      </c>
      <c r="F63" t="s">
        <v>1594</v>
      </c>
      <c r="G63" t="s">
        <v>1632</v>
      </c>
      <c r="H63">
        <v>300</v>
      </c>
      <c r="I63" t="s">
        <v>1637</v>
      </c>
      <c r="J63">
        <v>5522</v>
      </c>
      <c r="K63" t="s">
        <v>115</v>
      </c>
      <c r="L63">
        <v>55</v>
      </c>
      <c r="M63" t="s">
        <v>2219</v>
      </c>
      <c r="N63" t="s">
        <v>131</v>
      </c>
      <c r="O63" t="s">
        <v>549</v>
      </c>
      <c r="P63" t="s">
        <v>85</v>
      </c>
    </row>
    <row r="64" spans="1:16" hidden="1" x14ac:dyDescent="0.25">
      <c r="A64" t="s">
        <v>801</v>
      </c>
      <c r="B64" t="s">
        <v>372</v>
      </c>
      <c r="C64" t="s">
        <v>373</v>
      </c>
      <c r="D64" t="s">
        <v>589</v>
      </c>
      <c r="E64" t="s">
        <v>75</v>
      </c>
      <c r="F64" t="s">
        <v>1594</v>
      </c>
      <c r="G64" t="s">
        <v>1253</v>
      </c>
      <c r="H64">
        <v>2060</v>
      </c>
      <c r="I64" t="s">
        <v>1636</v>
      </c>
      <c r="J64">
        <v>5522</v>
      </c>
      <c r="K64" t="s">
        <v>115</v>
      </c>
      <c r="L64">
        <v>55</v>
      </c>
      <c r="M64" t="s">
        <v>2219</v>
      </c>
      <c r="N64" t="s">
        <v>131</v>
      </c>
      <c r="O64" t="s">
        <v>549</v>
      </c>
      <c r="P64" t="s">
        <v>85</v>
      </c>
    </row>
    <row r="65" spans="1:16" hidden="1" x14ac:dyDescent="0.25">
      <c r="A65" t="s">
        <v>801</v>
      </c>
      <c r="B65" t="s">
        <v>372</v>
      </c>
      <c r="C65" t="s">
        <v>373</v>
      </c>
      <c r="D65" t="s">
        <v>589</v>
      </c>
      <c r="E65" t="s">
        <v>75</v>
      </c>
      <c r="F65" t="s">
        <v>1594</v>
      </c>
      <c r="G65" t="s">
        <v>1631</v>
      </c>
      <c r="H65">
        <v>1850</v>
      </c>
      <c r="I65" t="s">
        <v>1635</v>
      </c>
      <c r="J65">
        <v>5522</v>
      </c>
      <c r="K65" t="s">
        <v>115</v>
      </c>
      <c r="L65">
        <v>55</v>
      </c>
      <c r="M65" t="s">
        <v>2219</v>
      </c>
      <c r="N65" t="s">
        <v>131</v>
      </c>
      <c r="O65" t="s">
        <v>549</v>
      </c>
      <c r="P65" t="s">
        <v>85</v>
      </c>
    </row>
    <row r="66" spans="1:16" hidden="1" x14ac:dyDescent="0.25">
      <c r="A66" t="s">
        <v>801</v>
      </c>
      <c r="B66" t="s">
        <v>372</v>
      </c>
      <c r="C66" t="s">
        <v>373</v>
      </c>
      <c r="D66" t="s">
        <v>589</v>
      </c>
      <c r="E66" t="s">
        <v>75</v>
      </c>
      <c r="F66" t="s">
        <v>1594</v>
      </c>
      <c r="G66" t="s">
        <v>1630</v>
      </c>
      <c r="H66">
        <v>1000</v>
      </c>
      <c r="I66" t="s">
        <v>1634</v>
      </c>
      <c r="J66">
        <v>5522</v>
      </c>
      <c r="K66" t="s">
        <v>115</v>
      </c>
      <c r="L66">
        <v>55</v>
      </c>
      <c r="M66" t="s">
        <v>2219</v>
      </c>
      <c r="N66" t="s">
        <v>131</v>
      </c>
      <c r="O66" t="s">
        <v>549</v>
      </c>
      <c r="P66" t="s">
        <v>85</v>
      </c>
    </row>
    <row r="67" spans="1:16" hidden="1" x14ac:dyDescent="0.25">
      <c r="A67" t="s">
        <v>801</v>
      </c>
      <c r="B67" t="s">
        <v>372</v>
      </c>
      <c r="C67" t="s">
        <v>373</v>
      </c>
      <c r="D67" t="s">
        <v>589</v>
      </c>
      <c r="E67" t="s">
        <v>75</v>
      </c>
      <c r="F67" t="s">
        <v>1594</v>
      </c>
      <c r="G67" t="s">
        <v>1629</v>
      </c>
      <c r="H67">
        <v>100</v>
      </c>
      <c r="I67" t="s">
        <v>1633</v>
      </c>
      <c r="J67">
        <v>5522</v>
      </c>
      <c r="K67" t="s">
        <v>115</v>
      </c>
      <c r="L67">
        <v>55</v>
      </c>
      <c r="M67" t="s">
        <v>2219</v>
      </c>
      <c r="N67" t="s">
        <v>131</v>
      </c>
      <c r="O67" t="s">
        <v>549</v>
      </c>
      <c r="P67" t="s">
        <v>85</v>
      </c>
    </row>
    <row r="68" spans="1:16" hidden="1" x14ac:dyDescent="0.25">
      <c r="A68" t="s">
        <v>801</v>
      </c>
      <c r="B68" t="s">
        <v>372</v>
      </c>
      <c r="C68" t="s">
        <v>373</v>
      </c>
      <c r="D68" t="s">
        <v>589</v>
      </c>
      <c r="E68" t="s">
        <v>75</v>
      </c>
      <c r="F68" t="s">
        <v>1594</v>
      </c>
      <c r="G68" t="s">
        <v>1627</v>
      </c>
      <c r="H68">
        <v>19535</v>
      </c>
      <c r="I68" t="s">
        <v>1628</v>
      </c>
      <c r="J68">
        <v>5521</v>
      </c>
      <c r="K68" t="s">
        <v>114</v>
      </c>
      <c r="L68">
        <v>55</v>
      </c>
      <c r="M68" t="s">
        <v>2219</v>
      </c>
      <c r="N68" t="s">
        <v>131</v>
      </c>
      <c r="O68" t="s">
        <v>549</v>
      </c>
      <c r="P68" t="s">
        <v>85</v>
      </c>
    </row>
    <row r="69" spans="1:16" hidden="1" x14ac:dyDescent="0.25">
      <c r="A69" t="s">
        <v>801</v>
      </c>
      <c r="B69" t="s">
        <v>372</v>
      </c>
      <c r="C69" t="s">
        <v>373</v>
      </c>
      <c r="D69" t="s">
        <v>589</v>
      </c>
      <c r="E69" t="s">
        <v>75</v>
      </c>
      <c r="F69" t="s">
        <v>1594</v>
      </c>
      <c r="G69" t="s">
        <v>1625</v>
      </c>
      <c r="H69">
        <v>432</v>
      </c>
      <c r="J69">
        <v>5513</v>
      </c>
      <c r="K69" t="s">
        <v>111</v>
      </c>
      <c r="L69">
        <v>55</v>
      </c>
      <c r="M69" t="s">
        <v>2219</v>
      </c>
      <c r="N69" t="s">
        <v>131</v>
      </c>
      <c r="O69" t="s">
        <v>549</v>
      </c>
      <c r="P69" t="s">
        <v>85</v>
      </c>
    </row>
    <row r="70" spans="1:16" hidden="1" x14ac:dyDescent="0.25">
      <c r="A70" t="s">
        <v>801</v>
      </c>
      <c r="B70" t="s">
        <v>372</v>
      </c>
      <c r="C70" t="s">
        <v>373</v>
      </c>
      <c r="D70" t="s">
        <v>589</v>
      </c>
      <c r="E70" t="s">
        <v>75</v>
      </c>
      <c r="F70" t="s">
        <v>1594</v>
      </c>
      <c r="G70" t="s">
        <v>1624</v>
      </c>
      <c r="H70">
        <v>800</v>
      </c>
      <c r="J70">
        <v>5513</v>
      </c>
      <c r="K70" t="s">
        <v>111</v>
      </c>
      <c r="L70">
        <v>55</v>
      </c>
      <c r="M70" t="s">
        <v>2219</v>
      </c>
      <c r="N70" t="s">
        <v>131</v>
      </c>
      <c r="O70" t="s">
        <v>549</v>
      </c>
      <c r="P70" t="s">
        <v>85</v>
      </c>
    </row>
    <row r="71" spans="1:16" hidden="1" x14ac:dyDescent="0.25">
      <c r="A71" t="s">
        <v>801</v>
      </c>
      <c r="B71" t="s">
        <v>372</v>
      </c>
      <c r="C71" t="s">
        <v>373</v>
      </c>
      <c r="D71" t="s">
        <v>589</v>
      </c>
      <c r="E71" t="s">
        <v>75</v>
      </c>
      <c r="F71" t="s">
        <v>1594</v>
      </c>
      <c r="G71" t="s">
        <v>1604</v>
      </c>
      <c r="H71">
        <v>150</v>
      </c>
      <c r="I71" t="s">
        <v>1606</v>
      </c>
      <c r="J71">
        <v>5504</v>
      </c>
      <c r="K71" t="s">
        <v>102</v>
      </c>
      <c r="L71">
        <v>55</v>
      </c>
      <c r="M71" t="s">
        <v>2219</v>
      </c>
      <c r="N71" t="s">
        <v>131</v>
      </c>
      <c r="O71" t="s">
        <v>549</v>
      </c>
      <c r="P71" t="s">
        <v>85</v>
      </c>
    </row>
    <row r="72" spans="1:16" hidden="1" x14ac:dyDescent="0.25">
      <c r="A72" t="s">
        <v>801</v>
      </c>
      <c r="B72" t="s">
        <v>372</v>
      </c>
      <c r="C72" t="s">
        <v>373</v>
      </c>
      <c r="D72" t="s">
        <v>589</v>
      </c>
      <c r="E72" t="s">
        <v>75</v>
      </c>
      <c r="F72" t="s">
        <v>1594</v>
      </c>
      <c r="G72" t="s">
        <v>176</v>
      </c>
      <c r="H72">
        <v>50</v>
      </c>
      <c r="I72" t="s">
        <v>1605</v>
      </c>
      <c r="J72">
        <v>5504</v>
      </c>
      <c r="K72" t="s">
        <v>102</v>
      </c>
      <c r="L72">
        <v>55</v>
      </c>
      <c r="M72" t="s">
        <v>2219</v>
      </c>
      <c r="N72" t="s">
        <v>131</v>
      </c>
      <c r="O72" t="s">
        <v>549</v>
      </c>
      <c r="P72" t="s">
        <v>85</v>
      </c>
    </row>
    <row r="73" spans="1:16" hidden="1" x14ac:dyDescent="0.25">
      <c r="A73" t="s">
        <v>801</v>
      </c>
      <c r="B73" t="s">
        <v>372</v>
      </c>
      <c r="C73" t="s">
        <v>373</v>
      </c>
      <c r="D73" t="s">
        <v>589</v>
      </c>
      <c r="E73" t="s">
        <v>75</v>
      </c>
      <c r="F73" t="s">
        <v>1594</v>
      </c>
      <c r="G73" t="s">
        <v>1600</v>
      </c>
      <c r="H73">
        <v>76</v>
      </c>
      <c r="I73" t="s">
        <v>1603</v>
      </c>
      <c r="J73">
        <v>5500</v>
      </c>
      <c r="K73" t="s">
        <v>100</v>
      </c>
      <c r="L73">
        <v>55</v>
      </c>
      <c r="M73" t="s">
        <v>2219</v>
      </c>
      <c r="N73" t="s">
        <v>131</v>
      </c>
      <c r="O73" t="s">
        <v>549</v>
      </c>
      <c r="P73" t="s">
        <v>85</v>
      </c>
    </row>
    <row r="74" spans="1:16" hidden="1" x14ac:dyDescent="0.25">
      <c r="A74" t="s">
        <v>801</v>
      </c>
      <c r="B74" t="s">
        <v>372</v>
      </c>
      <c r="C74" t="s">
        <v>373</v>
      </c>
      <c r="D74" t="s">
        <v>589</v>
      </c>
      <c r="E74" t="s">
        <v>75</v>
      </c>
      <c r="F74" t="s">
        <v>1594</v>
      </c>
      <c r="G74" t="s">
        <v>1599</v>
      </c>
      <c r="H74">
        <v>174</v>
      </c>
      <c r="I74" t="s">
        <v>1602</v>
      </c>
      <c r="J74">
        <v>5500</v>
      </c>
      <c r="K74" t="s">
        <v>100</v>
      </c>
      <c r="L74">
        <v>55</v>
      </c>
      <c r="M74" t="s">
        <v>2219</v>
      </c>
      <c r="N74" t="s">
        <v>131</v>
      </c>
      <c r="O74" t="s">
        <v>549</v>
      </c>
      <c r="P74" t="s">
        <v>85</v>
      </c>
    </row>
    <row r="75" spans="1:16" hidden="1" x14ac:dyDescent="0.25">
      <c r="A75" t="s">
        <v>801</v>
      </c>
      <c r="B75" t="s">
        <v>372</v>
      </c>
      <c r="C75" t="s">
        <v>373</v>
      </c>
      <c r="D75" t="s">
        <v>589</v>
      </c>
      <c r="E75" t="s">
        <v>75</v>
      </c>
      <c r="F75" t="s">
        <v>1594</v>
      </c>
      <c r="G75" t="s">
        <v>1598</v>
      </c>
      <c r="H75">
        <v>150</v>
      </c>
      <c r="I75" t="s">
        <v>1601</v>
      </c>
      <c r="J75">
        <v>5500</v>
      </c>
      <c r="K75" t="s">
        <v>100</v>
      </c>
      <c r="L75">
        <v>55</v>
      </c>
      <c r="M75" t="s">
        <v>2219</v>
      </c>
      <c r="N75" t="s">
        <v>131</v>
      </c>
      <c r="O75" t="s">
        <v>549</v>
      </c>
      <c r="P75" t="s">
        <v>85</v>
      </c>
    </row>
    <row r="76" spans="1:16" hidden="1" x14ac:dyDescent="0.25">
      <c r="A76" t="s">
        <v>801</v>
      </c>
      <c r="B76" t="s">
        <v>372</v>
      </c>
      <c r="C76" t="s">
        <v>373</v>
      </c>
      <c r="D76" t="s">
        <v>589</v>
      </c>
      <c r="E76" t="s">
        <v>75</v>
      </c>
      <c r="F76" t="s">
        <v>1594</v>
      </c>
      <c r="G76" t="s">
        <v>1597</v>
      </c>
      <c r="H76">
        <v>2000</v>
      </c>
      <c r="J76">
        <v>5500</v>
      </c>
      <c r="K76" t="s">
        <v>100</v>
      </c>
      <c r="L76">
        <v>55</v>
      </c>
      <c r="M76" t="s">
        <v>2219</v>
      </c>
      <c r="N76" t="s">
        <v>131</v>
      </c>
      <c r="O76" t="s">
        <v>549</v>
      </c>
      <c r="P76" t="s">
        <v>85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3"/>
  <sheetViews>
    <sheetView workbookViewId="0">
      <selection activeCell="B4" sqref="B4"/>
    </sheetView>
  </sheetViews>
  <sheetFormatPr defaultRowHeight="15" x14ac:dyDescent="0.25"/>
  <cols>
    <col min="1" max="1" width="27.140625" customWidth="1"/>
    <col min="2" max="2" width="15.42578125" customWidth="1"/>
    <col min="3" max="3" width="9.140625" customWidth="1"/>
    <col min="6" max="6" width="27.140625" bestFit="1" customWidth="1"/>
    <col min="7" max="9" width="11" customWidth="1"/>
  </cols>
  <sheetData>
    <row r="3" spans="1:9" x14ac:dyDescent="0.25">
      <c r="A3" s="4" t="s">
        <v>396</v>
      </c>
      <c r="B3" t="s">
        <v>399</v>
      </c>
    </row>
    <row r="4" spans="1:9" x14ac:dyDescent="0.25">
      <c r="A4" s="5" t="s">
        <v>258</v>
      </c>
      <c r="B4" s="3">
        <v>43065</v>
      </c>
      <c r="C4">
        <f>VLOOKUP(A4,Table63[],4,FALSE)</f>
        <v>7976.6208000000006</v>
      </c>
      <c r="D4" s="7">
        <f>SUM(B4:C4)</f>
        <v>51041.620800000004</v>
      </c>
      <c r="F4" t="s">
        <v>791</v>
      </c>
      <c r="G4" t="s">
        <v>2223</v>
      </c>
      <c r="H4" t="s">
        <v>2224</v>
      </c>
      <c r="I4" t="s">
        <v>2225</v>
      </c>
    </row>
    <row r="5" spans="1:9" x14ac:dyDescent="0.25">
      <c r="A5" s="5" t="s">
        <v>256</v>
      </c>
      <c r="B5" s="3">
        <v>40358</v>
      </c>
      <c r="C5">
        <f>VLOOKUP(A5,Table63[],4,FALSE)</f>
        <v>35756.712</v>
      </c>
      <c r="D5" s="7">
        <f t="shared" ref="D5:D12" si="0">SUM(B5:C5)</f>
        <v>76114.712</v>
      </c>
      <c r="F5" t="s">
        <v>268</v>
      </c>
      <c r="G5">
        <v>8760</v>
      </c>
      <c r="H5">
        <v>2960.88</v>
      </c>
      <c r="I5">
        <f>SUM(G5:H5)</f>
        <v>11720.880000000001</v>
      </c>
    </row>
    <row r="6" spans="1:9" x14ac:dyDescent="0.25">
      <c r="A6" s="5" t="s">
        <v>260</v>
      </c>
      <c r="B6" s="3">
        <v>31380</v>
      </c>
      <c r="C6">
        <f>VLOOKUP(A6,Table63[],4,FALSE)</f>
        <v>8670.24</v>
      </c>
      <c r="D6" s="7">
        <f t="shared" si="0"/>
        <v>40050.239999999998</v>
      </c>
      <c r="F6" t="s">
        <v>258</v>
      </c>
      <c r="G6">
        <v>5961.6</v>
      </c>
      <c r="H6">
        <v>2015.0208000000002</v>
      </c>
      <c r="I6">
        <f t="shared" ref="I6:I12" si="1">SUM(G6:H6)</f>
        <v>7976.6208000000006</v>
      </c>
    </row>
    <row r="7" spans="1:9" x14ac:dyDescent="0.25">
      <c r="A7" s="5" t="s">
        <v>264</v>
      </c>
      <c r="B7" s="3">
        <v>101380.28</v>
      </c>
      <c r="C7">
        <f>VLOOKUP(A7,Table63[],4,FALSE)</f>
        <v>74956.320000000007</v>
      </c>
      <c r="D7" s="7">
        <f t="shared" si="0"/>
        <v>176336.6</v>
      </c>
      <c r="F7" t="s">
        <v>256</v>
      </c>
      <c r="G7">
        <v>26724</v>
      </c>
      <c r="H7">
        <v>9032.7119999999995</v>
      </c>
      <c r="I7">
        <f t="shared" si="1"/>
        <v>35756.712</v>
      </c>
    </row>
    <row r="8" spans="1:9" x14ac:dyDescent="0.25">
      <c r="A8" s="5" t="s">
        <v>262</v>
      </c>
      <c r="B8" s="3">
        <v>57668.12</v>
      </c>
      <c r="C8">
        <f>VLOOKUP(A8,Table63[],4,FALSE)</f>
        <v>49714.995599999995</v>
      </c>
      <c r="D8" s="7">
        <f t="shared" si="0"/>
        <v>107383.11559999999</v>
      </c>
      <c r="F8" t="s">
        <v>266</v>
      </c>
      <c r="G8">
        <v>12264</v>
      </c>
      <c r="H8">
        <v>4145.2320000000009</v>
      </c>
      <c r="I8">
        <f t="shared" si="1"/>
        <v>16409.232</v>
      </c>
    </row>
    <row r="9" spans="1:9" x14ac:dyDescent="0.25">
      <c r="A9" s="5" t="s">
        <v>2038</v>
      </c>
      <c r="B9" s="3">
        <v>104464</v>
      </c>
      <c r="C9">
        <f>VLOOKUP(A9,Table63[],4,FALSE)</f>
        <v>79525.368000000002</v>
      </c>
      <c r="D9" s="7">
        <f t="shared" si="0"/>
        <v>183989.36800000002</v>
      </c>
      <c r="F9" t="s">
        <v>260</v>
      </c>
      <c r="G9">
        <v>6480</v>
      </c>
      <c r="H9">
        <v>2190.2400000000002</v>
      </c>
      <c r="I9">
        <f t="shared" si="1"/>
        <v>8670.24</v>
      </c>
    </row>
    <row r="10" spans="1:9" x14ac:dyDescent="0.25">
      <c r="A10" s="5" t="s">
        <v>268</v>
      </c>
      <c r="B10" s="3">
        <v>34991.479999999996</v>
      </c>
      <c r="C10">
        <f>VLOOKUP(A10,Table63[],4,FALSE)</f>
        <v>11720.880000000001</v>
      </c>
      <c r="D10" s="7">
        <f t="shared" si="0"/>
        <v>46712.36</v>
      </c>
      <c r="F10" t="s">
        <v>262</v>
      </c>
      <c r="G10">
        <v>37156.199999999997</v>
      </c>
      <c r="H10">
        <v>12558.795600000001</v>
      </c>
      <c r="I10">
        <f t="shared" si="1"/>
        <v>49714.995599999995</v>
      </c>
    </row>
    <row r="11" spans="1:9" x14ac:dyDescent="0.25">
      <c r="A11" s="5" t="s">
        <v>266</v>
      </c>
      <c r="B11" s="3">
        <v>16460</v>
      </c>
      <c r="C11">
        <f>VLOOKUP(A11,Table63[],4,FALSE)</f>
        <v>16409.232</v>
      </c>
      <c r="D11" s="7">
        <f t="shared" si="0"/>
        <v>32869.232000000004</v>
      </c>
      <c r="F11" t="s">
        <v>264</v>
      </c>
      <c r="G11">
        <v>59040</v>
      </c>
      <c r="H11">
        <v>15916.32</v>
      </c>
      <c r="I11">
        <f t="shared" si="1"/>
        <v>74956.320000000007</v>
      </c>
    </row>
    <row r="12" spans="1:9" x14ac:dyDescent="0.25">
      <c r="A12" s="5" t="s">
        <v>270</v>
      </c>
      <c r="B12" s="3">
        <v>10500</v>
      </c>
      <c r="D12" s="7">
        <f t="shared" si="0"/>
        <v>10500</v>
      </c>
      <c r="F12" t="s">
        <v>2038</v>
      </c>
      <c r="G12">
        <v>59436</v>
      </c>
      <c r="H12">
        <v>20089.367999999999</v>
      </c>
      <c r="I12">
        <f t="shared" si="1"/>
        <v>79525.368000000002</v>
      </c>
    </row>
    <row r="13" spans="1:9" x14ac:dyDescent="0.25">
      <c r="A13" s="5" t="s">
        <v>397</v>
      </c>
      <c r="B13" s="3">
        <v>440266.88</v>
      </c>
      <c r="D13" s="7">
        <f>SUM(D4:D12)</f>
        <v>724997.24839999992</v>
      </c>
    </row>
  </sheetData>
  <pageMargins left="0.7" right="0.7" top="0.75" bottom="0.75" header="0.3" footer="0.3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4"/>
  <sheetViews>
    <sheetView workbookViewId="0">
      <selection activeCell="G119" sqref="G119"/>
    </sheetView>
  </sheetViews>
  <sheetFormatPr defaultRowHeight="15" x14ac:dyDescent="0.25"/>
  <cols>
    <col min="1" max="1" width="11.5703125" customWidth="1"/>
    <col min="2" max="2" width="13" customWidth="1"/>
    <col min="3" max="3" width="21.7109375" customWidth="1"/>
    <col min="4" max="4" width="23.28515625" customWidth="1"/>
    <col min="5" max="5" width="26.28515625" customWidth="1"/>
    <col min="6" max="6" width="21.85546875" customWidth="1"/>
    <col min="7" max="7" width="19.7109375" customWidth="1"/>
    <col min="8" max="8" width="10.85546875" customWidth="1"/>
    <col min="9" max="9" width="12" customWidth="1"/>
    <col min="11" max="11" width="16.140625" customWidth="1"/>
    <col min="12" max="12" width="15.85546875" customWidth="1"/>
    <col min="13" max="13" width="14" customWidth="1"/>
    <col min="14" max="14" width="24" customWidth="1"/>
    <col min="15" max="16" width="21" customWidth="1"/>
  </cols>
  <sheetData>
    <row r="1" spans="1:16" x14ac:dyDescent="0.25">
      <c r="A1" t="s">
        <v>7</v>
      </c>
      <c r="B1" t="s">
        <v>1</v>
      </c>
      <c r="C1" t="s">
        <v>246</v>
      </c>
      <c r="D1" t="s">
        <v>490</v>
      </c>
      <c r="E1" t="s">
        <v>67</v>
      </c>
      <c r="F1" t="s">
        <v>5</v>
      </c>
      <c r="G1" t="s">
        <v>6</v>
      </c>
      <c r="H1" t="s">
        <v>398</v>
      </c>
      <c r="I1" t="s">
        <v>165</v>
      </c>
      <c r="J1" t="s">
        <v>2</v>
      </c>
      <c r="K1" t="s">
        <v>91</v>
      </c>
      <c r="L1" t="s">
        <v>77</v>
      </c>
      <c r="M1" t="s">
        <v>9</v>
      </c>
      <c r="N1" t="s">
        <v>160</v>
      </c>
      <c r="O1" t="s">
        <v>2009</v>
      </c>
      <c r="P1" t="s">
        <v>135</v>
      </c>
    </row>
    <row r="2" spans="1:16" hidden="1" x14ac:dyDescent="0.25">
      <c r="A2" t="s">
        <v>1103</v>
      </c>
      <c r="B2" t="s">
        <v>269</v>
      </c>
      <c r="C2" t="s">
        <v>270</v>
      </c>
      <c r="D2" t="s">
        <v>573</v>
      </c>
      <c r="E2" t="s">
        <v>73</v>
      </c>
      <c r="F2" t="s">
        <v>1043</v>
      </c>
      <c r="G2" t="s">
        <v>1915</v>
      </c>
      <c r="H2">
        <v>662.40000000000009</v>
      </c>
      <c r="J2">
        <v>5514</v>
      </c>
      <c r="K2" t="s">
        <v>110</v>
      </c>
      <c r="L2">
        <v>55</v>
      </c>
      <c r="M2" t="s">
        <v>2219</v>
      </c>
      <c r="N2" t="s">
        <v>131</v>
      </c>
      <c r="O2" t="s">
        <v>549</v>
      </c>
      <c r="P2" t="s">
        <v>85</v>
      </c>
    </row>
    <row r="3" spans="1:16" hidden="1" x14ac:dyDescent="0.25">
      <c r="A3" t="s">
        <v>1103</v>
      </c>
      <c r="B3" t="s">
        <v>269</v>
      </c>
      <c r="C3" t="s">
        <v>270</v>
      </c>
      <c r="D3" t="s">
        <v>573</v>
      </c>
      <c r="E3" t="s">
        <v>73</v>
      </c>
      <c r="F3" t="s">
        <v>1043</v>
      </c>
      <c r="G3" t="s">
        <v>1916</v>
      </c>
      <c r="H3">
        <v>837.6</v>
      </c>
      <c r="J3">
        <v>5511</v>
      </c>
      <c r="K3" t="s">
        <v>106</v>
      </c>
      <c r="L3">
        <v>55</v>
      </c>
      <c r="M3" t="s">
        <v>2219</v>
      </c>
      <c r="N3" t="s">
        <v>131</v>
      </c>
      <c r="O3" t="s">
        <v>549</v>
      </c>
      <c r="P3" t="s">
        <v>85</v>
      </c>
    </row>
    <row r="4" spans="1:16" hidden="1" x14ac:dyDescent="0.25">
      <c r="A4" t="s">
        <v>1103</v>
      </c>
      <c r="B4" t="s">
        <v>269</v>
      </c>
      <c r="C4" t="s">
        <v>270</v>
      </c>
      <c r="D4" t="s">
        <v>573</v>
      </c>
      <c r="E4" t="s">
        <v>73</v>
      </c>
      <c r="F4" t="s">
        <v>1043</v>
      </c>
      <c r="G4" t="s">
        <v>1953</v>
      </c>
      <c r="H4">
        <v>9000</v>
      </c>
      <c r="J4">
        <v>5511</v>
      </c>
      <c r="K4" t="s">
        <v>106</v>
      </c>
      <c r="L4">
        <v>55</v>
      </c>
      <c r="M4" t="s">
        <v>2219</v>
      </c>
      <c r="N4" t="s">
        <v>131</v>
      </c>
      <c r="O4" t="s">
        <v>549</v>
      </c>
      <c r="P4" t="s">
        <v>85</v>
      </c>
    </row>
    <row r="5" spans="1:16" hidden="1" x14ac:dyDescent="0.25">
      <c r="A5" t="s">
        <v>1103</v>
      </c>
      <c r="B5" t="s">
        <v>267</v>
      </c>
      <c r="C5" t="s">
        <v>268</v>
      </c>
      <c r="D5" t="s">
        <v>573</v>
      </c>
      <c r="E5" t="s">
        <v>73</v>
      </c>
      <c r="F5" t="s">
        <v>1023</v>
      </c>
      <c r="G5" t="s">
        <v>1025</v>
      </c>
      <c r="H5">
        <v>10000</v>
      </c>
      <c r="J5">
        <v>5512</v>
      </c>
      <c r="K5" t="s">
        <v>109</v>
      </c>
      <c r="L5">
        <v>55</v>
      </c>
      <c r="M5" t="s">
        <v>2219</v>
      </c>
      <c r="N5" t="s">
        <v>131</v>
      </c>
      <c r="O5" t="s">
        <v>549</v>
      </c>
      <c r="P5" t="s">
        <v>85</v>
      </c>
    </row>
    <row r="6" spans="1:16" hidden="1" x14ac:dyDescent="0.25">
      <c r="A6" t="s">
        <v>1103</v>
      </c>
      <c r="B6" t="s">
        <v>267</v>
      </c>
      <c r="C6" t="s">
        <v>268</v>
      </c>
      <c r="D6" t="s">
        <v>573</v>
      </c>
      <c r="E6" t="s">
        <v>73</v>
      </c>
      <c r="F6" t="s">
        <v>1023</v>
      </c>
      <c r="G6" t="s">
        <v>1024</v>
      </c>
      <c r="H6">
        <v>2000</v>
      </c>
      <c r="J6">
        <v>5511</v>
      </c>
      <c r="K6" t="s">
        <v>106</v>
      </c>
      <c r="L6">
        <v>55</v>
      </c>
      <c r="M6" t="s">
        <v>2219</v>
      </c>
      <c r="N6" t="s">
        <v>131</v>
      </c>
      <c r="O6" t="s">
        <v>549</v>
      </c>
      <c r="P6" t="s">
        <v>85</v>
      </c>
    </row>
    <row r="7" spans="1:16" hidden="1" x14ac:dyDescent="0.25">
      <c r="A7" t="s">
        <v>1103</v>
      </c>
      <c r="B7" t="s">
        <v>267</v>
      </c>
      <c r="C7" t="s">
        <v>268</v>
      </c>
      <c r="D7" t="s">
        <v>573</v>
      </c>
      <c r="E7" t="s">
        <v>73</v>
      </c>
      <c r="F7" t="s">
        <v>1023</v>
      </c>
      <c r="G7" t="s">
        <v>1039</v>
      </c>
      <c r="H7">
        <v>500</v>
      </c>
      <c r="I7" t="s">
        <v>1040</v>
      </c>
      <c r="J7">
        <v>5511</v>
      </c>
      <c r="K7" t="s">
        <v>106</v>
      </c>
      <c r="L7">
        <v>55</v>
      </c>
      <c r="M7" t="s">
        <v>2219</v>
      </c>
      <c r="N7" t="s">
        <v>131</v>
      </c>
      <c r="O7" t="s">
        <v>549</v>
      </c>
      <c r="P7" t="s">
        <v>85</v>
      </c>
    </row>
    <row r="8" spans="1:16" hidden="1" x14ac:dyDescent="0.25">
      <c r="A8" t="s">
        <v>1103</v>
      </c>
      <c r="B8" t="s">
        <v>267</v>
      </c>
      <c r="C8" t="s">
        <v>268</v>
      </c>
      <c r="D8" t="s">
        <v>573</v>
      </c>
      <c r="E8" t="s">
        <v>73</v>
      </c>
      <c r="F8" t="s">
        <v>1023</v>
      </c>
      <c r="G8" t="s">
        <v>1038</v>
      </c>
      <c r="H8">
        <v>6000</v>
      </c>
      <c r="I8" t="s">
        <v>1030</v>
      </c>
      <c r="J8">
        <v>5511</v>
      </c>
      <c r="K8" t="s">
        <v>106</v>
      </c>
      <c r="L8">
        <v>55</v>
      </c>
      <c r="M8" t="s">
        <v>2219</v>
      </c>
      <c r="N8" t="s">
        <v>131</v>
      </c>
      <c r="O8" t="s">
        <v>549</v>
      </c>
      <c r="P8" t="s">
        <v>85</v>
      </c>
    </row>
    <row r="9" spans="1:16" hidden="1" x14ac:dyDescent="0.25">
      <c r="A9" t="s">
        <v>1103</v>
      </c>
      <c r="B9" t="s">
        <v>267</v>
      </c>
      <c r="C9" t="s">
        <v>268</v>
      </c>
      <c r="D9" t="s">
        <v>573</v>
      </c>
      <c r="E9" t="s">
        <v>73</v>
      </c>
      <c r="F9" t="s">
        <v>1023</v>
      </c>
      <c r="G9" t="s">
        <v>1036</v>
      </c>
      <c r="H9">
        <v>6000</v>
      </c>
      <c r="I9" t="s">
        <v>1037</v>
      </c>
      <c r="J9">
        <v>5511</v>
      </c>
      <c r="K9" t="s">
        <v>106</v>
      </c>
      <c r="L9">
        <v>55</v>
      </c>
      <c r="M9" t="s">
        <v>2219</v>
      </c>
      <c r="N9" t="s">
        <v>131</v>
      </c>
      <c r="O9" t="s">
        <v>549</v>
      </c>
      <c r="P9" t="s">
        <v>85</v>
      </c>
    </row>
    <row r="10" spans="1:16" hidden="1" x14ac:dyDescent="0.25">
      <c r="A10" t="s">
        <v>1103</v>
      </c>
      <c r="B10" t="s">
        <v>267</v>
      </c>
      <c r="C10" t="s">
        <v>268</v>
      </c>
      <c r="D10" t="s">
        <v>573</v>
      </c>
      <c r="E10" t="s">
        <v>73</v>
      </c>
      <c r="F10" t="s">
        <v>1023</v>
      </c>
      <c r="G10" t="s">
        <v>966</v>
      </c>
      <c r="H10">
        <v>500</v>
      </c>
      <c r="I10" t="s">
        <v>1035</v>
      </c>
      <c r="J10">
        <v>5511</v>
      </c>
      <c r="K10" t="s">
        <v>106</v>
      </c>
      <c r="L10">
        <v>55</v>
      </c>
      <c r="M10" t="s">
        <v>2219</v>
      </c>
      <c r="N10" t="s">
        <v>131</v>
      </c>
      <c r="O10" t="s">
        <v>549</v>
      </c>
      <c r="P10" t="s">
        <v>85</v>
      </c>
    </row>
    <row r="11" spans="1:16" hidden="1" x14ac:dyDescent="0.25">
      <c r="A11" t="s">
        <v>1103</v>
      </c>
      <c r="B11" t="s">
        <v>267</v>
      </c>
      <c r="C11" t="s">
        <v>268</v>
      </c>
      <c r="D11" t="s">
        <v>573</v>
      </c>
      <c r="E11" t="s">
        <v>73</v>
      </c>
      <c r="F11" t="s">
        <v>1023</v>
      </c>
      <c r="G11" t="s">
        <v>1034</v>
      </c>
      <c r="H11">
        <v>2556.48</v>
      </c>
      <c r="J11">
        <v>5511</v>
      </c>
      <c r="K11" t="s">
        <v>106</v>
      </c>
      <c r="L11">
        <v>55</v>
      </c>
      <c r="M11" t="s">
        <v>2219</v>
      </c>
      <c r="N11" t="s">
        <v>131</v>
      </c>
      <c r="O11" t="s">
        <v>549</v>
      </c>
      <c r="P11" t="s">
        <v>85</v>
      </c>
    </row>
    <row r="12" spans="1:16" hidden="1" x14ac:dyDescent="0.25">
      <c r="A12" t="s">
        <v>1103</v>
      </c>
      <c r="B12" t="s">
        <v>267</v>
      </c>
      <c r="C12" t="s">
        <v>268</v>
      </c>
      <c r="D12" t="s">
        <v>573</v>
      </c>
      <c r="E12" t="s">
        <v>73</v>
      </c>
      <c r="F12" t="s">
        <v>1023</v>
      </c>
      <c r="G12" t="s">
        <v>1033</v>
      </c>
      <c r="H12">
        <v>2400</v>
      </c>
      <c r="J12">
        <v>5511</v>
      </c>
      <c r="K12" t="s">
        <v>106</v>
      </c>
      <c r="L12">
        <v>55</v>
      </c>
      <c r="M12" t="s">
        <v>2219</v>
      </c>
      <c r="N12" t="s">
        <v>131</v>
      </c>
      <c r="O12" t="s">
        <v>549</v>
      </c>
      <c r="P12" t="s">
        <v>85</v>
      </c>
    </row>
    <row r="13" spans="1:16" hidden="1" x14ac:dyDescent="0.25">
      <c r="A13" t="s">
        <v>1103</v>
      </c>
      <c r="B13" t="s">
        <v>267</v>
      </c>
      <c r="C13" t="s">
        <v>268</v>
      </c>
      <c r="D13" t="s">
        <v>573</v>
      </c>
      <c r="E13" t="s">
        <v>73</v>
      </c>
      <c r="F13" t="s">
        <v>1023</v>
      </c>
      <c r="G13" t="s">
        <v>1032</v>
      </c>
      <c r="H13">
        <v>1000</v>
      </c>
      <c r="J13">
        <v>5511</v>
      </c>
      <c r="K13" t="s">
        <v>106</v>
      </c>
      <c r="L13">
        <v>55</v>
      </c>
      <c r="M13" t="s">
        <v>2219</v>
      </c>
      <c r="N13" t="s">
        <v>131</v>
      </c>
      <c r="O13" t="s">
        <v>549</v>
      </c>
      <c r="P13" t="s">
        <v>85</v>
      </c>
    </row>
    <row r="14" spans="1:16" hidden="1" x14ac:dyDescent="0.25">
      <c r="A14" t="s">
        <v>1103</v>
      </c>
      <c r="B14" t="s">
        <v>267</v>
      </c>
      <c r="C14" t="s">
        <v>268</v>
      </c>
      <c r="D14" t="s">
        <v>573</v>
      </c>
      <c r="E14" t="s">
        <v>73</v>
      </c>
      <c r="F14" t="s">
        <v>1023</v>
      </c>
      <c r="G14" t="s">
        <v>995</v>
      </c>
      <c r="H14">
        <v>411</v>
      </c>
      <c r="I14" t="s">
        <v>1031</v>
      </c>
      <c r="J14">
        <v>5511</v>
      </c>
      <c r="K14" t="s">
        <v>106</v>
      </c>
      <c r="L14">
        <v>55</v>
      </c>
      <c r="M14" t="s">
        <v>2219</v>
      </c>
      <c r="N14" t="s">
        <v>131</v>
      </c>
      <c r="O14" t="s">
        <v>549</v>
      </c>
      <c r="P14" t="s">
        <v>85</v>
      </c>
    </row>
    <row r="15" spans="1:16" hidden="1" x14ac:dyDescent="0.25">
      <c r="A15" t="s">
        <v>1103</v>
      </c>
      <c r="B15" t="s">
        <v>267</v>
      </c>
      <c r="C15" t="s">
        <v>268</v>
      </c>
      <c r="D15" t="s">
        <v>573</v>
      </c>
      <c r="E15" t="s">
        <v>73</v>
      </c>
      <c r="F15" t="s">
        <v>1023</v>
      </c>
      <c r="G15" t="s">
        <v>971</v>
      </c>
      <c r="H15">
        <v>3000</v>
      </c>
      <c r="J15">
        <v>5511</v>
      </c>
      <c r="K15" t="s">
        <v>106</v>
      </c>
      <c r="L15">
        <v>55</v>
      </c>
      <c r="M15" t="s">
        <v>2219</v>
      </c>
      <c r="N15" t="s">
        <v>131</v>
      </c>
      <c r="O15" t="s">
        <v>549</v>
      </c>
      <c r="P15" t="s">
        <v>85</v>
      </c>
    </row>
    <row r="16" spans="1:16" hidden="1" x14ac:dyDescent="0.25">
      <c r="A16" t="s">
        <v>1103</v>
      </c>
      <c r="B16" t="s">
        <v>267</v>
      </c>
      <c r="C16" t="s">
        <v>268</v>
      </c>
      <c r="D16" t="s">
        <v>573</v>
      </c>
      <c r="E16" t="s">
        <v>73</v>
      </c>
      <c r="F16" t="s">
        <v>1023</v>
      </c>
      <c r="G16" t="s">
        <v>1029</v>
      </c>
      <c r="H16">
        <v>624</v>
      </c>
      <c r="I16" t="s">
        <v>1030</v>
      </c>
      <c r="J16">
        <v>5511</v>
      </c>
      <c r="K16" t="s">
        <v>106</v>
      </c>
      <c r="L16">
        <v>55</v>
      </c>
      <c r="M16" t="s">
        <v>2219</v>
      </c>
      <c r="N16" t="s">
        <v>131</v>
      </c>
      <c r="O16" t="s">
        <v>549</v>
      </c>
      <c r="P16" t="s">
        <v>85</v>
      </c>
    </row>
    <row r="17" spans="1:16" hidden="1" x14ac:dyDescent="0.25">
      <c r="A17" t="s">
        <v>1103</v>
      </c>
      <c r="B17" t="s">
        <v>265</v>
      </c>
      <c r="C17" t="s">
        <v>266</v>
      </c>
      <c r="D17" t="s">
        <v>573</v>
      </c>
      <c r="E17" t="s">
        <v>73</v>
      </c>
      <c r="F17" t="s">
        <v>1023</v>
      </c>
      <c r="G17" t="s">
        <v>978</v>
      </c>
      <c r="H17">
        <v>225</v>
      </c>
      <c r="J17">
        <v>5511</v>
      </c>
      <c r="K17" t="s">
        <v>106</v>
      </c>
      <c r="L17">
        <v>55</v>
      </c>
      <c r="M17" t="s">
        <v>2219</v>
      </c>
      <c r="N17" t="s">
        <v>131</v>
      </c>
      <c r="O17" t="s">
        <v>549</v>
      </c>
      <c r="P17" t="s">
        <v>85</v>
      </c>
    </row>
    <row r="18" spans="1:16" hidden="1" x14ac:dyDescent="0.25">
      <c r="A18" t="s">
        <v>1103</v>
      </c>
      <c r="B18" t="s">
        <v>265</v>
      </c>
      <c r="C18" t="s">
        <v>266</v>
      </c>
      <c r="D18" t="s">
        <v>573</v>
      </c>
      <c r="E18" t="s">
        <v>73</v>
      </c>
      <c r="F18" t="s">
        <v>1023</v>
      </c>
      <c r="G18" t="s">
        <v>1000</v>
      </c>
      <c r="H18">
        <v>600</v>
      </c>
      <c r="J18">
        <v>5511</v>
      </c>
      <c r="K18" t="s">
        <v>106</v>
      </c>
      <c r="L18">
        <v>55</v>
      </c>
      <c r="M18" t="s">
        <v>2219</v>
      </c>
      <c r="N18" t="s">
        <v>131</v>
      </c>
      <c r="O18" t="s">
        <v>549</v>
      </c>
      <c r="P18" t="s">
        <v>85</v>
      </c>
    </row>
    <row r="19" spans="1:16" hidden="1" x14ac:dyDescent="0.25">
      <c r="A19" t="s">
        <v>1103</v>
      </c>
      <c r="B19" t="s">
        <v>265</v>
      </c>
      <c r="C19" t="s">
        <v>266</v>
      </c>
      <c r="D19" t="s">
        <v>573</v>
      </c>
      <c r="E19" t="s">
        <v>73</v>
      </c>
      <c r="F19" t="s">
        <v>1023</v>
      </c>
      <c r="G19" t="s">
        <v>1022</v>
      </c>
      <c r="H19">
        <v>4500</v>
      </c>
      <c r="J19">
        <v>5511</v>
      </c>
      <c r="K19" t="s">
        <v>106</v>
      </c>
      <c r="L19">
        <v>55</v>
      </c>
      <c r="M19" t="s">
        <v>2219</v>
      </c>
      <c r="N19" t="s">
        <v>131</v>
      </c>
      <c r="O19" t="s">
        <v>549</v>
      </c>
      <c r="P19" t="s">
        <v>85</v>
      </c>
    </row>
    <row r="20" spans="1:16" hidden="1" x14ac:dyDescent="0.25">
      <c r="A20" t="s">
        <v>1103</v>
      </c>
      <c r="B20" t="s">
        <v>265</v>
      </c>
      <c r="C20" t="s">
        <v>266</v>
      </c>
      <c r="D20" t="s">
        <v>573</v>
      </c>
      <c r="E20" t="s">
        <v>73</v>
      </c>
      <c r="F20" t="s">
        <v>1023</v>
      </c>
      <c r="G20" t="s">
        <v>943</v>
      </c>
      <c r="H20">
        <v>1700</v>
      </c>
      <c r="J20">
        <v>5511</v>
      </c>
      <c r="K20" t="s">
        <v>106</v>
      </c>
      <c r="L20">
        <v>55</v>
      </c>
      <c r="M20" t="s">
        <v>2219</v>
      </c>
      <c r="N20" t="s">
        <v>131</v>
      </c>
      <c r="O20" t="s">
        <v>549</v>
      </c>
      <c r="P20" t="s">
        <v>85</v>
      </c>
    </row>
    <row r="21" spans="1:16" hidden="1" x14ac:dyDescent="0.25">
      <c r="A21" t="s">
        <v>1103</v>
      </c>
      <c r="B21" t="s">
        <v>265</v>
      </c>
      <c r="C21" t="s">
        <v>266</v>
      </c>
      <c r="D21" t="s">
        <v>573</v>
      </c>
      <c r="E21" t="s">
        <v>73</v>
      </c>
      <c r="F21" t="s">
        <v>1023</v>
      </c>
      <c r="G21" t="s">
        <v>510</v>
      </c>
      <c r="H21">
        <v>800</v>
      </c>
      <c r="J21">
        <v>5511</v>
      </c>
      <c r="K21" t="s">
        <v>106</v>
      </c>
      <c r="L21">
        <v>55</v>
      </c>
      <c r="M21" t="s">
        <v>2219</v>
      </c>
      <c r="N21" t="s">
        <v>131</v>
      </c>
      <c r="O21" t="s">
        <v>549</v>
      </c>
      <c r="P21" t="s">
        <v>85</v>
      </c>
    </row>
    <row r="22" spans="1:16" hidden="1" x14ac:dyDescent="0.25">
      <c r="A22" t="s">
        <v>1103</v>
      </c>
      <c r="B22" t="s">
        <v>265</v>
      </c>
      <c r="C22" t="s">
        <v>266</v>
      </c>
      <c r="D22" t="s">
        <v>573</v>
      </c>
      <c r="E22" t="s">
        <v>73</v>
      </c>
      <c r="F22" t="s">
        <v>1023</v>
      </c>
      <c r="G22" t="s">
        <v>971</v>
      </c>
      <c r="H22">
        <v>35</v>
      </c>
      <c r="J22">
        <v>5511</v>
      </c>
      <c r="K22" t="s">
        <v>106</v>
      </c>
      <c r="L22">
        <v>55</v>
      </c>
      <c r="M22" t="s">
        <v>2219</v>
      </c>
      <c r="N22" t="s">
        <v>131</v>
      </c>
      <c r="O22" t="s">
        <v>549</v>
      </c>
      <c r="P22" t="s">
        <v>85</v>
      </c>
    </row>
    <row r="23" spans="1:16" hidden="1" x14ac:dyDescent="0.25">
      <c r="A23" t="s">
        <v>1103</v>
      </c>
      <c r="B23" t="s">
        <v>265</v>
      </c>
      <c r="C23" t="s">
        <v>266</v>
      </c>
      <c r="D23" t="s">
        <v>573</v>
      </c>
      <c r="E23" t="s">
        <v>73</v>
      </c>
      <c r="F23" t="s">
        <v>1023</v>
      </c>
      <c r="G23" t="s">
        <v>1021</v>
      </c>
      <c r="H23">
        <v>8600</v>
      </c>
      <c r="J23">
        <v>5511</v>
      </c>
      <c r="K23" t="s">
        <v>106</v>
      </c>
      <c r="L23">
        <v>55</v>
      </c>
      <c r="M23" t="s">
        <v>2219</v>
      </c>
      <c r="N23" t="s">
        <v>131</v>
      </c>
      <c r="O23" t="s">
        <v>549</v>
      </c>
      <c r="P23" t="s">
        <v>85</v>
      </c>
    </row>
    <row r="24" spans="1:16" hidden="1" x14ac:dyDescent="0.25">
      <c r="A24" t="s">
        <v>1103</v>
      </c>
      <c r="B24" t="s">
        <v>263</v>
      </c>
      <c r="C24" t="s">
        <v>264</v>
      </c>
      <c r="D24" t="s">
        <v>573</v>
      </c>
      <c r="E24" t="s">
        <v>73</v>
      </c>
      <c r="F24" t="s">
        <v>1919</v>
      </c>
      <c r="G24" t="s">
        <v>1942</v>
      </c>
      <c r="H24">
        <v>6000</v>
      </c>
      <c r="J24">
        <v>5515</v>
      </c>
      <c r="K24" t="s">
        <v>112</v>
      </c>
      <c r="L24">
        <v>55</v>
      </c>
      <c r="M24" t="s">
        <v>2219</v>
      </c>
      <c r="N24" t="s">
        <v>131</v>
      </c>
      <c r="O24" t="s">
        <v>549</v>
      </c>
      <c r="P24" t="s">
        <v>85</v>
      </c>
    </row>
    <row r="25" spans="1:16" hidden="1" x14ac:dyDescent="0.25">
      <c r="A25" t="s">
        <v>1103</v>
      </c>
      <c r="B25" t="s">
        <v>263</v>
      </c>
      <c r="C25" t="s">
        <v>264</v>
      </c>
      <c r="D25" t="s">
        <v>573</v>
      </c>
      <c r="E25" t="s">
        <v>73</v>
      </c>
      <c r="F25" t="s">
        <v>1919</v>
      </c>
      <c r="G25" t="s">
        <v>1941</v>
      </c>
      <c r="H25">
        <v>4000</v>
      </c>
      <c r="J25">
        <v>5513</v>
      </c>
      <c r="K25" t="s">
        <v>111</v>
      </c>
      <c r="L25">
        <v>55</v>
      </c>
      <c r="M25" t="s">
        <v>2219</v>
      </c>
      <c r="N25" t="s">
        <v>131</v>
      </c>
      <c r="O25" t="s">
        <v>549</v>
      </c>
      <c r="P25" t="s">
        <v>85</v>
      </c>
    </row>
    <row r="26" spans="1:16" hidden="1" x14ac:dyDescent="0.25">
      <c r="A26" t="s">
        <v>1103</v>
      </c>
      <c r="B26" t="s">
        <v>263</v>
      </c>
      <c r="C26" t="s">
        <v>264</v>
      </c>
      <c r="D26" t="s">
        <v>573</v>
      </c>
      <c r="E26" t="s">
        <v>73</v>
      </c>
      <c r="F26" t="s">
        <v>1919</v>
      </c>
      <c r="G26" t="s">
        <v>1940</v>
      </c>
      <c r="H26">
        <v>3000</v>
      </c>
      <c r="J26">
        <v>5513</v>
      </c>
      <c r="K26" t="s">
        <v>111</v>
      </c>
      <c r="L26">
        <v>55</v>
      </c>
      <c r="M26" t="s">
        <v>2219</v>
      </c>
      <c r="N26" t="s">
        <v>131</v>
      </c>
      <c r="O26" t="s">
        <v>549</v>
      </c>
      <c r="P26" t="s">
        <v>85</v>
      </c>
    </row>
    <row r="27" spans="1:16" hidden="1" x14ac:dyDescent="0.25">
      <c r="A27" t="s">
        <v>1103</v>
      </c>
      <c r="B27" t="s">
        <v>263</v>
      </c>
      <c r="C27" t="s">
        <v>264</v>
      </c>
      <c r="D27" t="s">
        <v>573</v>
      </c>
      <c r="E27" t="s">
        <v>73</v>
      </c>
      <c r="F27" t="s">
        <v>1919</v>
      </c>
      <c r="G27" t="s">
        <v>198</v>
      </c>
      <c r="H27">
        <v>13000</v>
      </c>
      <c r="J27">
        <v>5513</v>
      </c>
      <c r="K27" t="s">
        <v>111</v>
      </c>
      <c r="L27">
        <v>55</v>
      </c>
      <c r="M27" t="s">
        <v>2219</v>
      </c>
      <c r="N27" t="s">
        <v>131</v>
      </c>
      <c r="O27" t="s">
        <v>549</v>
      </c>
      <c r="P27" t="s">
        <v>85</v>
      </c>
    </row>
    <row r="28" spans="1:16" hidden="1" x14ac:dyDescent="0.25">
      <c r="A28" t="s">
        <v>1103</v>
      </c>
      <c r="B28" t="s">
        <v>263</v>
      </c>
      <c r="C28" t="s">
        <v>264</v>
      </c>
      <c r="D28" t="s">
        <v>573</v>
      </c>
      <c r="E28" t="s">
        <v>73</v>
      </c>
      <c r="F28" t="s">
        <v>1919</v>
      </c>
      <c r="G28" t="s">
        <v>1938</v>
      </c>
      <c r="H28">
        <v>1400</v>
      </c>
      <c r="I28" t="s">
        <v>1939</v>
      </c>
      <c r="J28">
        <v>5513</v>
      </c>
      <c r="K28" t="s">
        <v>111</v>
      </c>
      <c r="L28">
        <v>55</v>
      </c>
      <c r="M28" t="s">
        <v>2219</v>
      </c>
      <c r="N28" t="s">
        <v>131</v>
      </c>
      <c r="O28" t="s">
        <v>549</v>
      </c>
      <c r="P28" t="s">
        <v>85</v>
      </c>
    </row>
    <row r="29" spans="1:16" hidden="1" x14ac:dyDescent="0.25">
      <c r="A29" t="s">
        <v>1103</v>
      </c>
      <c r="B29" t="s">
        <v>263</v>
      </c>
      <c r="C29" t="s">
        <v>264</v>
      </c>
      <c r="D29" t="s">
        <v>573</v>
      </c>
      <c r="E29" t="s">
        <v>73</v>
      </c>
      <c r="F29" t="s">
        <v>1919</v>
      </c>
      <c r="G29" t="s">
        <v>901</v>
      </c>
      <c r="H29">
        <v>2607.2400000000002</v>
      </c>
      <c r="I29" t="s">
        <v>1937</v>
      </c>
      <c r="J29">
        <v>5513</v>
      </c>
      <c r="K29" t="s">
        <v>111</v>
      </c>
      <c r="L29">
        <v>55</v>
      </c>
      <c r="M29" t="s">
        <v>2219</v>
      </c>
      <c r="N29" t="s">
        <v>131</v>
      </c>
      <c r="O29" t="s">
        <v>549</v>
      </c>
      <c r="P29" t="s">
        <v>85</v>
      </c>
    </row>
    <row r="30" spans="1:16" hidden="1" x14ac:dyDescent="0.25">
      <c r="A30" t="s">
        <v>1103</v>
      </c>
      <c r="B30" t="s">
        <v>263</v>
      </c>
      <c r="C30" t="s">
        <v>264</v>
      </c>
      <c r="D30" t="s">
        <v>573</v>
      </c>
      <c r="E30" t="s">
        <v>73</v>
      </c>
      <c r="F30" t="s">
        <v>1919</v>
      </c>
      <c r="G30" t="s">
        <v>1936</v>
      </c>
      <c r="H30">
        <v>210</v>
      </c>
      <c r="J30">
        <v>5513</v>
      </c>
      <c r="K30" t="s">
        <v>111</v>
      </c>
      <c r="L30">
        <v>55</v>
      </c>
      <c r="M30" t="s">
        <v>2219</v>
      </c>
      <c r="N30" t="s">
        <v>131</v>
      </c>
      <c r="O30" t="s">
        <v>549</v>
      </c>
      <c r="P30" t="s">
        <v>85</v>
      </c>
    </row>
    <row r="31" spans="1:16" hidden="1" x14ac:dyDescent="0.25">
      <c r="A31" t="s">
        <v>1103</v>
      </c>
      <c r="B31" t="s">
        <v>263</v>
      </c>
      <c r="C31" t="s">
        <v>264</v>
      </c>
      <c r="D31" t="s">
        <v>573</v>
      </c>
      <c r="E31" t="s">
        <v>73</v>
      </c>
      <c r="F31" t="s">
        <v>1919</v>
      </c>
      <c r="G31" t="s">
        <v>1935</v>
      </c>
      <c r="H31">
        <v>1998</v>
      </c>
      <c r="J31">
        <v>5513</v>
      </c>
      <c r="K31" t="s">
        <v>111</v>
      </c>
      <c r="L31">
        <v>55</v>
      </c>
      <c r="M31" t="s">
        <v>2219</v>
      </c>
      <c r="N31" t="s">
        <v>131</v>
      </c>
      <c r="O31" t="s">
        <v>549</v>
      </c>
      <c r="P31" t="s">
        <v>85</v>
      </c>
    </row>
    <row r="32" spans="1:16" hidden="1" x14ac:dyDescent="0.25">
      <c r="A32" t="s">
        <v>1103</v>
      </c>
      <c r="B32" t="s">
        <v>263</v>
      </c>
      <c r="C32" t="s">
        <v>264</v>
      </c>
      <c r="D32" t="s">
        <v>573</v>
      </c>
      <c r="E32" t="s">
        <v>73</v>
      </c>
      <c r="F32" t="s">
        <v>1919</v>
      </c>
      <c r="G32" t="s">
        <v>1934</v>
      </c>
      <c r="H32">
        <v>1670</v>
      </c>
      <c r="J32">
        <v>5513</v>
      </c>
      <c r="K32" t="s">
        <v>111</v>
      </c>
      <c r="L32">
        <v>55</v>
      </c>
      <c r="M32" t="s">
        <v>2219</v>
      </c>
      <c r="N32" t="s">
        <v>131</v>
      </c>
      <c r="O32" t="s">
        <v>549</v>
      </c>
      <c r="P32" t="s">
        <v>85</v>
      </c>
    </row>
    <row r="33" spans="1:16" hidden="1" x14ac:dyDescent="0.25">
      <c r="A33" t="s">
        <v>1103</v>
      </c>
      <c r="B33" t="s">
        <v>263</v>
      </c>
      <c r="C33" t="s">
        <v>264</v>
      </c>
      <c r="D33" t="s">
        <v>573</v>
      </c>
      <c r="E33" t="s">
        <v>73</v>
      </c>
      <c r="F33" t="s">
        <v>1919</v>
      </c>
      <c r="G33" t="s">
        <v>442</v>
      </c>
      <c r="H33">
        <v>650</v>
      </c>
      <c r="I33" t="s">
        <v>1933</v>
      </c>
      <c r="J33">
        <v>5513</v>
      </c>
      <c r="K33" t="s">
        <v>111</v>
      </c>
      <c r="L33">
        <v>55</v>
      </c>
      <c r="M33" t="s">
        <v>2219</v>
      </c>
      <c r="N33" t="s">
        <v>131</v>
      </c>
      <c r="O33" t="s">
        <v>549</v>
      </c>
      <c r="P33" t="s">
        <v>85</v>
      </c>
    </row>
    <row r="34" spans="1:16" hidden="1" x14ac:dyDescent="0.25">
      <c r="A34" t="s">
        <v>1103</v>
      </c>
      <c r="B34" t="s">
        <v>263</v>
      </c>
      <c r="C34" t="s">
        <v>264</v>
      </c>
      <c r="D34" t="s">
        <v>573</v>
      </c>
      <c r="E34" t="s">
        <v>73</v>
      </c>
      <c r="F34" t="s">
        <v>1919</v>
      </c>
      <c r="G34" t="s">
        <v>1918</v>
      </c>
      <c r="H34">
        <v>255.84</v>
      </c>
      <c r="J34">
        <v>5500</v>
      </c>
      <c r="K34" t="s">
        <v>100</v>
      </c>
      <c r="L34">
        <v>55</v>
      </c>
      <c r="M34" t="s">
        <v>2219</v>
      </c>
      <c r="N34" t="s">
        <v>131</v>
      </c>
      <c r="O34" t="s">
        <v>549</v>
      </c>
      <c r="P34" t="s">
        <v>85</v>
      </c>
    </row>
    <row r="35" spans="1:16" hidden="1" x14ac:dyDescent="0.25">
      <c r="A35" t="s">
        <v>1103</v>
      </c>
      <c r="B35" t="s">
        <v>263</v>
      </c>
      <c r="C35" t="s">
        <v>264</v>
      </c>
      <c r="D35" t="s">
        <v>573</v>
      </c>
      <c r="E35" t="s">
        <v>73</v>
      </c>
      <c r="F35" t="s">
        <v>648</v>
      </c>
      <c r="G35" t="s">
        <v>1592</v>
      </c>
      <c r="H35">
        <v>2000</v>
      </c>
      <c r="J35">
        <v>5512</v>
      </c>
      <c r="K35" t="s">
        <v>109</v>
      </c>
      <c r="L35">
        <v>55</v>
      </c>
      <c r="M35" t="s">
        <v>2219</v>
      </c>
      <c r="N35" t="s">
        <v>131</v>
      </c>
      <c r="O35" t="s">
        <v>549</v>
      </c>
      <c r="P35" t="s">
        <v>85</v>
      </c>
    </row>
    <row r="36" spans="1:16" hidden="1" x14ac:dyDescent="0.25">
      <c r="A36" t="s">
        <v>1103</v>
      </c>
      <c r="B36" t="s">
        <v>263</v>
      </c>
      <c r="C36" t="s">
        <v>264</v>
      </c>
      <c r="D36" t="s">
        <v>573</v>
      </c>
      <c r="E36" t="s">
        <v>73</v>
      </c>
      <c r="F36" t="s">
        <v>1919</v>
      </c>
      <c r="G36" t="s">
        <v>1932</v>
      </c>
      <c r="H36">
        <v>6000</v>
      </c>
      <c r="J36">
        <v>5511</v>
      </c>
      <c r="K36" t="s">
        <v>106</v>
      </c>
      <c r="L36">
        <v>55</v>
      </c>
      <c r="M36" t="s">
        <v>2219</v>
      </c>
      <c r="N36" t="s">
        <v>131</v>
      </c>
      <c r="O36" t="s">
        <v>549</v>
      </c>
      <c r="P36" t="s">
        <v>85</v>
      </c>
    </row>
    <row r="37" spans="1:16" hidden="1" x14ac:dyDescent="0.25">
      <c r="A37" t="s">
        <v>1103</v>
      </c>
      <c r="B37" t="s">
        <v>263</v>
      </c>
      <c r="C37" t="s">
        <v>264</v>
      </c>
      <c r="D37" t="s">
        <v>573</v>
      </c>
      <c r="E37" t="s">
        <v>73</v>
      </c>
      <c r="F37" t="s">
        <v>1919</v>
      </c>
      <c r="G37" t="s">
        <v>1931</v>
      </c>
      <c r="H37">
        <v>20000</v>
      </c>
      <c r="J37">
        <v>5511</v>
      </c>
      <c r="K37" t="s">
        <v>106</v>
      </c>
      <c r="L37">
        <v>55</v>
      </c>
      <c r="M37" t="s">
        <v>2219</v>
      </c>
      <c r="N37" t="s">
        <v>131</v>
      </c>
      <c r="O37" t="s">
        <v>549</v>
      </c>
      <c r="P37" t="s">
        <v>85</v>
      </c>
    </row>
    <row r="38" spans="1:16" hidden="1" x14ac:dyDescent="0.25">
      <c r="A38" t="s">
        <v>1103</v>
      </c>
      <c r="B38" t="s">
        <v>263</v>
      </c>
      <c r="C38" t="s">
        <v>264</v>
      </c>
      <c r="D38" t="s">
        <v>573</v>
      </c>
      <c r="E38" t="s">
        <v>73</v>
      </c>
      <c r="F38" t="s">
        <v>1919</v>
      </c>
      <c r="G38" t="s">
        <v>1930</v>
      </c>
      <c r="H38">
        <v>4500</v>
      </c>
      <c r="J38">
        <v>5511</v>
      </c>
      <c r="K38" t="s">
        <v>106</v>
      </c>
      <c r="L38">
        <v>55</v>
      </c>
      <c r="M38" t="s">
        <v>2219</v>
      </c>
      <c r="N38" t="s">
        <v>131</v>
      </c>
      <c r="O38" t="s">
        <v>549</v>
      </c>
      <c r="P38" t="s">
        <v>85</v>
      </c>
    </row>
    <row r="39" spans="1:16" hidden="1" x14ac:dyDescent="0.25">
      <c r="A39" t="s">
        <v>1103</v>
      </c>
      <c r="B39" t="s">
        <v>263</v>
      </c>
      <c r="C39" t="s">
        <v>264</v>
      </c>
      <c r="D39" t="s">
        <v>573</v>
      </c>
      <c r="E39" t="s">
        <v>73</v>
      </c>
      <c r="F39" t="s">
        <v>1919</v>
      </c>
      <c r="G39" t="s">
        <v>1929</v>
      </c>
      <c r="H39">
        <v>9000</v>
      </c>
      <c r="J39">
        <v>5511</v>
      </c>
      <c r="K39" t="s">
        <v>106</v>
      </c>
      <c r="L39">
        <v>55</v>
      </c>
      <c r="M39" t="s">
        <v>2219</v>
      </c>
      <c r="N39" t="s">
        <v>131</v>
      </c>
      <c r="O39" t="s">
        <v>549</v>
      </c>
      <c r="P39" t="s">
        <v>85</v>
      </c>
    </row>
    <row r="40" spans="1:16" hidden="1" x14ac:dyDescent="0.25">
      <c r="A40" t="s">
        <v>1103</v>
      </c>
      <c r="B40" t="s">
        <v>263</v>
      </c>
      <c r="C40" t="s">
        <v>264</v>
      </c>
      <c r="D40" t="s">
        <v>573</v>
      </c>
      <c r="E40" t="s">
        <v>73</v>
      </c>
      <c r="F40" t="s">
        <v>1919</v>
      </c>
      <c r="G40" t="s">
        <v>1927</v>
      </c>
      <c r="H40">
        <v>2200</v>
      </c>
      <c r="I40" t="s">
        <v>1928</v>
      </c>
      <c r="J40">
        <v>5511</v>
      </c>
      <c r="K40" t="s">
        <v>106</v>
      </c>
      <c r="L40">
        <v>55</v>
      </c>
      <c r="M40" t="s">
        <v>2219</v>
      </c>
      <c r="N40" t="s">
        <v>131</v>
      </c>
      <c r="O40" t="s">
        <v>549</v>
      </c>
      <c r="P40" t="s">
        <v>85</v>
      </c>
    </row>
    <row r="41" spans="1:16" hidden="1" x14ac:dyDescent="0.25">
      <c r="A41" t="s">
        <v>1103</v>
      </c>
      <c r="B41" t="s">
        <v>263</v>
      </c>
      <c r="C41" t="s">
        <v>264</v>
      </c>
      <c r="D41" t="s">
        <v>573</v>
      </c>
      <c r="E41" t="s">
        <v>73</v>
      </c>
      <c r="F41" t="s">
        <v>1919</v>
      </c>
      <c r="G41" t="s">
        <v>1926</v>
      </c>
      <c r="H41">
        <v>97.199999999999989</v>
      </c>
      <c r="J41">
        <v>5511</v>
      </c>
      <c r="K41" t="s">
        <v>106</v>
      </c>
      <c r="L41">
        <v>55</v>
      </c>
      <c r="M41" t="s">
        <v>2219</v>
      </c>
      <c r="N41" t="s">
        <v>131</v>
      </c>
      <c r="O41" t="s">
        <v>549</v>
      </c>
      <c r="P41" t="s">
        <v>85</v>
      </c>
    </row>
    <row r="42" spans="1:16" hidden="1" x14ac:dyDescent="0.25">
      <c r="A42" t="s">
        <v>1103</v>
      </c>
      <c r="B42" t="s">
        <v>263</v>
      </c>
      <c r="C42" t="s">
        <v>264</v>
      </c>
      <c r="D42" t="s">
        <v>573</v>
      </c>
      <c r="E42" t="s">
        <v>73</v>
      </c>
      <c r="F42" t="s">
        <v>1919</v>
      </c>
      <c r="G42" t="s">
        <v>1924</v>
      </c>
      <c r="H42">
        <v>1600</v>
      </c>
      <c r="I42" t="s">
        <v>1925</v>
      </c>
      <c r="J42">
        <v>5511</v>
      </c>
      <c r="K42" t="s">
        <v>106</v>
      </c>
      <c r="L42">
        <v>55</v>
      </c>
      <c r="M42" t="s">
        <v>2219</v>
      </c>
      <c r="N42" t="s">
        <v>131</v>
      </c>
      <c r="O42" t="s">
        <v>549</v>
      </c>
      <c r="P42" t="s">
        <v>85</v>
      </c>
    </row>
    <row r="43" spans="1:16" hidden="1" x14ac:dyDescent="0.25">
      <c r="A43" t="s">
        <v>1103</v>
      </c>
      <c r="B43" t="s">
        <v>263</v>
      </c>
      <c r="C43" t="s">
        <v>264</v>
      </c>
      <c r="D43" t="s">
        <v>573</v>
      </c>
      <c r="E43" t="s">
        <v>73</v>
      </c>
      <c r="F43" t="s">
        <v>1919</v>
      </c>
      <c r="G43" t="s">
        <v>1921</v>
      </c>
      <c r="H43">
        <v>192</v>
      </c>
      <c r="I43" t="s">
        <v>1216</v>
      </c>
      <c r="J43">
        <v>5511</v>
      </c>
      <c r="K43" t="s">
        <v>106</v>
      </c>
      <c r="L43">
        <v>55</v>
      </c>
      <c r="M43" t="s">
        <v>2219</v>
      </c>
      <c r="N43" t="s">
        <v>131</v>
      </c>
      <c r="O43" t="s">
        <v>549</v>
      </c>
      <c r="P43" t="s">
        <v>85</v>
      </c>
    </row>
    <row r="44" spans="1:16" hidden="1" x14ac:dyDescent="0.25">
      <c r="A44" t="s">
        <v>1103</v>
      </c>
      <c r="B44" t="s">
        <v>263</v>
      </c>
      <c r="C44" t="s">
        <v>264</v>
      </c>
      <c r="D44" t="s">
        <v>573</v>
      </c>
      <c r="E44" t="s">
        <v>73</v>
      </c>
      <c r="F44" t="s">
        <v>1919</v>
      </c>
      <c r="G44" t="s">
        <v>1920</v>
      </c>
      <c r="H44">
        <v>21000</v>
      </c>
      <c r="J44">
        <v>5511</v>
      </c>
      <c r="K44" t="s">
        <v>106</v>
      </c>
      <c r="L44">
        <v>55</v>
      </c>
      <c r="M44" t="s">
        <v>2219</v>
      </c>
      <c r="N44" t="s">
        <v>131</v>
      </c>
      <c r="O44" t="s">
        <v>549</v>
      </c>
      <c r="P44" t="s">
        <v>85</v>
      </c>
    </row>
    <row r="45" spans="1:16" hidden="1" x14ac:dyDescent="0.25">
      <c r="A45" t="s">
        <v>1103</v>
      </c>
      <c r="B45" t="s">
        <v>261</v>
      </c>
      <c r="C45" t="s">
        <v>262</v>
      </c>
      <c r="D45" t="s">
        <v>573</v>
      </c>
      <c r="E45" t="s">
        <v>73</v>
      </c>
      <c r="F45" t="s">
        <v>992</v>
      </c>
      <c r="G45" t="s">
        <v>1020</v>
      </c>
      <c r="H45">
        <v>7000</v>
      </c>
      <c r="I45" t="s">
        <v>994</v>
      </c>
      <c r="J45">
        <v>5511</v>
      </c>
      <c r="K45" t="s">
        <v>106</v>
      </c>
      <c r="L45">
        <v>55</v>
      </c>
      <c r="M45" t="s">
        <v>2219</v>
      </c>
      <c r="N45" t="s">
        <v>131</v>
      </c>
      <c r="O45" t="s">
        <v>549</v>
      </c>
      <c r="P45" t="s">
        <v>85</v>
      </c>
    </row>
    <row r="46" spans="1:16" hidden="1" x14ac:dyDescent="0.25">
      <c r="A46" t="s">
        <v>1103</v>
      </c>
      <c r="B46" t="s">
        <v>261</v>
      </c>
      <c r="C46" t="s">
        <v>262</v>
      </c>
      <c r="D46" t="s">
        <v>573</v>
      </c>
      <c r="E46" t="s">
        <v>73</v>
      </c>
      <c r="F46" t="s">
        <v>992</v>
      </c>
      <c r="G46" t="s">
        <v>1019</v>
      </c>
      <c r="H46">
        <v>400</v>
      </c>
      <c r="J46">
        <v>5540</v>
      </c>
      <c r="K46" t="s">
        <v>121</v>
      </c>
      <c r="L46">
        <v>55</v>
      </c>
      <c r="M46" t="s">
        <v>2219</v>
      </c>
      <c r="N46" t="s">
        <v>131</v>
      </c>
      <c r="O46" t="s">
        <v>549</v>
      </c>
      <c r="P46" t="s">
        <v>85</v>
      </c>
    </row>
    <row r="47" spans="1:16" hidden="1" x14ac:dyDescent="0.25">
      <c r="A47" t="s">
        <v>1103</v>
      </c>
      <c r="B47" t="s">
        <v>261</v>
      </c>
      <c r="C47" t="s">
        <v>262</v>
      </c>
      <c r="D47" t="s">
        <v>573</v>
      </c>
      <c r="E47" t="s">
        <v>73</v>
      </c>
      <c r="F47" t="s">
        <v>992</v>
      </c>
      <c r="G47" t="s">
        <v>1018</v>
      </c>
      <c r="H47">
        <v>800</v>
      </c>
      <c r="J47">
        <v>5513</v>
      </c>
      <c r="K47" t="s">
        <v>111</v>
      </c>
      <c r="L47">
        <v>55</v>
      </c>
      <c r="M47" t="s">
        <v>2219</v>
      </c>
      <c r="N47" t="s">
        <v>131</v>
      </c>
      <c r="O47" t="s">
        <v>549</v>
      </c>
      <c r="P47" t="s">
        <v>85</v>
      </c>
    </row>
    <row r="48" spans="1:16" hidden="1" x14ac:dyDescent="0.25">
      <c r="A48" t="s">
        <v>1103</v>
      </c>
      <c r="B48" t="s">
        <v>261</v>
      </c>
      <c r="C48" t="s">
        <v>262</v>
      </c>
      <c r="D48" t="s">
        <v>573</v>
      </c>
      <c r="E48" t="s">
        <v>73</v>
      </c>
      <c r="F48" t="s">
        <v>992</v>
      </c>
      <c r="G48" t="s">
        <v>1017</v>
      </c>
      <c r="H48">
        <v>400</v>
      </c>
      <c r="J48">
        <v>5513</v>
      </c>
      <c r="K48" t="s">
        <v>111</v>
      </c>
      <c r="L48">
        <v>55</v>
      </c>
      <c r="M48" t="s">
        <v>2219</v>
      </c>
      <c r="N48" t="s">
        <v>131</v>
      </c>
      <c r="O48" t="s">
        <v>549</v>
      </c>
      <c r="P48" t="s">
        <v>85</v>
      </c>
    </row>
    <row r="49" spans="1:16" hidden="1" x14ac:dyDescent="0.25">
      <c r="A49" t="s">
        <v>1103</v>
      </c>
      <c r="B49" t="s">
        <v>261</v>
      </c>
      <c r="C49" t="s">
        <v>262</v>
      </c>
      <c r="D49" t="s">
        <v>573</v>
      </c>
      <c r="E49" t="s">
        <v>73</v>
      </c>
      <c r="F49" t="s">
        <v>992</v>
      </c>
      <c r="G49" t="s">
        <v>1016</v>
      </c>
      <c r="H49">
        <v>70</v>
      </c>
      <c r="J49">
        <v>5513</v>
      </c>
      <c r="K49" t="s">
        <v>111</v>
      </c>
      <c r="L49">
        <v>55</v>
      </c>
      <c r="M49" t="s">
        <v>2219</v>
      </c>
      <c r="N49" t="s">
        <v>131</v>
      </c>
      <c r="O49" t="s">
        <v>549</v>
      </c>
      <c r="P49" t="s">
        <v>85</v>
      </c>
    </row>
    <row r="50" spans="1:16" hidden="1" x14ac:dyDescent="0.25">
      <c r="A50" t="s">
        <v>1103</v>
      </c>
      <c r="B50" t="s">
        <v>261</v>
      </c>
      <c r="C50" t="s">
        <v>262</v>
      </c>
      <c r="D50" t="s">
        <v>573</v>
      </c>
      <c r="E50" t="s">
        <v>73</v>
      </c>
      <c r="F50" t="s">
        <v>992</v>
      </c>
      <c r="G50" t="s">
        <v>1015</v>
      </c>
      <c r="H50">
        <v>3600</v>
      </c>
      <c r="J50">
        <v>5513</v>
      </c>
      <c r="K50" t="s">
        <v>111</v>
      </c>
      <c r="L50">
        <v>55</v>
      </c>
      <c r="M50" t="s">
        <v>2219</v>
      </c>
      <c r="N50" t="s">
        <v>131</v>
      </c>
      <c r="O50" t="s">
        <v>549</v>
      </c>
      <c r="P50" t="s">
        <v>85</v>
      </c>
    </row>
    <row r="51" spans="1:16" hidden="1" x14ac:dyDescent="0.25">
      <c r="A51" t="s">
        <v>1103</v>
      </c>
      <c r="B51" t="s">
        <v>261</v>
      </c>
      <c r="C51" t="s">
        <v>262</v>
      </c>
      <c r="D51" t="s">
        <v>573</v>
      </c>
      <c r="E51" t="s">
        <v>73</v>
      </c>
      <c r="F51" t="s">
        <v>992</v>
      </c>
      <c r="G51" t="s">
        <v>1014</v>
      </c>
      <c r="H51">
        <v>160</v>
      </c>
      <c r="J51">
        <v>5513</v>
      </c>
      <c r="K51" t="s">
        <v>111</v>
      </c>
      <c r="L51">
        <v>55</v>
      </c>
      <c r="M51" t="s">
        <v>2219</v>
      </c>
      <c r="N51" t="s">
        <v>131</v>
      </c>
      <c r="O51" t="s">
        <v>549</v>
      </c>
      <c r="P51" t="s">
        <v>85</v>
      </c>
    </row>
    <row r="52" spans="1:16" hidden="1" x14ac:dyDescent="0.25">
      <c r="A52" t="s">
        <v>1103</v>
      </c>
      <c r="B52" t="s">
        <v>261</v>
      </c>
      <c r="C52" t="s">
        <v>262</v>
      </c>
      <c r="D52" t="s">
        <v>573</v>
      </c>
      <c r="E52" t="s">
        <v>73</v>
      </c>
      <c r="F52" t="s">
        <v>992</v>
      </c>
      <c r="G52" t="s">
        <v>1013</v>
      </c>
      <c r="H52">
        <v>250</v>
      </c>
      <c r="J52">
        <v>5513</v>
      </c>
      <c r="K52" t="s">
        <v>111</v>
      </c>
      <c r="L52">
        <v>55</v>
      </c>
      <c r="M52" t="s">
        <v>2219</v>
      </c>
      <c r="N52" t="s">
        <v>131</v>
      </c>
      <c r="O52" t="s">
        <v>549</v>
      </c>
      <c r="P52" t="s">
        <v>85</v>
      </c>
    </row>
    <row r="53" spans="1:16" hidden="1" x14ac:dyDescent="0.25">
      <c r="A53" t="s">
        <v>1103</v>
      </c>
      <c r="B53" t="s">
        <v>261</v>
      </c>
      <c r="C53" t="s">
        <v>262</v>
      </c>
      <c r="D53" t="s">
        <v>573</v>
      </c>
      <c r="E53" t="s">
        <v>73</v>
      </c>
      <c r="F53" t="s">
        <v>992</v>
      </c>
      <c r="G53" t="s">
        <v>1012</v>
      </c>
      <c r="H53">
        <v>30</v>
      </c>
      <c r="J53">
        <v>5513</v>
      </c>
      <c r="K53" t="s">
        <v>111</v>
      </c>
      <c r="L53">
        <v>55</v>
      </c>
      <c r="M53" t="s">
        <v>2219</v>
      </c>
      <c r="N53" t="s">
        <v>131</v>
      </c>
      <c r="O53" t="s">
        <v>549</v>
      </c>
      <c r="P53" t="s">
        <v>85</v>
      </c>
    </row>
    <row r="54" spans="1:16" hidden="1" x14ac:dyDescent="0.25">
      <c r="A54" t="s">
        <v>1103</v>
      </c>
      <c r="B54" t="s">
        <v>261</v>
      </c>
      <c r="C54" t="s">
        <v>262</v>
      </c>
      <c r="D54" t="s">
        <v>573</v>
      </c>
      <c r="E54" t="s">
        <v>73</v>
      </c>
      <c r="F54" t="s">
        <v>992</v>
      </c>
      <c r="G54" t="s">
        <v>442</v>
      </c>
      <c r="H54">
        <v>3600</v>
      </c>
      <c r="I54" t="s">
        <v>1011</v>
      </c>
      <c r="J54">
        <v>5513</v>
      </c>
      <c r="K54" t="s">
        <v>111</v>
      </c>
      <c r="L54">
        <v>55</v>
      </c>
      <c r="M54" t="s">
        <v>2219</v>
      </c>
      <c r="N54" t="s">
        <v>131</v>
      </c>
      <c r="O54" t="s">
        <v>549</v>
      </c>
      <c r="P54" t="s">
        <v>85</v>
      </c>
    </row>
    <row r="55" spans="1:16" hidden="1" x14ac:dyDescent="0.25">
      <c r="A55" t="s">
        <v>1103</v>
      </c>
      <c r="B55" t="s">
        <v>261</v>
      </c>
      <c r="C55" t="s">
        <v>262</v>
      </c>
      <c r="D55" t="s">
        <v>573</v>
      </c>
      <c r="E55" t="s">
        <v>73</v>
      </c>
      <c r="F55" t="s">
        <v>992</v>
      </c>
      <c r="G55" t="s">
        <v>993</v>
      </c>
      <c r="H55">
        <v>300</v>
      </c>
      <c r="J55">
        <v>5500</v>
      </c>
      <c r="K55" t="s">
        <v>100</v>
      </c>
      <c r="L55">
        <v>55</v>
      </c>
      <c r="M55" t="s">
        <v>2219</v>
      </c>
      <c r="N55" t="s">
        <v>131</v>
      </c>
      <c r="O55" t="s">
        <v>549</v>
      </c>
      <c r="P55" t="s">
        <v>85</v>
      </c>
    </row>
    <row r="56" spans="1:16" hidden="1" x14ac:dyDescent="0.25">
      <c r="A56" t="s">
        <v>1103</v>
      </c>
      <c r="B56" t="s">
        <v>261</v>
      </c>
      <c r="C56" t="s">
        <v>262</v>
      </c>
      <c r="D56" t="s">
        <v>573</v>
      </c>
      <c r="E56" t="s">
        <v>73</v>
      </c>
      <c r="F56" t="s">
        <v>992</v>
      </c>
      <c r="G56" t="s">
        <v>1932</v>
      </c>
      <c r="H56">
        <v>6000</v>
      </c>
      <c r="J56">
        <v>5511</v>
      </c>
      <c r="K56" t="s">
        <v>106</v>
      </c>
      <c r="L56">
        <v>55</v>
      </c>
      <c r="M56" t="s">
        <v>2219</v>
      </c>
      <c r="N56" t="s">
        <v>131</v>
      </c>
      <c r="O56" t="s">
        <v>549</v>
      </c>
      <c r="P56" t="s">
        <v>85</v>
      </c>
    </row>
    <row r="57" spans="1:16" hidden="1" x14ac:dyDescent="0.25">
      <c r="A57" t="s">
        <v>1103</v>
      </c>
      <c r="B57" t="s">
        <v>261</v>
      </c>
      <c r="C57" t="s">
        <v>262</v>
      </c>
      <c r="D57" t="s">
        <v>573</v>
      </c>
      <c r="E57" t="s">
        <v>73</v>
      </c>
      <c r="F57" t="s">
        <v>992</v>
      </c>
      <c r="G57" t="s">
        <v>974</v>
      </c>
      <c r="H57">
        <v>300</v>
      </c>
      <c r="J57">
        <v>5511</v>
      </c>
      <c r="K57" t="s">
        <v>106</v>
      </c>
      <c r="L57">
        <v>55</v>
      </c>
      <c r="M57" t="s">
        <v>2219</v>
      </c>
      <c r="N57" t="s">
        <v>131</v>
      </c>
      <c r="O57" t="s">
        <v>549</v>
      </c>
      <c r="P57" t="s">
        <v>85</v>
      </c>
    </row>
    <row r="58" spans="1:16" hidden="1" x14ac:dyDescent="0.25">
      <c r="A58" t="s">
        <v>1103</v>
      </c>
      <c r="B58" t="s">
        <v>261</v>
      </c>
      <c r="C58" t="s">
        <v>262</v>
      </c>
      <c r="D58" t="s">
        <v>573</v>
      </c>
      <c r="E58" t="s">
        <v>73</v>
      </c>
      <c r="F58" t="s">
        <v>992</v>
      </c>
      <c r="G58" t="s">
        <v>977</v>
      </c>
      <c r="H58">
        <v>3200</v>
      </c>
      <c r="I58" t="s">
        <v>1010</v>
      </c>
      <c r="J58">
        <v>5511</v>
      </c>
      <c r="K58" t="s">
        <v>106</v>
      </c>
      <c r="L58">
        <v>55</v>
      </c>
      <c r="M58" t="s">
        <v>2219</v>
      </c>
      <c r="N58" t="s">
        <v>131</v>
      </c>
      <c r="O58" t="s">
        <v>549</v>
      </c>
      <c r="P58" t="s">
        <v>85</v>
      </c>
    </row>
    <row r="59" spans="1:16" hidden="1" x14ac:dyDescent="0.25">
      <c r="A59" t="s">
        <v>1103</v>
      </c>
      <c r="B59" t="s">
        <v>261</v>
      </c>
      <c r="C59" t="s">
        <v>262</v>
      </c>
      <c r="D59" t="s">
        <v>573</v>
      </c>
      <c r="E59" t="s">
        <v>73</v>
      </c>
      <c r="F59" t="s">
        <v>992</v>
      </c>
      <c r="G59" t="s">
        <v>1009</v>
      </c>
      <c r="H59">
        <v>1500</v>
      </c>
      <c r="J59">
        <v>5511</v>
      </c>
      <c r="K59" t="s">
        <v>106</v>
      </c>
      <c r="L59">
        <v>55</v>
      </c>
      <c r="M59" t="s">
        <v>2219</v>
      </c>
      <c r="N59" t="s">
        <v>131</v>
      </c>
      <c r="O59" t="s">
        <v>549</v>
      </c>
      <c r="P59" t="s">
        <v>85</v>
      </c>
    </row>
    <row r="60" spans="1:16" hidden="1" x14ac:dyDescent="0.25">
      <c r="A60" t="s">
        <v>1103</v>
      </c>
      <c r="B60" t="s">
        <v>261</v>
      </c>
      <c r="C60" t="s">
        <v>262</v>
      </c>
      <c r="D60" t="s">
        <v>573</v>
      </c>
      <c r="E60" t="s">
        <v>73</v>
      </c>
      <c r="F60" t="s">
        <v>992</v>
      </c>
      <c r="G60" t="s">
        <v>1008</v>
      </c>
      <c r="H60">
        <v>384</v>
      </c>
      <c r="I60" t="s">
        <v>997</v>
      </c>
      <c r="J60">
        <v>5511</v>
      </c>
      <c r="K60" t="s">
        <v>106</v>
      </c>
      <c r="L60">
        <v>55</v>
      </c>
      <c r="M60" t="s">
        <v>2219</v>
      </c>
      <c r="N60" t="s">
        <v>131</v>
      </c>
      <c r="O60" t="s">
        <v>549</v>
      </c>
      <c r="P60" t="s">
        <v>85</v>
      </c>
    </row>
    <row r="61" spans="1:16" hidden="1" x14ac:dyDescent="0.25">
      <c r="A61" t="s">
        <v>1103</v>
      </c>
      <c r="B61" t="s">
        <v>261</v>
      </c>
      <c r="C61" t="s">
        <v>262</v>
      </c>
      <c r="D61" t="s">
        <v>573</v>
      </c>
      <c r="E61" t="s">
        <v>73</v>
      </c>
      <c r="F61" t="s">
        <v>992</v>
      </c>
      <c r="G61" t="s">
        <v>1007</v>
      </c>
      <c r="H61">
        <v>14.399999999999999</v>
      </c>
      <c r="I61" t="s">
        <v>997</v>
      </c>
      <c r="J61">
        <v>5511</v>
      </c>
      <c r="K61" t="s">
        <v>106</v>
      </c>
      <c r="L61">
        <v>55</v>
      </c>
      <c r="M61" t="s">
        <v>2219</v>
      </c>
      <c r="N61" t="s">
        <v>131</v>
      </c>
      <c r="O61" t="s">
        <v>549</v>
      </c>
      <c r="P61" t="s">
        <v>85</v>
      </c>
    </row>
    <row r="62" spans="1:16" hidden="1" x14ac:dyDescent="0.25">
      <c r="A62" t="s">
        <v>1103</v>
      </c>
      <c r="B62" t="s">
        <v>261</v>
      </c>
      <c r="C62" t="s">
        <v>262</v>
      </c>
      <c r="D62" t="s">
        <v>573</v>
      </c>
      <c r="E62" t="s">
        <v>73</v>
      </c>
      <c r="F62" t="s">
        <v>992</v>
      </c>
      <c r="G62" t="s">
        <v>1005</v>
      </c>
      <c r="H62">
        <v>314.32</v>
      </c>
      <c r="I62" t="s">
        <v>1006</v>
      </c>
      <c r="J62">
        <v>5511</v>
      </c>
      <c r="K62" t="s">
        <v>106</v>
      </c>
      <c r="L62">
        <v>55</v>
      </c>
      <c r="M62" t="s">
        <v>2219</v>
      </c>
      <c r="N62" t="s">
        <v>131</v>
      </c>
      <c r="O62" t="s">
        <v>549</v>
      </c>
      <c r="P62" t="s">
        <v>85</v>
      </c>
    </row>
    <row r="63" spans="1:16" hidden="1" x14ac:dyDescent="0.25">
      <c r="A63" t="s">
        <v>1103</v>
      </c>
      <c r="B63" t="s">
        <v>261</v>
      </c>
      <c r="C63" t="s">
        <v>262</v>
      </c>
      <c r="D63" t="s">
        <v>573</v>
      </c>
      <c r="E63" t="s">
        <v>73</v>
      </c>
      <c r="F63" t="s">
        <v>992</v>
      </c>
      <c r="G63" t="s">
        <v>1003</v>
      </c>
      <c r="H63">
        <v>1500</v>
      </c>
      <c r="I63" t="s">
        <v>1004</v>
      </c>
      <c r="J63">
        <v>5511</v>
      </c>
      <c r="K63" t="s">
        <v>106</v>
      </c>
      <c r="L63">
        <v>55</v>
      </c>
      <c r="M63" t="s">
        <v>2219</v>
      </c>
      <c r="N63" t="s">
        <v>131</v>
      </c>
      <c r="O63" t="s">
        <v>549</v>
      </c>
      <c r="P63" t="s">
        <v>85</v>
      </c>
    </row>
    <row r="64" spans="1:16" hidden="1" x14ac:dyDescent="0.25">
      <c r="A64" t="s">
        <v>1103</v>
      </c>
      <c r="B64" t="s">
        <v>261</v>
      </c>
      <c r="C64" t="s">
        <v>262</v>
      </c>
      <c r="D64" t="s">
        <v>573</v>
      </c>
      <c r="E64" t="s">
        <v>73</v>
      </c>
      <c r="F64" t="s">
        <v>992</v>
      </c>
      <c r="G64" t="s">
        <v>1002</v>
      </c>
      <c r="H64">
        <v>84</v>
      </c>
      <c r="J64">
        <v>5511</v>
      </c>
      <c r="K64" t="s">
        <v>106</v>
      </c>
      <c r="L64">
        <v>55</v>
      </c>
      <c r="M64" t="s">
        <v>2219</v>
      </c>
      <c r="N64" t="s">
        <v>131</v>
      </c>
      <c r="O64" t="s">
        <v>549</v>
      </c>
      <c r="P64" t="s">
        <v>85</v>
      </c>
    </row>
    <row r="65" spans="1:16" hidden="1" x14ac:dyDescent="0.25">
      <c r="A65" t="s">
        <v>1103</v>
      </c>
      <c r="B65" t="s">
        <v>261</v>
      </c>
      <c r="C65" t="s">
        <v>262</v>
      </c>
      <c r="D65" t="s">
        <v>573</v>
      </c>
      <c r="E65" t="s">
        <v>73</v>
      </c>
      <c r="F65" t="s">
        <v>992</v>
      </c>
      <c r="G65" t="s">
        <v>1000</v>
      </c>
      <c r="H65">
        <v>1000</v>
      </c>
      <c r="I65" t="s">
        <v>1001</v>
      </c>
      <c r="J65">
        <v>5511</v>
      </c>
      <c r="K65" t="s">
        <v>106</v>
      </c>
      <c r="L65">
        <v>55</v>
      </c>
      <c r="M65" t="s">
        <v>2219</v>
      </c>
      <c r="N65" t="s">
        <v>131</v>
      </c>
      <c r="O65" t="s">
        <v>549</v>
      </c>
      <c r="P65" t="s">
        <v>85</v>
      </c>
    </row>
    <row r="66" spans="1:16" hidden="1" x14ac:dyDescent="0.25">
      <c r="A66" t="s">
        <v>1103</v>
      </c>
      <c r="B66" t="s">
        <v>261</v>
      </c>
      <c r="C66" t="s">
        <v>262</v>
      </c>
      <c r="D66" t="s">
        <v>573</v>
      </c>
      <c r="E66" t="s">
        <v>73</v>
      </c>
      <c r="F66" t="s">
        <v>992</v>
      </c>
      <c r="G66" t="s">
        <v>943</v>
      </c>
      <c r="H66">
        <v>18000</v>
      </c>
      <c r="J66">
        <v>5511</v>
      </c>
      <c r="K66" t="s">
        <v>106</v>
      </c>
      <c r="L66">
        <v>55</v>
      </c>
      <c r="M66" t="s">
        <v>2219</v>
      </c>
      <c r="N66" t="s">
        <v>131</v>
      </c>
      <c r="O66" t="s">
        <v>549</v>
      </c>
      <c r="P66" t="s">
        <v>85</v>
      </c>
    </row>
    <row r="67" spans="1:16" hidden="1" x14ac:dyDescent="0.25">
      <c r="A67" t="s">
        <v>1103</v>
      </c>
      <c r="B67" t="s">
        <v>261</v>
      </c>
      <c r="C67" t="s">
        <v>262</v>
      </c>
      <c r="D67" t="s">
        <v>573</v>
      </c>
      <c r="E67" t="s">
        <v>73</v>
      </c>
      <c r="F67" t="s">
        <v>992</v>
      </c>
      <c r="G67" t="s">
        <v>963</v>
      </c>
      <c r="H67">
        <v>3000</v>
      </c>
      <c r="J67">
        <v>5511</v>
      </c>
      <c r="K67" t="s">
        <v>106</v>
      </c>
      <c r="L67">
        <v>55</v>
      </c>
      <c r="M67" t="s">
        <v>2219</v>
      </c>
      <c r="N67" t="s">
        <v>131</v>
      </c>
      <c r="O67" t="s">
        <v>549</v>
      </c>
      <c r="P67" t="s">
        <v>85</v>
      </c>
    </row>
    <row r="68" spans="1:16" hidden="1" x14ac:dyDescent="0.25">
      <c r="A68" t="s">
        <v>1103</v>
      </c>
      <c r="B68" t="s">
        <v>261</v>
      </c>
      <c r="C68" t="s">
        <v>262</v>
      </c>
      <c r="D68" t="s">
        <v>573</v>
      </c>
      <c r="E68" t="s">
        <v>73</v>
      </c>
      <c r="F68" t="s">
        <v>992</v>
      </c>
      <c r="G68" t="s">
        <v>999</v>
      </c>
      <c r="H68">
        <v>3600</v>
      </c>
      <c r="J68">
        <v>5511</v>
      </c>
      <c r="K68" t="s">
        <v>106</v>
      </c>
      <c r="L68">
        <v>55</v>
      </c>
      <c r="M68" t="s">
        <v>2219</v>
      </c>
      <c r="N68" t="s">
        <v>131</v>
      </c>
      <c r="O68" t="s">
        <v>549</v>
      </c>
      <c r="P68" t="s">
        <v>85</v>
      </c>
    </row>
    <row r="69" spans="1:16" hidden="1" x14ac:dyDescent="0.25">
      <c r="A69" t="s">
        <v>1103</v>
      </c>
      <c r="B69" t="s">
        <v>261</v>
      </c>
      <c r="C69" t="s">
        <v>262</v>
      </c>
      <c r="D69" t="s">
        <v>573</v>
      </c>
      <c r="E69" t="s">
        <v>73</v>
      </c>
      <c r="F69" t="s">
        <v>992</v>
      </c>
      <c r="G69" t="s">
        <v>971</v>
      </c>
      <c r="H69">
        <v>350</v>
      </c>
      <c r="I69" t="s">
        <v>998</v>
      </c>
      <c r="J69">
        <v>5511</v>
      </c>
      <c r="K69" t="s">
        <v>106</v>
      </c>
      <c r="L69">
        <v>55</v>
      </c>
      <c r="M69" t="s">
        <v>2219</v>
      </c>
      <c r="N69" t="s">
        <v>131</v>
      </c>
      <c r="O69" t="s">
        <v>549</v>
      </c>
      <c r="P69" t="s">
        <v>85</v>
      </c>
    </row>
    <row r="70" spans="1:16" hidden="1" x14ac:dyDescent="0.25">
      <c r="A70" t="s">
        <v>1103</v>
      </c>
      <c r="B70" t="s">
        <v>261</v>
      </c>
      <c r="C70" t="s">
        <v>262</v>
      </c>
      <c r="D70" t="s">
        <v>573</v>
      </c>
      <c r="E70" t="s">
        <v>73</v>
      </c>
      <c r="F70" t="s">
        <v>992</v>
      </c>
      <c r="G70" t="s">
        <v>971</v>
      </c>
      <c r="H70">
        <v>84</v>
      </c>
      <c r="I70" t="s">
        <v>997</v>
      </c>
      <c r="J70">
        <v>5511</v>
      </c>
      <c r="K70" t="s">
        <v>106</v>
      </c>
      <c r="L70">
        <v>55</v>
      </c>
      <c r="M70" t="s">
        <v>2219</v>
      </c>
      <c r="N70" t="s">
        <v>131</v>
      </c>
      <c r="O70" t="s">
        <v>549</v>
      </c>
      <c r="P70" t="s">
        <v>85</v>
      </c>
    </row>
    <row r="71" spans="1:16" hidden="1" x14ac:dyDescent="0.25">
      <c r="A71" t="s">
        <v>1103</v>
      </c>
      <c r="B71" t="s">
        <v>261</v>
      </c>
      <c r="C71" t="s">
        <v>262</v>
      </c>
      <c r="D71" t="s">
        <v>573</v>
      </c>
      <c r="E71" t="s">
        <v>73</v>
      </c>
      <c r="F71" t="s">
        <v>992</v>
      </c>
      <c r="G71" t="s">
        <v>510</v>
      </c>
      <c r="H71">
        <v>1400</v>
      </c>
      <c r="I71" t="s">
        <v>996</v>
      </c>
      <c r="J71">
        <v>5511</v>
      </c>
      <c r="K71" t="s">
        <v>106</v>
      </c>
      <c r="L71">
        <v>55</v>
      </c>
      <c r="M71" t="s">
        <v>2219</v>
      </c>
      <c r="N71" t="s">
        <v>131</v>
      </c>
      <c r="O71" t="s">
        <v>549</v>
      </c>
      <c r="P71" t="s">
        <v>85</v>
      </c>
    </row>
    <row r="72" spans="1:16" hidden="1" x14ac:dyDescent="0.25">
      <c r="A72" t="s">
        <v>1103</v>
      </c>
      <c r="B72" t="s">
        <v>261</v>
      </c>
      <c r="C72" t="s">
        <v>262</v>
      </c>
      <c r="D72" t="s">
        <v>573</v>
      </c>
      <c r="E72" t="s">
        <v>73</v>
      </c>
      <c r="F72" t="s">
        <v>992</v>
      </c>
      <c r="G72" t="s">
        <v>995</v>
      </c>
      <c r="H72">
        <v>92.4</v>
      </c>
      <c r="I72" t="s">
        <v>994</v>
      </c>
      <c r="J72">
        <v>5511</v>
      </c>
      <c r="K72" t="s">
        <v>106</v>
      </c>
      <c r="L72">
        <v>55</v>
      </c>
      <c r="M72" t="s">
        <v>2219</v>
      </c>
      <c r="N72" t="s">
        <v>131</v>
      </c>
      <c r="O72" t="s">
        <v>549</v>
      </c>
      <c r="P72" t="s">
        <v>85</v>
      </c>
    </row>
    <row r="73" spans="1:16" hidden="1" x14ac:dyDescent="0.25">
      <c r="A73" t="s">
        <v>1103</v>
      </c>
      <c r="B73" t="s">
        <v>261</v>
      </c>
      <c r="C73" t="s">
        <v>262</v>
      </c>
      <c r="D73" t="s">
        <v>573</v>
      </c>
      <c r="E73" t="s">
        <v>73</v>
      </c>
      <c r="F73" t="s">
        <v>992</v>
      </c>
      <c r="G73" t="s">
        <v>971</v>
      </c>
      <c r="H73">
        <v>235</v>
      </c>
      <c r="I73" t="s">
        <v>994</v>
      </c>
      <c r="J73">
        <v>5511</v>
      </c>
      <c r="K73" t="s">
        <v>106</v>
      </c>
      <c r="L73">
        <v>55</v>
      </c>
      <c r="M73" t="s">
        <v>2219</v>
      </c>
      <c r="N73" t="s">
        <v>131</v>
      </c>
      <c r="O73" t="s">
        <v>549</v>
      </c>
      <c r="P73" t="s">
        <v>85</v>
      </c>
    </row>
    <row r="74" spans="1:16" hidden="1" x14ac:dyDescent="0.25">
      <c r="A74" t="s">
        <v>1103</v>
      </c>
      <c r="B74" t="s">
        <v>259</v>
      </c>
      <c r="C74" t="s">
        <v>260</v>
      </c>
      <c r="D74" t="s">
        <v>573</v>
      </c>
      <c r="E74" t="s">
        <v>73</v>
      </c>
      <c r="F74" t="s">
        <v>987</v>
      </c>
      <c r="G74" t="s">
        <v>1216</v>
      </c>
      <c r="H74">
        <v>580</v>
      </c>
      <c r="J74">
        <v>5514</v>
      </c>
      <c r="K74" t="s">
        <v>110</v>
      </c>
      <c r="L74">
        <v>55</v>
      </c>
      <c r="M74" t="s">
        <v>2219</v>
      </c>
      <c r="N74" t="s">
        <v>131</v>
      </c>
      <c r="O74" t="s">
        <v>549</v>
      </c>
      <c r="P74" t="s">
        <v>85</v>
      </c>
    </row>
    <row r="75" spans="1:16" hidden="1" x14ac:dyDescent="0.25">
      <c r="A75" t="s">
        <v>1103</v>
      </c>
      <c r="B75" t="s">
        <v>259</v>
      </c>
      <c r="C75" t="s">
        <v>260</v>
      </c>
      <c r="D75" t="s">
        <v>573</v>
      </c>
      <c r="E75" t="s">
        <v>73</v>
      </c>
      <c r="F75" t="s">
        <v>987</v>
      </c>
      <c r="G75" t="s">
        <v>986</v>
      </c>
      <c r="H75">
        <v>500</v>
      </c>
      <c r="J75">
        <v>5511</v>
      </c>
      <c r="K75" t="s">
        <v>106</v>
      </c>
      <c r="L75">
        <v>55</v>
      </c>
      <c r="M75" t="s">
        <v>2219</v>
      </c>
      <c r="N75" t="s">
        <v>131</v>
      </c>
      <c r="O75" t="s">
        <v>549</v>
      </c>
      <c r="P75" t="s">
        <v>85</v>
      </c>
    </row>
    <row r="76" spans="1:16" hidden="1" x14ac:dyDescent="0.25">
      <c r="A76" t="s">
        <v>1103</v>
      </c>
      <c r="B76" t="s">
        <v>259</v>
      </c>
      <c r="C76" t="s">
        <v>260</v>
      </c>
      <c r="D76" t="s">
        <v>573</v>
      </c>
      <c r="E76" t="s">
        <v>73</v>
      </c>
      <c r="F76" t="s">
        <v>987</v>
      </c>
      <c r="G76" t="s">
        <v>966</v>
      </c>
      <c r="H76">
        <v>1500</v>
      </c>
      <c r="I76" t="s">
        <v>985</v>
      </c>
      <c r="J76">
        <v>5511</v>
      </c>
      <c r="K76" t="s">
        <v>106</v>
      </c>
      <c r="L76">
        <v>55</v>
      </c>
      <c r="M76" t="s">
        <v>2219</v>
      </c>
      <c r="N76" t="s">
        <v>131</v>
      </c>
      <c r="O76" t="s">
        <v>549</v>
      </c>
      <c r="P76" t="s">
        <v>85</v>
      </c>
    </row>
    <row r="77" spans="1:16" hidden="1" x14ac:dyDescent="0.25">
      <c r="A77" t="s">
        <v>1103</v>
      </c>
      <c r="B77" t="s">
        <v>259</v>
      </c>
      <c r="C77" t="s">
        <v>260</v>
      </c>
      <c r="D77" t="s">
        <v>573</v>
      </c>
      <c r="E77" t="s">
        <v>73</v>
      </c>
      <c r="F77" t="s">
        <v>987</v>
      </c>
      <c r="G77" t="s">
        <v>968</v>
      </c>
      <c r="H77">
        <v>300</v>
      </c>
      <c r="J77">
        <v>5511</v>
      </c>
      <c r="K77" t="s">
        <v>106</v>
      </c>
      <c r="L77">
        <v>55</v>
      </c>
      <c r="M77" t="s">
        <v>2219</v>
      </c>
      <c r="N77" t="s">
        <v>131</v>
      </c>
      <c r="O77" t="s">
        <v>549</v>
      </c>
      <c r="P77" t="s">
        <v>85</v>
      </c>
    </row>
    <row r="78" spans="1:16" hidden="1" x14ac:dyDescent="0.25">
      <c r="A78" t="s">
        <v>1103</v>
      </c>
      <c r="B78" t="s">
        <v>259</v>
      </c>
      <c r="C78" t="s">
        <v>260</v>
      </c>
      <c r="D78" t="s">
        <v>573</v>
      </c>
      <c r="E78" t="s">
        <v>73</v>
      </c>
      <c r="F78" t="s">
        <v>987</v>
      </c>
      <c r="G78" t="s">
        <v>984</v>
      </c>
      <c r="H78">
        <v>3600</v>
      </c>
      <c r="J78">
        <v>5511</v>
      </c>
      <c r="K78" t="s">
        <v>106</v>
      </c>
      <c r="L78">
        <v>55</v>
      </c>
      <c r="M78" t="s">
        <v>2219</v>
      </c>
      <c r="N78" t="s">
        <v>131</v>
      </c>
      <c r="O78" t="s">
        <v>549</v>
      </c>
      <c r="P78" t="s">
        <v>85</v>
      </c>
    </row>
    <row r="79" spans="1:16" hidden="1" x14ac:dyDescent="0.25">
      <c r="A79" t="s">
        <v>1103</v>
      </c>
      <c r="B79" t="s">
        <v>259</v>
      </c>
      <c r="C79" t="s">
        <v>260</v>
      </c>
      <c r="D79" t="s">
        <v>573</v>
      </c>
      <c r="E79" t="s">
        <v>73</v>
      </c>
      <c r="F79" t="s">
        <v>987</v>
      </c>
      <c r="G79" t="s">
        <v>982</v>
      </c>
      <c r="H79">
        <v>6500</v>
      </c>
      <c r="I79" t="s">
        <v>983</v>
      </c>
      <c r="J79">
        <v>5511</v>
      </c>
      <c r="K79" t="s">
        <v>106</v>
      </c>
      <c r="L79">
        <v>55</v>
      </c>
      <c r="M79" t="s">
        <v>2219</v>
      </c>
      <c r="N79" t="s">
        <v>131</v>
      </c>
      <c r="O79" t="s">
        <v>549</v>
      </c>
      <c r="P79" t="s">
        <v>85</v>
      </c>
    </row>
    <row r="80" spans="1:16" hidden="1" x14ac:dyDescent="0.25">
      <c r="A80" t="s">
        <v>1103</v>
      </c>
      <c r="B80" t="s">
        <v>259</v>
      </c>
      <c r="C80" t="s">
        <v>260</v>
      </c>
      <c r="D80" t="s">
        <v>573</v>
      </c>
      <c r="E80" t="s">
        <v>73</v>
      </c>
      <c r="F80" t="s">
        <v>987</v>
      </c>
      <c r="G80" t="s">
        <v>980</v>
      </c>
      <c r="H80">
        <v>14300</v>
      </c>
      <c r="I80" t="s">
        <v>981</v>
      </c>
      <c r="J80">
        <v>5511</v>
      </c>
      <c r="K80" t="s">
        <v>106</v>
      </c>
      <c r="L80">
        <v>55</v>
      </c>
      <c r="M80" t="s">
        <v>2219</v>
      </c>
      <c r="N80" t="s">
        <v>131</v>
      </c>
      <c r="O80" t="s">
        <v>549</v>
      </c>
      <c r="P80" t="s">
        <v>85</v>
      </c>
    </row>
    <row r="81" spans="1:16" hidden="1" x14ac:dyDescent="0.25">
      <c r="A81" t="s">
        <v>1103</v>
      </c>
      <c r="B81" t="s">
        <v>259</v>
      </c>
      <c r="C81" t="s">
        <v>260</v>
      </c>
      <c r="D81" t="s">
        <v>573</v>
      </c>
      <c r="E81" t="s">
        <v>73</v>
      </c>
      <c r="F81" t="s">
        <v>987</v>
      </c>
      <c r="G81" t="s">
        <v>971</v>
      </c>
      <c r="H81">
        <v>1200</v>
      </c>
      <c r="I81" t="s">
        <v>969</v>
      </c>
      <c r="J81">
        <v>5511</v>
      </c>
      <c r="K81" t="s">
        <v>106</v>
      </c>
      <c r="L81">
        <v>55</v>
      </c>
      <c r="M81" t="s">
        <v>2219</v>
      </c>
      <c r="N81" t="s">
        <v>131</v>
      </c>
      <c r="O81" t="s">
        <v>549</v>
      </c>
      <c r="P81" t="s">
        <v>85</v>
      </c>
    </row>
    <row r="82" spans="1:16" hidden="1" x14ac:dyDescent="0.25">
      <c r="A82" t="s">
        <v>1103</v>
      </c>
      <c r="B82" t="s">
        <v>259</v>
      </c>
      <c r="C82" t="s">
        <v>260</v>
      </c>
      <c r="D82" t="s">
        <v>573</v>
      </c>
      <c r="E82" t="s">
        <v>73</v>
      </c>
      <c r="F82" t="s">
        <v>987</v>
      </c>
      <c r="G82" t="s">
        <v>978</v>
      </c>
      <c r="H82">
        <v>400</v>
      </c>
      <c r="I82" t="s">
        <v>979</v>
      </c>
      <c r="J82">
        <v>5511</v>
      </c>
      <c r="K82" t="s">
        <v>106</v>
      </c>
      <c r="L82">
        <v>55</v>
      </c>
      <c r="M82" t="s">
        <v>2219</v>
      </c>
      <c r="N82" t="s">
        <v>131</v>
      </c>
      <c r="O82" t="s">
        <v>549</v>
      </c>
      <c r="P82" t="s">
        <v>85</v>
      </c>
    </row>
    <row r="83" spans="1:16" hidden="1" x14ac:dyDescent="0.25">
      <c r="A83" t="s">
        <v>1103</v>
      </c>
      <c r="B83" t="s">
        <v>259</v>
      </c>
      <c r="C83" t="s">
        <v>260</v>
      </c>
      <c r="D83" t="s">
        <v>573</v>
      </c>
      <c r="E83" t="s">
        <v>73</v>
      </c>
      <c r="F83" t="s">
        <v>987</v>
      </c>
      <c r="G83" t="s">
        <v>943</v>
      </c>
      <c r="H83">
        <v>2500</v>
      </c>
      <c r="I83" t="s">
        <v>969</v>
      </c>
      <c r="J83">
        <v>5511</v>
      </c>
      <c r="K83" t="s">
        <v>106</v>
      </c>
      <c r="L83">
        <v>55</v>
      </c>
      <c r="M83" t="s">
        <v>2219</v>
      </c>
      <c r="N83" t="s">
        <v>131</v>
      </c>
      <c r="O83" t="s">
        <v>549</v>
      </c>
      <c r="P83" t="s">
        <v>85</v>
      </c>
    </row>
    <row r="84" spans="1:16" hidden="1" x14ac:dyDescent="0.25">
      <c r="A84" t="s">
        <v>1103</v>
      </c>
      <c r="B84" t="s">
        <v>257</v>
      </c>
      <c r="C84" t="s">
        <v>258</v>
      </c>
      <c r="D84" t="s">
        <v>573</v>
      </c>
      <c r="E84" t="s">
        <v>73</v>
      </c>
      <c r="F84" t="s">
        <v>962</v>
      </c>
      <c r="G84" t="s">
        <v>977</v>
      </c>
      <c r="H84">
        <v>4800</v>
      </c>
      <c r="J84">
        <v>5511</v>
      </c>
      <c r="K84" t="s">
        <v>106</v>
      </c>
      <c r="L84">
        <v>55</v>
      </c>
      <c r="M84" t="s">
        <v>2219</v>
      </c>
      <c r="N84" t="s">
        <v>131</v>
      </c>
      <c r="O84" t="s">
        <v>549</v>
      </c>
      <c r="P84" t="s">
        <v>85</v>
      </c>
    </row>
    <row r="85" spans="1:16" hidden="1" x14ac:dyDescent="0.25">
      <c r="A85" t="s">
        <v>1103</v>
      </c>
      <c r="B85" t="s">
        <v>257</v>
      </c>
      <c r="C85" t="s">
        <v>258</v>
      </c>
      <c r="D85" t="s">
        <v>573</v>
      </c>
      <c r="E85" t="s">
        <v>73</v>
      </c>
      <c r="F85" t="s">
        <v>962</v>
      </c>
      <c r="G85" t="s">
        <v>976</v>
      </c>
      <c r="H85">
        <v>5000</v>
      </c>
      <c r="J85">
        <v>5511</v>
      </c>
      <c r="K85" t="s">
        <v>106</v>
      </c>
      <c r="L85">
        <v>55</v>
      </c>
      <c r="M85" t="s">
        <v>2219</v>
      </c>
      <c r="N85" t="s">
        <v>131</v>
      </c>
      <c r="O85" t="s">
        <v>549</v>
      </c>
      <c r="P85" t="s">
        <v>85</v>
      </c>
    </row>
    <row r="86" spans="1:16" hidden="1" x14ac:dyDescent="0.25">
      <c r="A86" t="s">
        <v>1103</v>
      </c>
      <c r="B86" t="s">
        <v>257</v>
      </c>
      <c r="C86" t="s">
        <v>258</v>
      </c>
      <c r="D86" t="s">
        <v>573</v>
      </c>
      <c r="E86" t="s">
        <v>73</v>
      </c>
      <c r="F86" t="s">
        <v>962</v>
      </c>
      <c r="G86" t="s">
        <v>975</v>
      </c>
      <c r="H86">
        <v>13500</v>
      </c>
      <c r="J86">
        <v>5511</v>
      </c>
      <c r="K86" t="s">
        <v>106</v>
      </c>
      <c r="L86">
        <v>55</v>
      </c>
      <c r="M86" t="s">
        <v>2219</v>
      </c>
      <c r="N86" t="s">
        <v>131</v>
      </c>
      <c r="O86" t="s">
        <v>549</v>
      </c>
      <c r="P86" t="s">
        <v>85</v>
      </c>
    </row>
    <row r="87" spans="1:16" hidden="1" x14ac:dyDescent="0.25">
      <c r="A87" t="s">
        <v>1103</v>
      </c>
      <c r="B87" t="s">
        <v>257</v>
      </c>
      <c r="C87" t="s">
        <v>258</v>
      </c>
      <c r="D87" t="s">
        <v>573</v>
      </c>
      <c r="E87" t="s">
        <v>73</v>
      </c>
      <c r="F87" t="s">
        <v>962</v>
      </c>
      <c r="G87" t="s">
        <v>974</v>
      </c>
      <c r="H87">
        <v>250</v>
      </c>
      <c r="I87" t="s">
        <v>972</v>
      </c>
      <c r="J87">
        <v>5511</v>
      </c>
      <c r="K87" t="s">
        <v>106</v>
      </c>
      <c r="L87">
        <v>55</v>
      </c>
      <c r="M87" t="s">
        <v>2219</v>
      </c>
      <c r="N87" t="s">
        <v>131</v>
      </c>
      <c r="O87" t="s">
        <v>549</v>
      </c>
      <c r="P87" t="s">
        <v>85</v>
      </c>
    </row>
    <row r="88" spans="1:16" hidden="1" x14ac:dyDescent="0.25">
      <c r="A88" t="s">
        <v>1103</v>
      </c>
      <c r="B88" t="s">
        <v>257</v>
      </c>
      <c r="C88" t="s">
        <v>258</v>
      </c>
      <c r="D88" t="s">
        <v>573</v>
      </c>
      <c r="E88" t="s">
        <v>73</v>
      </c>
      <c r="F88" t="s">
        <v>962</v>
      </c>
      <c r="G88" t="s">
        <v>973</v>
      </c>
      <c r="H88">
        <v>155</v>
      </c>
      <c r="I88" t="s">
        <v>972</v>
      </c>
      <c r="J88">
        <v>5511</v>
      </c>
      <c r="K88" t="s">
        <v>106</v>
      </c>
      <c r="L88">
        <v>55</v>
      </c>
      <c r="M88" t="s">
        <v>2219</v>
      </c>
      <c r="N88" t="s">
        <v>131</v>
      </c>
      <c r="O88" t="s">
        <v>549</v>
      </c>
      <c r="P88" t="s">
        <v>85</v>
      </c>
    </row>
    <row r="89" spans="1:16" hidden="1" x14ac:dyDescent="0.25">
      <c r="A89" t="s">
        <v>1103</v>
      </c>
      <c r="B89" t="s">
        <v>257</v>
      </c>
      <c r="C89" t="s">
        <v>258</v>
      </c>
      <c r="D89" t="s">
        <v>573</v>
      </c>
      <c r="E89" t="s">
        <v>73</v>
      </c>
      <c r="F89" t="s">
        <v>962</v>
      </c>
      <c r="G89" t="s">
        <v>971</v>
      </c>
      <c r="H89">
        <v>160</v>
      </c>
      <c r="I89" t="s">
        <v>972</v>
      </c>
      <c r="J89">
        <v>5511</v>
      </c>
      <c r="K89" t="s">
        <v>106</v>
      </c>
      <c r="L89">
        <v>55</v>
      </c>
      <c r="M89" t="s">
        <v>2219</v>
      </c>
      <c r="N89" t="s">
        <v>131</v>
      </c>
      <c r="O89" t="s">
        <v>549</v>
      </c>
      <c r="P89" t="s">
        <v>85</v>
      </c>
    </row>
    <row r="90" spans="1:16" hidden="1" x14ac:dyDescent="0.25">
      <c r="A90" t="s">
        <v>1103</v>
      </c>
      <c r="B90" t="s">
        <v>257</v>
      </c>
      <c r="C90" t="s">
        <v>258</v>
      </c>
      <c r="D90" t="s">
        <v>573</v>
      </c>
      <c r="E90" t="s">
        <v>73</v>
      </c>
      <c r="F90" t="s">
        <v>962</v>
      </c>
      <c r="G90" t="s">
        <v>510</v>
      </c>
      <c r="H90">
        <v>600</v>
      </c>
      <c r="I90" t="s">
        <v>970</v>
      </c>
      <c r="J90">
        <v>5511</v>
      </c>
      <c r="K90" t="s">
        <v>106</v>
      </c>
      <c r="L90">
        <v>55</v>
      </c>
      <c r="M90" t="s">
        <v>2219</v>
      </c>
      <c r="N90" t="s">
        <v>131</v>
      </c>
      <c r="O90" t="s">
        <v>549</v>
      </c>
      <c r="P90" t="s">
        <v>85</v>
      </c>
    </row>
    <row r="91" spans="1:16" hidden="1" x14ac:dyDescent="0.25">
      <c r="A91" t="s">
        <v>1103</v>
      </c>
      <c r="B91" t="s">
        <v>257</v>
      </c>
      <c r="C91" t="s">
        <v>258</v>
      </c>
      <c r="D91" t="s">
        <v>573</v>
      </c>
      <c r="E91" t="s">
        <v>73</v>
      </c>
      <c r="F91" t="s">
        <v>962</v>
      </c>
      <c r="G91" t="s">
        <v>943</v>
      </c>
      <c r="H91">
        <v>3000</v>
      </c>
      <c r="I91" t="s">
        <v>969</v>
      </c>
      <c r="J91">
        <v>5511</v>
      </c>
      <c r="K91" t="s">
        <v>106</v>
      </c>
      <c r="L91">
        <v>55</v>
      </c>
      <c r="M91" t="s">
        <v>2219</v>
      </c>
      <c r="N91" t="s">
        <v>131</v>
      </c>
      <c r="O91" t="s">
        <v>549</v>
      </c>
      <c r="P91" t="s">
        <v>85</v>
      </c>
    </row>
    <row r="92" spans="1:16" hidden="1" x14ac:dyDescent="0.25">
      <c r="A92" t="s">
        <v>1103</v>
      </c>
      <c r="B92" t="s">
        <v>257</v>
      </c>
      <c r="C92" t="s">
        <v>258</v>
      </c>
      <c r="D92" t="s">
        <v>573</v>
      </c>
      <c r="E92" t="s">
        <v>73</v>
      </c>
      <c r="F92" t="s">
        <v>962</v>
      </c>
      <c r="G92" t="s">
        <v>968</v>
      </c>
      <c r="H92">
        <v>500</v>
      </c>
      <c r="J92">
        <v>5511</v>
      </c>
      <c r="K92" t="s">
        <v>106</v>
      </c>
      <c r="L92">
        <v>55</v>
      </c>
      <c r="M92" t="s">
        <v>2219</v>
      </c>
      <c r="N92" t="s">
        <v>131</v>
      </c>
      <c r="O92" t="s">
        <v>549</v>
      </c>
      <c r="P92" t="s">
        <v>85</v>
      </c>
    </row>
    <row r="93" spans="1:16" hidden="1" x14ac:dyDescent="0.25">
      <c r="A93" t="s">
        <v>1103</v>
      </c>
      <c r="B93" t="s">
        <v>257</v>
      </c>
      <c r="C93" t="s">
        <v>258</v>
      </c>
      <c r="D93" t="s">
        <v>573</v>
      </c>
      <c r="E93" t="s">
        <v>73</v>
      </c>
      <c r="F93" t="s">
        <v>962</v>
      </c>
      <c r="G93" t="s">
        <v>966</v>
      </c>
      <c r="H93">
        <v>2000</v>
      </c>
      <c r="I93" t="s">
        <v>967</v>
      </c>
      <c r="J93">
        <v>5511</v>
      </c>
      <c r="K93" t="s">
        <v>106</v>
      </c>
      <c r="L93">
        <v>55</v>
      </c>
      <c r="M93" t="s">
        <v>2219</v>
      </c>
      <c r="N93" t="s">
        <v>131</v>
      </c>
      <c r="O93" t="s">
        <v>549</v>
      </c>
      <c r="P93" t="s">
        <v>85</v>
      </c>
    </row>
    <row r="94" spans="1:16" hidden="1" x14ac:dyDescent="0.25">
      <c r="A94" t="s">
        <v>1103</v>
      </c>
      <c r="B94" t="s">
        <v>257</v>
      </c>
      <c r="C94" t="s">
        <v>258</v>
      </c>
      <c r="D94" t="s">
        <v>573</v>
      </c>
      <c r="E94" t="s">
        <v>73</v>
      </c>
      <c r="F94" t="s">
        <v>962</v>
      </c>
      <c r="G94" t="s">
        <v>965</v>
      </c>
      <c r="H94">
        <v>150</v>
      </c>
      <c r="J94">
        <v>5511</v>
      </c>
      <c r="K94" t="s">
        <v>106</v>
      </c>
      <c r="L94">
        <v>55</v>
      </c>
      <c r="M94" t="s">
        <v>2219</v>
      </c>
      <c r="N94" t="s">
        <v>131</v>
      </c>
      <c r="O94" t="s">
        <v>549</v>
      </c>
      <c r="P94" t="s">
        <v>85</v>
      </c>
    </row>
    <row r="95" spans="1:16" hidden="1" x14ac:dyDescent="0.25">
      <c r="A95" t="s">
        <v>1103</v>
      </c>
      <c r="B95" t="s">
        <v>257</v>
      </c>
      <c r="C95" t="s">
        <v>258</v>
      </c>
      <c r="D95" t="s">
        <v>573</v>
      </c>
      <c r="E95" t="s">
        <v>73</v>
      </c>
      <c r="F95" t="s">
        <v>962</v>
      </c>
      <c r="G95" t="s">
        <v>963</v>
      </c>
      <c r="H95">
        <v>12950</v>
      </c>
      <c r="I95" t="s">
        <v>964</v>
      </c>
      <c r="J95">
        <v>5511</v>
      </c>
      <c r="K95" t="s">
        <v>106</v>
      </c>
      <c r="L95">
        <v>55</v>
      </c>
      <c r="M95" t="s">
        <v>2219</v>
      </c>
      <c r="N95" t="s">
        <v>131</v>
      </c>
      <c r="O95" t="s">
        <v>549</v>
      </c>
      <c r="P95" t="s">
        <v>85</v>
      </c>
    </row>
    <row r="96" spans="1:16" hidden="1" x14ac:dyDescent="0.25">
      <c r="A96" t="s">
        <v>1103</v>
      </c>
      <c r="B96" t="s">
        <v>255</v>
      </c>
      <c r="C96" t="s">
        <v>256</v>
      </c>
      <c r="D96" t="s">
        <v>573</v>
      </c>
      <c r="E96" t="s">
        <v>73</v>
      </c>
      <c r="F96" t="s">
        <v>934</v>
      </c>
      <c r="G96" t="s">
        <v>912</v>
      </c>
      <c r="H96">
        <v>381.6</v>
      </c>
      <c r="I96" t="s">
        <v>948</v>
      </c>
      <c r="J96">
        <v>5514</v>
      </c>
      <c r="K96" t="s">
        <v>110</v>
      </c>
      <c r="L96">
        <v>55</v>
      </c>
      <c r="M96" t="s">
        <v>2219</v>
      </c>
      <c r="N96" t="s">
        <v>131</v>
      </c>
      <c r="O96" t="s">
        <v>549</v>
      </c>
      <c r="P96" t="s">
        <v>85</v>
      </c>
    </row>
    <row r="97" spans="1:16" hidden="1" x14ac:dyDescent="0.25">
      <c r="A97" t="s">
        <v>1103</v>
      </c>
      <c r="B97" t="s">
        <v>255</v>
      </c>
      <c r="C97" t="s">
        <v>256</v>
      </c>
      <c r="D97" t="s">
        <v>573</v>
      </c>
      <c r="E97" t="s">
        <v>73</v>
      </c>
      <c r="F97" t="s">
        <v>934</v>
      </c>
      <c r="G97" t="s">
        <v>950</v>
      </c>
      <c r="H97">
        <v>2000</v>
      </c>
      <c r="J97">
        <v>5515</v>
      </c>
      <c r="K97" t="s">
        <v>112</v>
      </c>
      <c r="L97">
        <v>55</v>
      </c>
      <c r="M97" t="s">
        <v>2219</v>
      </c>
      <c r="N97" t="s">
        <v>131</v>
      </c>
      <c r="O97" t="s">
        <v>549</v>
      </c>
      <c r="P97" t="s">
        <v>85</v>
      </c>
    </row>
    <row r="98" spans="1:16" hidden="1" x14ac:dyDescent="0.25">
      <c r="A98" t="s">
        <v>1103</v>
      </c>
      <c r="B98" t="s">
        <v>255</v>
      </c>
      <c r="C98" t="s">
        <v>256</v>
      </c>
      <c r="D98" t="s">
        <v>573</v>
      </c>
      <c r="E98" t="s">
        <v>73</v>
      </c>
      <c r="F98" t="s">
        <v>934</v>
      </c>
      <c r="G98" t="s">
        <v>918</v>
      </c>
      <c r="H98">
        <v>900</v>
      </c>
      <c r="I98" t="s">
        <v>949</v>
      </c>
      <c r="J98">
        <v>5515</v>
      </c>
      <c r="K98" t="s">
        <v>112</v>
      </c>
      <c r="L98">
        <v>55</v>
      </c>
      <c r="M98" t="s">
        <v>2219</v>
      </c>
      <c r="N98" t="s">
        <v>131</v>
      </c>
      <c r="O98" t="s">
        <v>549</v>
      </c>
      <c r="P98" t="s">
        <v>85</v>
      </c>
    </row>
    <row r="99" spans="1:16" hidden="1" x14ac:dyDescent="0.25">
      <c r="A99" t="s">
        <v>1103</v>
      </c>
      <c r="B99" t="s">
        <v>255</v>
      </c>
      <c r="C99" t="s">
        <v>256</v>
      </c>
      <c r="D99" t="s">
        <v>573</v>
      </c>
      <c r="E99" t="s">
        <v>73</v>
      </c>
      <c r="F99" t="s">
        <v>934</v>
      </c>
      <c r="G99" t="s">
        <v>442</v>
      </c>
      <c r="H99">
        <v>3600</v>
      </c>
      <c r="J99">
        <v>5513</v>
      </c>
      <c r="K99" t="s">
        <v>111</v>
      </c>
      <c r="L99">
        <v>55</v>
      </c>
      <c r="M99" t="s">
        <v>2219</v>
      </c>
      <c r="N99" t="s">
        <v>131</v>
      </c>
      <c r="O99" t="s">
        <v>549</v>
      </c>
      <c r="P99" t="s">
        <v>85</v>
      </c>
    </row>
    <row r="100" spans="1:16" hidden="1" x14ac:dyDescent="0.25">
      <c r="A100" t="s">
        <v>1103</v>
      </c>
      <c r="B100" t="s">
        <v>255</v>
      </c>
      <c r="C100" t="s">
        <v>256</v>
      </c>
      <c r="D100" t="s">
        <v>573</v>
      </c>
      <c r="E100" t="s">
        <v>73</v>
      </c>
      <c r="F100" t="s">
        <v>934</v>
      </c>
      <c r="G100" t="s">
        <v>946</v>
      </c>
      <c r="H100">
        <v>8000</v>
      </c>
      <c r="I100" t="s">
        <v>2101</v>
      </c>
      <c r="J100">
        <v>5513</v>
      </c>
      <c r="K100" t="s">
        <v>111</v>
      </c>
      <c r="L100">
        <v>55</v>
      </c>
      <c r="M100" t="s">
        <v>2219</v>
      </c>
      <c r="N100" t="s">
        <v>131</v>
      </c>
      <c r="O100" t="s">
        <v>549</v>
      </c>
      <c r="P100" t="s">
        <v>85</v>
      </c>
    </row>
    <row r="101" spans="1:16" hidden="1" x14ac:dyDescent="0.25">
      <c r="A101" t="s">
        <v>1103</v>
      </c>
      <c r="B101" t="s">
        <v>255</v>
      </c>
      <c r="C101" t="s">
        <v>256</v>
      </c>
      <c r="D101" t="s">
        <v>573</v>
      </c>
      <c r="E101" t="s">
        <v>73</v>
      </c>
      <c r="F101" t="s">
        <v>934</v>
      </c>
      <c r="G101" t="s">
        <v>945</v>
      </c>
      <c r="H101">
        <v>3500</v>
      </c>
      <c r="I101" t="s">
        <v>198</v>
      </c>
      <c r="J101">
        <v>5513</v>
      </c>
      <c r="K101" t="s">
        <v>111</v>
      </c>
      <c r="L101">
        <v>55</v>
      </c>
      <c r="M101" t="s">
        <v>2219</v>
      </c>
      <c r="N101" t="s">
        <v>131</v>
      </c>
      <c r="O101" t="s">
        <v>549</v>
      </c>
      <c r="P101" t="s">
        <v>85</v>
      </c>
    </row>
    <row r="102" spans="1:16" hidden="1" x14ac:dyDescent="0.25">
      <c r="A102" t="s">
        <v>1103</v>
      </c>
      <c r="B102" t="s">
        <v>255</v>
      </c>
      <c r="C102" t="s">
        <v>256</v>
      </c>
      <c r="D102" t="s">
        <v>573</v>
      </c>
      <c r="E102" t="s">
        <v>73</v>
      </c>
      <c r="F102" t="s">
        <v>934</v>
      </c>
      <c r="G102" t="s">
        <v>409</v>
      </c>
      <c r="H102">
        <v>200</v>
      </c>
      <c r="J102">
        <v>5504</v>
      </c>
      <c r="K102" t="s">
        <v>102</v>
      </c>
      <c r="L102">
        <v>55</v>
      </c>
      <c r="M102" t="s">
        <v>2219</v>
      </c>
      <c r="N102" t="s">
        <v>131</v>
      </c>
      <c r="O102" t="s">
        <v>549</v>
      </c>
      <c r="P102" t="s">
        <v>85</v>
      </c>
    </row>
    <row r="103" spans="1:16" hidden="1" x14ac:dyDescent="0.25">
      <c r="A103" t="s">
        <v>1103</v>
      </c>
      <c r="B103" t="s">
        <v>255</v>
      </c>
      <c r="C103" t="s">
        <v>256</v>
      </c>
      <c r="D103" t="s">
        <v>573</v>
      </c>
      <c r="E103" t="s">
        <v>73</v>
      </c>
      <c r="F103" t="s">
        <v>934</v>
      </c>
      <c r="G103" t="s">
        <v>793</v>
      </c>
      <c r="H103">
        <v>26.4</v>
      </c>
      <c r="I103" t="s">
        <v>936</v>
      </c>
      <c r="J103">
        <v>5500</v>
      </c>
      <c r="K103" t="s">
        <v>100</v>
      </c>
      <c r="L103">
        <v>55</v>
      </c>
      <c r="M103" t="s">
        <v>2219</v>
      </c>
      <c r="N103" t="s">
        <v>131</v>
      </c>
      <c r="O103" t="s">
        <v>549</v>
      </c>
      <c r="P103" t="s">
        <v>85</v>
      </c>
    </row>
    <row r="104" spans="1:16" hidden="1" x14ac:dyDescent="0.25">
      <c r="A104" t="s">
        <v>1103</v>
      </c>
      <c r="B104" t="s">
        <v>255</v>
      </c>
      <c r="C104" t="s">
        <v>256</v>
      </c>
      <c r="D104" t="s">
        <v>573</v>
      </c>
      <c r="E104" t="s">
        <v>73</v>
      </c>
      <c r="F104" t="s">
        <v>934</v>
      </c>
      <c r="G104" t="s">
        <v>864</v>
      </c>
      <c r="H104">
        <v>300</v>
      </c>
      <c r="I104" t="s">
        <v>865</v>
      </c>
      <c r="J104">
        <v>5500</v>
      </c>
      <c r="K104" t="s">
        <v>100</v>
      </c>
      <c r="L104">
        <v>55</v>
      </c>
      <c r="M104" t="s">
        <v>2219</v>
      </c>
      <c r="N104" t="s">
        <v>131</v>
      </c>
      <c r="O104" t="s">
        <v>549</v>
      </c>
      <c r="P104" t="s">
        <v>85</v>
      </c>
    </row>
    <row r="105" spans="1:16" hidden="1" x14ac:dyDescent="0.25">
      <c r="A105" t="s">
        <v>1103</v>
      </c>
      <c r="B105" t="s">
        <v>255</v>
      </c>
      <c r="C105" t="s">
        <v>256</v>
      </c>
      <c r="D105" t="s">
        <v>573</v>
      </c>
      <c r="E105" t="s">
        <v>73</v>
      </c>
      <c r="F105" t="s">
        <v>934</v>
      </c>
      <c r="G105" t="s">
        <v>943</v>
      </c>
      <c r="H105">
        <v>3000</v>
      </c>
      <c r="J105">
        <v>5511</v>
      </c>
      <c r="K105" t="s">
        <v>106</v>
      </c>
      <c r="L105">
        <v>55</v>
      </c>
      <c r="M105" t="s">
        <v>2219</v>
      </c>
      <c r="N105" t="s">
        <v>131</v>
      </c>
      <c r="O105" t="s">
        <v>549</v>
      </c>
      <c r="P105" t="s">
        <v>85</v>
      </c>
    </row>
    <row r="106" spans="1:16" hidden="1" x14ac:dyDescent="0.25">
      <c r="A106" t="s">
        <v>1103</v>
      </c>
      <c r="B106" t="s">
        <v>255</v>
      </c>
      <c r="C106" t="s">
        <v>256</v>
      </c>
      <c r="D106" t="s">
        <v>573</v>
      </c>
      <c r="E106" t="s">
        <v>73</v>
      </c>
      <c r="F106" t="s">
        <v>934</v>
      </c>
      <c r="G106" t="s">
        <v>942</v>
      </c>
      <c r="H106">
        <v>570</v>
      </c>
      <c r="J106">
        <v>5511</v>
      </c>
      <c r="K106" t="s">
        <v>106</v>
      </c>
      <c r="L106">
        <v>55</v>
      </c>
      <c r="M106" t="s">
        <v>2219</v>
      </c>
      <c r="N106" t="s">
        <v>131</v>
      </c>
      <c r="O106" t="s">
        <v>549</v>
      </c>
      <c r="P106" t="s">
        <v>85</v>
      </c>
    </row>
    <row r="107" spans="1:16" hidden="1" x14ac:dyDescent="0.25">
      <c r="A107" t="s">
        <v>1103</v>
      </c>
      <c r="B107" t="s">
        <v>255</v>
      </c>
      <c r="C107" t="s">
        <v>256</v>
      </c>
      <c r="D107" t="s">
        <v>573</v>
      </c>
      <c r="E107" t="s">
        <v>73</v>
      </c>
      <c r="F107" t="s">
        <v>934</v>
      </c>
      <c r="G107" t="s">
        <v>941</v>
      </c>
      <c r="H107">
        <v>4000</v>
      </c>
      <c r="J107">
        <v>5511</v>
      </c>
      <c r="K107" t="s">
        <v>106</v>
      </c>
      <c r="L107">
        <v>55</v>
      </c>
      <c r="M107" t="s">
        <v>2219</v>
      </c>
      <c r="N107" t="s">
        <v>131</v>
      </c>
      <c r="O107" t="s">
        <v>549</v>
      </c>
      <c r="P107" t="s">
        <v>85</v>
      </c>
    </row>
    <row r="108" spans="1:16" hidden="1" x14ac:dyDescent="0.25">
      <c r="A108" t="s">
        <v>1103</v>
      </c>
      <c r="B108" t="s">
        <v>255</v>
      </c>
      <c r="C108" t="s">
        <v>256</v>
      </c>
      <c r="D108" t="s">
        <v>573</v>
      </c>
      <c r="E108" t="s">
        <v>73</v>
      </c>
      <c r="F108" t="s">
        <v>934</v>
      </c>
      <c r="G108" t="s">
        <v>940</v>
      </c>
      <c r="H108">
        <v>300</v>
      </c>
      <c r="J108">
        <v>5511</v>
      </c>
      <c r="K108" t="s">
        <v>106</v>
      </c>
      <c r="L108">
        <v>55</v>
      </c>
      <c r="M108" t="s">
        <v>2219</v>
      </c>
      <c r="N108" t="s">
        <v>131</v>
      </c>
      <c r="O108" t="s">
        <v>549</v>
      </c>
      <c r="P108" t="s">
        <v>85</v>
      </c>
    </row>
    <row r="109" spans="1:16" hidden="1" x14ac:dyDescent="0.25">
      <c r="A109" t="s">
        <v>1103</v>
      </c>
      <c r="B109" t="s">
        <v>255</v>
      </c>
      <c r="C109" t="s">
        <v>256</v>
      </c>
      <c r="D109" t="s">
        <v>573</v>
      </c>
      <c r="E109" t="s">
        <v>73</v>
      </c>
      <c r="F109" t="s">
        <v>934</v>
      </c>
      <c r="G109" t="s">
        <v>939</v>
      </c>
      <c r="H109">
        <v>116</v>
      </c>
      <c r="J109">
        <v>5511</v>
      </c>
      <c r="K109" t="s">
        <v>106</v>
      </c>
      <c r="L109">
        <v>55</v>
      </c>
      <c r="M109" t="s">
        <v>2219</v>
      </c>
      <c r="N109" t="s">
        <v>131</v>
      </c>
      <c r="O109" t="s">
        <v>549</v>
      </c>
      <c r="P109" t="s">
        <v>85</v>
      </c>
    </row>
    <row r="110" spans="1:16" hidden="1" x14ac:dyDescent="0.25">
      <c r="A110" t="s">
        <v>1103</v>
      </c>
      <c r="B110" t="s">
        <v>255</v>
      </c>
      <c r="C110" t="s">
        <v>256</v>
      </c>
      <c r="D110" t="s">
        <v>573</v>
      </c>
      <c r="E110" t="s">
        <v>73</v>
      </c>
      <c r="F110" t="s">
        <v>934</v>
      </c>
      <c r="G110" t="s">
        <v>896</v>
      </c>
      <c r="H110">
        <v>200</v>
      </c>
      <c r="J110">
        <v>5511</v>
      </c>
      <c r="K110" t="s">
        <v>106</v>
      </c>
      <c r="L110">
        <v>55</v>
      </c>
      <c r="M110" t="s">
        <v>2219</v>
      </c>
      <c r="N110" t="s">
        <v>131</v>
      </c>
      <c r="O110" t="s">
        <v>549</v>
      </c>
      <c r="P110" t="s">
        <v>85</v>
      </c>
    </row>
    <row r="111" spans="1:16" hidden="1" x14ac:dyDescent="0.25">
      <c r="A111" t="s">
        <v>1103</v>
      </c>
      <c r="B111" t="s">
        <v>255</v>
      </c>
      <c r="C111" t="s">
        <v>256</v>
      </c>
      <c r="D111" t="s">
        <v>573</v>
      </c>
      <c r="E111" t="s">
        <v>73</v>
      </c>
      <c r="F111" t="s">
        <v>934</v>
      </c>
      <c r="G111" t="s">
        <v>894</v>
      </c>
      <c r="H111">
        <v>540</v>
      </c>
      <c r="J111">
        <v>5511</v>
      </c>
      <c r="K111" t="s">
        <v>106</v>
      </c>
      <c r="L111">
        <v>55</v>
      </c>
      <c r="M111" t="s">
        <v>2219</v>
      </c>
      <c r="N111" t="s">
        <v>131</v>
      </c>
      <c r="O111" t="s">
        <v>549</v>
      </c>
      <c r="P111" t="s">
        <v>85</v>
      </c>
    </row>
    <row r="112" spans="1:16" hidden="1" x14ac:dyDescent="0.25">
      <c r="A112" t="s">
        <v>1103</v>
      </c>
      <c r="B112" t="s">
        <v>255</v>
      </c>
      <c r="C112" t="s">
        <v>256</v>
      </c>
      <c r="D112" t="s">
        <v>573</v>
      </c>
      <c r="E112" t="s">
        <v>73</v>
      </c>
      <c r="F112" t="s">
        <v>934</v>
      </c>
      <c r="G112" t="s">
        <v>891</v>
      </c>
      <c r="H112">
        <v>150</v>
      </c>
      <c r="I112" t="s">
        <v>944</v>
      </c>
      <c r="J112">
        <v>5511</v>
      </c>
      <c r="K112" t="s">
        <v>106</v>
      </c>
      <c r="L112">
        <v>55</v>
      </c>
      <c r="M112" t="s">
        <v>2219</v>
      </c>
      <c r="N112" t="s">
        <v>131</v>
      </c>
      <c r="O112" t="s">
        <v>549</v>
      </c>
      <c r="P112" t="s">
        <v>85</v>
      </c>
    </row>
    <row r="113" spans="1:16" hidden="1" x14ac:dyDescent="0.25">
      <c r="A113" t="s">
        <v>1103</v>
      </c>
      <c r="B113" t="s">
        <v>255</v>
      </c>
      <c r="C113" t="s">
        <v>256</v>
      </c>
      <c r="D113" t="s">
        <v>573</v>
      </c>
      <c r="E113" t="s">
        <v>73</v>
      </c>
      <c r="F113" t="s">
        <v>934</v>
      </c>
      <c r="G113" t="s">
        <v>938</v>
      </c>
      <c r="H113">
        <v>500</v>
      </c>
      <c r="J113">
        <v>5511</v>
      </c>
      <c r="K113" t="s">
        <v>106</v>
      </c>
      <c r="L113">
        <v>55</v>
      </c>
      <c r="M113" t="s">
        <v>2219</v>
      </c>
      <c r="N113" t="s">
        <v>131</v>
      </c>
      <c r="O113" t="s">
        <v>549</v>
      </c>
      <c r="P113" t="s">
        <v>85</v>
      </c>
    </row>
    <row r="114" spans="1:16" hidden="1" x14ac:dyDescent="0.25">
      <c r="A114" t="s">
        <v>1103</v>
      </c>
      <c r="B114" t="s">
        <v>255</v>
      </c>
      <c r="C114" t="s">
        <v>256</v>
      </c>
      <c r="D114" t="s">
        <v>573</v>
      </c>
      <c r="E114" t="s">
        <v>73</v>
      </c>
      <c r="F114" t="s">
        <v>934</v>
      </c>
      <c r="G114" t="s">
        <v>887</v>
      </c>
      <c r="H114">
        <v>200</v>
      </c>
      <c r="J114">
        <v>5511</v>
      </c>
      <c r="K114" t="s">
        <v>106</v>
      </c>
      <c r="L114">
        <v>55</v>
      </c>
      <c r="M114" t="s">
        <v>2219</v>
      </c>
      <c r="N114" t="s">
        <v>131</v>
      </c>
      <c r="O114" t="s">
        <v>549</v>
      </c>
      <c r="P114" t="s">
        <v>85</v>
      </c>
    </row>
    <row r="115" spans="1:16" hidden="1" x14ac:dyDescent="0.25">
      <c r="A115" t="s">
        <v>1103</v>
      </c>
      <c r="B115" t="s">
        <v>255</v>
      </c>
      <c r="C115" t="s">
        <v>256</v>
      </c>
      <c r="D115" t="s">
        <v>573</v>
      </c>
      <c r="E115" t="s">
        <v>73</v>
      </c>
      <c r="F115" t="s">
        <v>934</v>
      </c>
      <c r="G115" t="s">
        <v>874</v>
      </c>
      <c r="H115">
        <v>110</v>
      </c>
      <c r="J115">
        <v>5511</v>
      </c>
      <c r="K115" t="s">
        <v>106</v>
      </c>
      <c r="L115">
        <v>55</v>
      </c>
      <c r="M115" t="s">
        <v>2219</v>
      </c>
      <c r="N115" t="s">
        <v>131</v>
      </c>
      <c r="O115" t="s">
        <v>549</v>
      </c>
      <c r="P115" t="s">
        <v>85</v>
      </c>
    </row>
    <row r="116" spans="1:16" hidden="1" x14ac:dyDescent="0.25">
      <c r="A116" t="s">
        <v>1103</v>
      </c>
      <c r="B116" t="s">
        <v>255</v>
      </c>
      <c r="C116" t="s">
        <v>256</v>
      </c>
      <c r="D116" t="s">
        <v>573</v>
      </c>
      <c r="E116" t="s">
        <v>73</v>
      </c>
      <c r="F116" t="s">
        <v>934</v>
      </c>
      <c r="G116" t="s">
        <v>872</v>
      </c>
      <c r="H116">
        <v>350</v>
      </c>
      <c r="J116">
        <v>5511</v>
      </c>
      <c r="K116" t="s">
        <v>106</v>
      </c>
      <c r="L116">
        <v>55</v>
      </c>
      <c r="M116" t="s">
        <v>2219</v>
      </c>
      <c r="N116" t="s">
        <v>131</v>
      </c>
      <c r="O116" t="s">
        <v>549</v>
      </c>
      <c r="P116" t="s">
        <v>85</v>
      </c>
    </row>
    <row r="117" spans="1:16" hidden="1" x14ac:dyDescent="0.25">
      <c r="A117" t="s">
        <v>1103</v>
      </c>
      <c r="B117" t="s">
        <v>255</v>
      </c>
      <c r="C117" t="s">
        <v>256</v>
      </c>
      <c r="D117" t="s">
        <v>573</v>
      </c>
      <c r="E117" t="s">
        <v>73</v>
      </c>
      <c r="F117" t="s">
        <v>934</v>
      </c>
      <c r="G117" t="s">
        <v>870</v>
      </c>
      <c r="H117">
        <v>10600</v>
      </c>
      <c r="J117">
        <v>5511</v>
      </c>
      <c r="K117" t="s">
        <v>106</v>
      </c>
      <c r="L117">
        <v>55</v>
      </c>
      <c r="M117" t="s">
        <v>2219</v>
      </c>
      <c r="N117" t="s">
        <v>131</v>
      </c>
      <c r="O117" t="s">
        <v>549</v>
      </c>
      <c r="P117" t="s">
        <v>85</v>
      </c>
    </row>
    <row r="118" spans="1:16" hidden="1" x14ac:dyDescent="0.25">
      <c r="A118" t="s">
        <v>1103</v>
      </c>
      <c r="B118" t="s">
        <v>255</v>
      </c>
      <c r="C118" t="s">
        <v>256</v>
      </c>
      <c r="D118" t="s">
        <v>573</v>
      </c>
      <c r="E118" t="s">
        <v>73</v>
      </c>
      <c r="F118" t="s">
        <v>934</v>
      </c>
      <c r="G118" t="s">
        <v>937</v>
      </c>
      <c r="H118">
        <v>814</v>
      </c>
      <c r="J118">
        <v>5511</v>
      </c>
      <c r="K118" t="s">
        <v>106</v>
      </c>
      <c r="L118">
        <v>55</v>
      </c>
      <c r="M118" t="s">
        <v>2219</v>
      </c>
      <c r="N118" t="s">
        <v>131</v>
      </c>
      <c r="O118" t="s">
        <v>549</v>
      </c>
      <c r="P118" t="s">
        <v>85</v>
      </c>
    </row>
    <row r="119" spans="1:16" x14ac:dyDescent="0.25">
      <c r="A119" t="s">
        <v>1103</v>
      </c>
      <c r="B119" t="s">
        <v>254</v>
      </c>
      <c r="C119" t="s">
        <v>2038</v>
      </c>
      <c r="D119" t="s">
        <v>573</v>
      </c>
      <c r="E119" t="s">
        <v>73</v>
      </c>
      <c r="F119" t="s">
        <v>850</v>
      </c>
      <c r="G119" t="s">
        <v>2050</v>
      </c>
      <c r="H119">
        <v>5000</v>
      </c>
      <c r="I119" t="s">
        <v>2051</v>
      </c>
      <c r="J119">
        <v>1550</v>
      </c>
      <c r="K119" t="s">
        <v>93</v>
      </c>
      <c r="L119">
        <v>15</v>
      </c>
      <c r="M119" t="s">
        <v>2220</v>
      </c>
      <c r="N119" t="s">
        <v>4</v>
      </c>
      <c r="O119" t="s">
        <v>4</v>
      </c>
      <c r="P119" t="s">
        <v>87</v>
      </c>
    </row>
    <row r="120" spans="1:16" hidden="1" x14ac:dyDescent="0.25">
      <c r="A120" t="s">
        <v>1103</v>
      </c>
      <c r="B120" t="s">
        <v>254</v>
      </c>
      <c r="C120" t="s">
        <v>2038</v>
      </c>
      <c r="D120" t="s">
        <v>573</v>
      </c>
      <c r="E120" t="s">
        <v>73</v>
      </c>
      <c r="F120" t="s">
        <v>850</v>
      </c>
      <c r="G120" t="s">
        <v>916</v>
      </c>
      <c r="H120">
        <v>300</v>
      </c>
      <c r="I120" t="s">
        <v>917</v>
      </c>
      <c r="J120">
        <v>5514</v>
      </c>
      <c r="K120" t="s">
        <v>110</v>
      </c>
      <c r="L120">
        <v>55</v>
      </c>
      <c r="M120" t="s">
        <v>2219</v>
      </c>
      <c r="N120" t="s">
        <v>131</v>
      </c>
      <c r="O120" t="s">
        <v>549</v>
      </c>
      <c r="P120" t="s">
        <v>85</v>
      </c>
    </row>
    <row r="121" spans="1:16" hidden="1" x14ac:dyDescent="0.25">
      <c r="A121" t="s">
        <v>1103</v>
      </c>
      <c r="B121" t="s">
        <v>254</v>
      </c>
      <c r="C121" t="s">
        <v>2038</v>
      </c>
      <c r="D121" t="s">
        <v>573</v>
      </c>
      <c r="E121" t="s">
        <v>73</v>
      </c>
      <c r="F121" t="s">
        <v>850</v>
      </c>
      <c r="G121" t="s">
        <v>912</v>
      </c>
      <c r="H121">
        <v>3050</v>
      </c>
      <c r="I121" t="s">
        <v>913</v>
      </c>
      <c r="J121">
        <v>5514</v>
      </c>
      <c r="K121" t="s">
        <v>110</v>
      </c>
      <c r="L121">
        <v>55</v>
      </c>
      <c r="M121" t="s">
        <v>2219</v>
      </c>
      <c r="N121" t="s">
        <v>131</v>
      </c>
      <c r="O121" t="s">
        <v>549</v>
      </c>
      <c r="P121" t="s">
        <v>85</v>
      </c>
    </row>
    <row r="122" spans="1:16" hidden="1" x14ac:dyDescent="0.25">
      <c r="A122" t="s">
        <v>1103</v>
      </c>
      <c r="B122" t="s">
        <v>254</v>
      </c>
      <c r="C122" t="s">
        <v>2038</v>
      </c>
      <c r="D122" t="s">
        <v>573</v>
      </c>
      <c r="E122" t="s">
        <v>73</v>
      </c>
      <c r="F122" t="s">
        <v>850</v>
      </c>
      <c r="G122" t="s">
        <v>932</v>
      </c>
      <c r="H122">
        <v>6000</v>
      </c>
      <c r="I122" t="s">
        <v>933</v>
      </c>
      <c r="J122">
        <v>5540</v>
      </c>
      <c r="K122" t="s">
        <v>121</v>
      </c>
      <c r="L122">
        <v>55</v>
      </c>
      <c r="M122" t="s">
        <v>2219</v>
      </c>
      <c r="N122" t="s">
        <v>131</v>
      </c>
      <c r="O122" t="s">
        <v>549</v>
      </c>
      <c r="P122" t="s">
        <v>85</v>
      </c>
    </row>
    <row r="123" spans="1:16" hidden="1" x14ac:dyDescent="0.25">
      <c r="A123" t="s">
        <v>1103</v>
      </c>
      <c r="B123" t="s">
        <v>254</v>
      </c>
      <c r="C123" t="s">
        <v>2038</v>
      </c>
      <c r="D123" t="s">
        <v>573</v>
      </c>
      <c r="E123" t="s">
        <v>73</v>
      </c>
      <c r="F123" t="s">
        <v>850</v>
      </c>
      <c r="G123" t="s">
        <v>931</v>
      </c>
      <c r="H123">
        <v>400</v>
      </c>
      <c r="J123">
        <v>5525</v>
      </c>
      <c r="K123" t="s">
        <v>118</v>
      </c>
      <c r="L123">
        <v>55</v>
      </c>
      <c r="M123" t="s">
        <v>2219</v>
      </c>
      <c r="N123" t="s">
        <v>131</v>
      </c>
      <c r="O123" t="s">
        <v>549</v>
      </c>
      <c r="P123" t="s">
        <v>85</v>
      </c>
    </row>
    <row r="124" spans="1:16" hidden="1" x14ac:dyDescent="0.25">
      <c r="A124" t="s">
        <v>1103</v>
      </c>
      <c r="B124" t="s">
        <v>254</v>
      </c>
      <c r="C124" t="s">
        <v>2038</v>
      </c>
      <c r="D124" t="s">
        <v>573</v>
      </c>
      <c r="E124" t="s">
        <v>73</v>
      </c>
      <c r="F124" t="s">
        <v>850</v>
      </c>
      <c r="G124" t="s">
        <v>676</v>
      </c>
      <c r="H124">
        <v>200</v>
      </c>
      <c r="I124" t="s">
        <v>930</v>
      </c>
      <c r="J124">
        <v>5522</v>
      </c>
      <c r="K124" t="s">
        <v>115</v>
      </c>
      <c r="L124">
        <v>55</v>
      </c>
      <c r="M124" t="s">
        <v>2219</v>
      </c>
      <c r="N124" t="s">
        <v>131</v>
      </c>
      <c r="O124" t="s">
        <v>549</v>
      </c>
      <c r="P124" t="s">
        <v>85</v>
      </c>
    </row>
    <row r="125" spans="1:16" hidden="1" x14ac:dyDescent="0.25">
      <c r="A125" t="s">
        <v>1103</v>
      </c>
      <c r="B125" t="s">
        <v>254</v>
      </c>
      <c r="C125" t="s">
        <v>2038</v>
      </c>
      <c r="D125" t="s">
        <v>573</v>
      </c>
      <c r="E125" t="s">
        <v>73</v>
      </c>
      <c r="F125" t="s">
        <v>850</v>
      </c>
      <c r="G125" t="s">
        <v>929</v>
      </c>
      <c r="H125">
        <v>500</v>
      </c>
      <c r="I125" t="s">
        <v>928</v>
      </c>
      <c r="J125">
        <v>5515</v>
      </c>
      <c r="K125" t="s">
        <v>112</v>
      </c>
      <c r="L125">
        <v>55</v>
      </c>
      <c r="M125" t="s">
        <v>2219</v>
      </c>
      <c r="N125" t="s">
        <v>131</v>
      </c>
      <c r="O125" t="s">
        <v>549</v>
      </c>
      <c r="P125" t="s">
        <v>85</v>
      </c>
    </row>
    <row r="126" spans="1:16" hidden="1" x14ac:dyDescent="0.25">
      <c r="A126" t="s">
        <v>1103</v>
      </c>
      <c r="B126" t="s">
        <v>254</v>
      </c>
      <c r="C126" t="s">
        <v>2038</v>
      </c>
      <c r="D126" t="s">
        <v>573</v>
      </c>
      <c r="E126" t="s">
        <v>73</v>
      </c>
      <c r="F126" t="s">
        <v>850</v>
      </c>
      <c r="G126" t="s">
        <v>927</v>
      </c>
      <c r="H126">
        <v>500</v>
      </c>
      <c r="I126" t="s">
        <v>928</v>
      </c>
      <c r="J126">
        <v>5522</v>
      </c>
      <c r="K126" t="s">
        <v>115</v>
      </c>
      <c r="L126">
        <v>55</v>
      </c>
      <c r="M126" t="s">
        <v>2219</v>
      </c>
      <c r="N126" t="s">
        <v>131</v>
      </c>
      <c r="O126" t="s">
        <v>549</v>
      </c>
      <c r="P126" t="s">
        <v>85</v>
      </c>
    </row>
    <row r="127" spans="1:16" hidden="1" x14ac:dyDescent="0.25">
      <c r="A127" t="s">
        <v>1103</v>
      </c>
      <c r="B127" t="s">
        <v>254</v>
      </c>
      <c r="C127" t="s">
        <v>2038</v>
      </c>
      <c r="D127" t="s">
        <v>573</v>
      </c>
      <c r="E127" t="s">
        <v>73</v>
      </c>
      <c r="F127" t="s">
        <v>850</v>
      </c>
      <c r="G127" t="s">
        <v>925</v>
      </c>
      <c r="H127">
        <v>2000</v>
      </c>
      <c r="I127" t="s">
        <v>926</v>
      </c>
      <c r="J127">
        <v>5540</v>
      </c>
      <c r="K127" t="s">
        <v>121</v>
      </c>
      <c r="L127">
        <v>55</v>
      </c>
      <c r="M127" t="s">
        <v>2219</v>
      </c>
      <c r="N127" t="s">
        <v>131</v>
      </c>
      <c r="O127" t="s">
        <v>549</v>
      </c>
      <c r="P127" t="s">
        <v>85</v>
      </c>
    </row>
    <row r="128" spans="1:16" hidden="1" x14ac:dyDescent="0.25">
      <c r="A128" t="s">
        <v>1103</v>
      </c>
      <c r="B128" t="s">
        <v>254</v>
      </c>
      <c r="C128" t="s">
        <v>2038</v>
      </c>
      <c r="D128" t="s">
        <v>573</v>
      </c>
      <c r="E128" t="s">
        <v>73</v>
      </c>
      <c r="F128" t="s">
        <v>850</v>
      </c>
      <c r="G128" t="s">
        <v>924</v>
      </c>
      <c r="H128">
        <v>100</v>
      </c>
      <c r="J128">
        <v>5525</v>
      </c>
      <c r="K128" t="s">
        <v>118</v>
      </c>
      <c r="L128">
        <v>55</v>
      </c>
      <c r="M128" t="s">
        <v>2219</v>
      </c>
      <c r="N128" t="s">
        <v>131</v>
      </c>
      <c r="O128" t="s">
        <v>549</v>
      </c>
      <c r="P128" t="s">
        <v>85</v>
      </c>
    </row>
    <row r="129" spans="1:16" hidden="1" x14ac:dyDescent="0.25">
      <c r="A129" t="s">
        <v>1103</v>
      </c>
      <c r="B129" t="s">
        <v>254</v>
      </c>
      <c r="C129" t="s">
        <v>2038</v>
      </c>
      <c r="D129" t="s">
        <v>573</v>
      </c>
      <c r="E129" t="s">
        <v>73</v>
      </c>
      <c r="F129" t="s">
        <v>850</v>
      </c>
      <c r="G129" t="s">
        <v>922</v>
      </c>
      <c r="H129">
        <v>4000</v>
      </c>
      <c r="I129" t="s">
        <v>923</v>
      </c>
      <c r="J129">
        <v>5515</v>
      </c>
      <c r="K129" t="s">
        <v>112</v>
      </c>
      <c r="L129">
        <v>55</v>
      </c>
      <c r="M129" t="s">
        <v>2219</v>
      </c>
      <c r="N129" t="s">
        <v>131</v>
      </c>
      <c r="O129" t="s">
        <v>549</v>
      </c>
      <c r="P129" t="s">
        <v>85</v>
      </c>
    </row>
    <row r="130" spans="1:16" hidden="1" x14ac:dyDescent="0.25">
      <c r="A130" t="s">
        <v>1103</v>
      </c>
      <c r="B130" t="s">
        <v>254</v>
      </c>
      <c r="C130" t="s">
        <v>2038</v>
      </c>
      <c r="D130" t="s">
        <v>573</v>
      </c>
      <c r="E130" t="s">
        <v>73</v>
      </c>
      <c r="F130" t="s">
        <v>850</v>
      </c>
      <c r="G130" t="s">
        <v>920</v>
      </c>
      <c r="H130">
        <v>2800</v>
      </c>
      <c r="I130" t="s">
        <v>921</v>
      </c>
      <c r="J130">
        <v>5515</v>
      </c>
      <c r="K130" t="s">
        <v>112</v>
      </c>
      <c r="L130">
        <v>55</v>
      </c>
      <c r="M130" t="s">
        <v>2219</v>
      </c>
      <c r="N130" t="s">
        <v>131</v>
      </c>
      <c r="O130" t="s">
        <v>549</v>
      </c>
      <c r="P130" t="s">
        <v>85</v>
      </c>
    </row>
    <row r="131" spans="1:16" hidden="1" x14ac:dyDescent="0.25">
      <c r="A131" t="s">
        <v>1103</v>
      </c>
      <c r="B131" t="s">
        <v>254</v>
      </c>
      <c r="C131" t="s">
        <v>2038</v>
      </c>
      <c r="D131" t="s">
        <v>573</v>
      </c>
      <c r="E131" t="s">
        <v>73</v>
      </c>
      <c r="F131" t="s">
        <v>850</v>
      </c>
      <c r="G131" t="s">
        <v>918</v>
      </c>
      <c r="H131">
        <v>1700</v>
      </c>
      <c r="I131" t="s">
        <v>919</v>
      </c>
      <c r="J131">
        <v>5515</v>
      </c>
      <c r="K131" t="s">
        <v>112</v>
      </c>
      <c r="L131">
        <v>55</v>
      </c>
      <c r="M131" t="s">
        <v>2219</v>
      </c>
      <c r="N131" t="s">
        <v>131</v>
      </c>
      <c r="O131" t="s">
        <v>549</v>
      </c>
      <c r="P131" t="s">
        <v>85</v>
      </c>
    </row>
    <row r="132" spans="1:16" hidden="1" x14ac:dyDescent="0.25">
      <c r="A132" t="s">
        <v>1103</v>
      </c>
      <c r="B132" t="s">
        <v>254</v>
      </c>
      <c r="C132" t="s">
        <v>2038</v>
      </c>
      <c r="D132" t="s">
        <v>573</v>
      </c>
      <c r="E132" t="s">
        <v>73</v>
      </c>
      <c r="F132" t="s">
        <v>850</v>
      </c>
      <c r="G132" t="s">
        <v>910</v>
      </c>
      <c r="H132">
        <v>500</v>
      </c>
      <c r="I132" t="s">
        <v>911</v>
      </c>
      <c r="J132">
        <v>5513</v>
      </c>
      <c r="K132" t="s">
        <v>111</v>
      </c>
      <c r="L132">
        <v>55</v>
      </c>
      <c r="M132" t="s">
        <v>2219</v>
      </c>
      <c r="N132" t="s">
        <v>131</v>
      </c>
      <c r="O132" t="s">
        <v>549</v>
      </c>
      <c r="P132" t="s">
        <v>85</v>
      </c>
    </row>
    <row r="133" spans="1:16" hidden="1" x14ac:dyDescent="0.25">
      <c r="A133" t="s">
        <v>1103</v>
      </c>
      <c r="B133" t="s">
        <v>254</v>
      </c>
      <c r="C133" t="s">
        <v>2038</v>
      </c>
      <c r="D133" t="s">
        <v>573</v>
      </c>
      <c r="E133" t="s">
        <v>73</v>
      </c>
      <c r="F133" t="s">
        <v>850</v>
      </c>
      <c r="G133" t="s">
        <v>908</v>
      </c>
      <c r="H133">
        <v>1500</v>
      </c>
      <c r="I133" t="s">
        <v>909</v>
      </c>
      <c r="J133">
        <v>5513</v>
      </c>
      <c r="K133" t="s">
        <v>111</v>
      </c>
      <c r="L133">
        <v>55</v>
      </c>
      <c r="M133" t="s">
        <v>2219</v>
      </c>
      <c r="N133" t="s">
        <v>131</v>
      </c>
      <c r="O133" t="s">
        <v>549</v>
      </c>
      <c r="P133" t="s">
        <v>85</v>
      </c>
    </row>
    <row r="134" spans="1:16" hidden="1" x14ac:dyDescent="0.25">
      <c r="A134" t="s">
        <v>1103</v>
      </c>
      <c r="B134" t="s">
        <v>254</v>
      </c>
      <c r="C134" t="s">
        <v>2038</v>
      </c>
      <c r="D134" t="s">
        <v>573</v>
      </c>
      <c r="E134" t="s">
        <v>73</v>
      </c>
      <c r="F134" t="s">
        <v>850</v>
      </c>
      <c r="G134" t="s">
        <v>907</v>
      </c>
      <c r="H134">
        <v>600</v>
      </c>
      <c r="I134" t="s">
        <v>900</v>
      </c>
      <c r="J134">
        <v>5513</v>
      </c>
      <c r="K134" t="s">
        <v>111</v>
      </c>
      <c r="L134">
        <v>55</v>
      </c>
      <c r="M134" t="s">
        <v>2219</v>
      </c>
      <c r="N134" t="s">
        <v>131</v>
      </c>
      <c r="O134" t="s">
        <v>549</v>
      </c>
      <c r="P134" t="s">
        <v>85</v>
      </c>
    </row>
    <row r="135" spans="1:16" hidden="1" x14ac:dyDescent="0.25">
      <c r="A135" t="s">
        <v>1103</v>
      </c>
      <c r="B135" t="s">
        <v>254</v>
      </c>
      <c r="C135" t="s">
        <v>2038</v>
      </c>
      <c r="D135" t="s">
        <v>573</v>
      </c>
      <c r="E135" t="s">
        <v>73</v>
      </c>
      <c r="F135" t="s">
        <v>850</v>
      </c>
      <c r="G135" t="s">
        <v>904</v>
      </c>
      <c r="H135">
        <v>500</v>
      </c>
      <c r="I135" t="s">
        <v>906</v>
      </c>
      <c r="J135">
        <v>5513</v>
      </c>
      <c r="K135" t="s">
        <v>111</v>
      </c>
      <c r="L135">
        <v>55</v>
      </c>
      <c r="M135" t="s">
        <v>2219</v>
      </c>
      <c r="N135" t="s">
        <v>131</v>
      </c>
      <c r="O135" t="s">
        <v>549</v>
      </c>
      <c r="P135" t="s">
        <v>85</v>
      </c>
    </row>
    <row r="136" spans="1:16" hidden="1" x14ac:dyDescent="0.25">
      <c r="A136" t="s">
        <v>1103</v>
      </c>
      <c r="B136" t="s">
        <v>254</v>
      </c>
      <c r="C136" t="s">
        <v>2038</v>
      </c>
      <c r="D136" t="s">
        <v>573</v>
      </c>
      <c r="E136" t="s">
        <v>73</v>
      </c>
      <c r="F136" t="s">
        <v>850</v>
      </c>
      <c r="G136" t="s">
        <v>904</v>
      </c>
      <c r="H136">
        <v>100</v>
      </c>
      <c r="I136" t="s">
        <v>905</v>
      </c>
      <c r="J136">
        <v>5513</v>
      </c>
      <c r="K136" t="s">
        <v>111</v>
      </c>
      <c r="L136">
        <v>55</v>
      </c>
      <c r="M136" t="s">
        <v>2219</v>
      </c>
      <c r="N136" t="s">
        <v>131</v>
      </c>
      <c r="O136" t="s">
        <v>549</v>
      </c>
      <c r="P136" t="s">
        <v>85</v>
      </c>
    </row>
    <row r="137" spans="1:16" hidden="1" x14ac:dyDescent="0.25">
      <c r="A137" t="s">
        <v>1103</v>
      </c>
      <c r="B137" t="s">
        <v>254</v>
      </c>
      <c r="C137" t="s">
        <v>2038</v>
      </c>
      <c r="D137" t="s">
        <v>573</v>
      </c>
      <c r="E137" t="s">
        <v>73</v>
      </c>
      <c r="F137" t="s">
        <v>850</v>
      </c>
      <c r="G137" t="s">
        <v>866</v>
      </c>
      <c r="H137">
        <v>1100</v>
      </c>
      <c r="I137" t="s">
        <v>867</v>
      </c>
      <c r="J137">
        <v>5511</v>
      </c>
      <c r="K137" t="s">
        <v>106</v>
      </c>
      <c r="L137">
        <v>55</v>
      </c>
      <c r="M137" t="s">
        <v>2219</v>
      </c>
      <c r="N137" t="s">
        <v>131</v>
      </c>
      <c r="O137" t="s">
        <v>549</v>
      </c>
      <c r="P137" t="s">
        <v>85</v>
      </c>
    </row>
    <row r="138" spans="1:16" hidden="1" x14ac:dyDescent="0.25">
      <c r="A138" t="s">
        <v>1103</v>
      </c>
      <c r="B138" t="s">
        <v>254</v>
      </c>
      <c r="C138" t="s">
        <v>2038</v>
      </c>
      <c r="D138" t="s">
        <v>573</v>
      </c>
      <c r="E138" t="s">
        <v>73</v>
      </c>
      <c r="F138" t="s">
        <v>850</v>
      </c>
      <c r="G138" t="s">
        <v>868</v>
      </c>
      <c r="H138">
        <v>4500</v>
      </c>
      <c r="I138" t="s">
        <v>869</v>
      </c>
      <c r="J138">
        <v>5511</v>
      </c>
      <c r="K138" t="s">
        <v>106</v>
      </c>
      <c r="L138">
        <v>55</v>
      </c>
      <c r="M138" t="s">
        <v>2219</v>
      </c>
      <c r="N138" t="s">
        <v>131</v>
      </c>
      <c r="O138" t="s">
        <v>549</v>
      </c>
      <c r="P138" t="s">
        <v>85</v>
      </c>
    </row>
    <row r="139" spans="1:16" hidden="1" x14ac:dyDescent="0.25">
      <c r="A139" t="s">
        <v>1103</v>
      </c>
      <c r="B139" t="s">
        <v>254</v>
      </c>
      <c r="C139" t="s">
        <v>2038</v>
      </c>
      <c r="D139" t="s">
        <v>573</v>
      </c>
      <c r="E139" t="s">
        <v>73</v>
      </c>
      <c r="F139" t="s">
        <v>850</v>
      </c>
      <c r="G139" t="s">
        <v>870</v>
      </c>
      <c r="H139">
        <v>10000</v>
      </c>
      <c r="I139" t="s">
        <v>871</v>
      </c>
      <c r="J139">
        <v>5511</v>
      </c>
      <c r="K139" t="s">
        <v>106</v>
      </c>
      <c r="L139">
        <v>55</v>
      </c>
      <c r="M139" t="s">
        <v>2219</v>
      </c>
      <c r="N139" t="s">
        <v>131</v>
      </c>
      <c r="O139" t="s">
        <v>549</v>
      </c>
      <c r="P139" t="s">
        <v>85</v>
      </c>
    </row>
    <row r="140" spans="1:16" hidden="1" x14ac:dyDescent="0.25">
      <c r="A140" t="s">
        <v>1103</v>
      </c>
      <c r="B140" t="s">
        <v>254</v>
      </c>
      <c r="C140" t="s">
        <v>2038</v>
      </c>
      <c r="D140" t="s">
        <v>573</v>
      </c>
      <c r="E140" t="s">
        <v>73</v>
      </c>
      <c r="F140" t="s">
        <v>850</v>
      </c>
      <c r="G140" t="s">
        <v>872</v>
      </c>
      <c r="H140">
        <v>1700</v>
      </c>
      <c r="I140" t="s">
        <v>873</v>
      </c>
      <c r="J140">
        <v>5511</v>
      </c>
      <c r="K140" t="s">
        <v>106</v>
      </c>
      <c r="L140">
        <v>55</v>
      </c>
      <c r="M140" t="s">
        <v>2219</v>
      </c>
      <c r="N140" t="s">
        <v>131</v>
      </c>
      <c r="O140" t="s">
        <v>549</v>
      </c>
      <c r="P140" t="s">
        <v>85</v>
      </c>
    </row>
    <row r="141" spans="1:16" hidden="1" x14ac:dyDescent="0.25">
      <c r="A141" t="s">
        <v>1103</v>
      </c>
      <c r="B141" t="s">
        <v>254</v>
      </c>
      <c r="C141" t="s">
        <v>2038</v>
      </c>
      <c r="D141" t="s">
        <v>573</v>
      </c>
      <c r="E141" t="s">
        <v>73</v>
      </c>
      <c r="F141" t="s">
        <v>850</v>
      </c>
      <c r="G141" t="s">
        <v>874</v>
      </c>
      <c r="H141">
        <v>550</v>
      </c>
      <c r="I141" t="s">
        <v>875</v>
      </c>
      <c r="J141">
        <v>5511</v>
      </c>
      <c r="K141" t="s">
        <v>106</v>
      </c>
      <c r="L141">
        <v>55</v>
      </c>
      <c r="M141" t="s">
        <v>2219</v>
      </c>
      <c r="N141" t="s">
        <v>131</v>
      </c>
      <c r="O141" t="s">
        <v>549</v>
      </c>
      <c r="P141" t="s">
        <v>85</v>
      </c>
    </row>
    <row r="142" spans="1:16" hidden="1" x14ac:dyDescent="0.25">
      <c r="A142" t="s">
        <v>1103</v>
      </c>
      <c r="B142" t="s">
        <v>254</v>
      </c>
      <c r="C142" t="s">
        <v>2038</v>
      </c>
      <c r="D142" t="s">
        <v>573</v>
      </c>
      <c r="E142" t="s">
        <v>73</v>
      </c>
      <c r="F142" t="s">
        <v>850</v>
      </c>
      <c r="G142" t="s">
        <v>876</v>
      </c>
      <c r="H142">
        <v>120</v>
      </c>
      <c r="I142" t="s">
        <v>875</v>
      </c>
      <c r="J142">
        <v>5511</v>
      </c>
      <c r="K142" t="s">
        <v>106</v>
      </c>
      <c r="L142">
        <v>55</v>
      </c>
      <c r="M142" t="s">
        <v>2219</v>
      </c>
      <c r="N142" t="s">
        <v>131</v>
      </c>
      <c r="O142" t="s">
        <v>549</v>
      </c>
      <c r="P142" t="s">
        <v>85</v>
      </c>
    </row>
    <row r="143" spans="1:16" hidden="1" x14ac:dyDescent="0.25">
      <c r="A143" t="s">
        <v>1103</v>
      </c>
      <c r="B143" t="s">
        <v>254</v>
      </c>
      <c r="C143" t="s">
        <v>2038</v>
      </c>
      <c r="D143" t="s">
        <v>573</v>
      </c>
      <c r="E143" t="s">
        <v>73</v>
      </c>
      <c r="F143" t="s">
        <v>850</v>
      </c>
      <c r="G143" t="s">
        <v>877</v>
      </c>
      <c r="H143">
        <v>650</v>
      </c>
      <c r="I143" t="s">
        <v>878</v>
      </c>
      <c r="J143">
        <v>5511</v>
      </c>
      <c r="K143" t="s">
        <v>106</v>
      </c>
      <c r="L143">
        <v>55</v>
      </c>
      <c r="M143" t="s">
        <v>2219</v>
      </c>
      <c r="N143" t="s">
        <v>131</v>
      </c>
      <c r="O143" t="s">
        <v>549</v>
      </c>
      <c r="P143" t="s">
        <v>85</v>
      </c>
    </row>
    <row r="144" spans="1:16" hidden="1" x14ac:dyDescent="0.25">
      <c r="A144" t="s">
        <v>1103</v>
      </c>
      <c r="B144" t="s">
        <v>254</v>
      </c>
      <c r="C144" t="s">
        <v>2038</v>
      </c>
      <c r="D144" t="s">
        <v>573</v>
      </c>
      <c r="E144" t="s">
        <v>73</v>
      </c>
      <c r="F144" t="s">
        <v>850</v>
      </c>
      <c r="G144" t="s">
        <v>879</v>
      </c>
      <c r="H144">
        <v>7500</v>
      </c>
      <c r="I144" t="s">
        <v>880</v>
      </c>
      <c r="J144">
        <v>5511</v>
      </c>
      <c r="K144" t="s">
        <v>106</v>
      </c>
      <c r="L144">
        <v>55</v>
      </c>
      <c r="M144" t="s">
        <v>2219</v>
      </c>
      <c r="N144" t="s">
        <v>131</v>
      </c>
      <c r="O144" t="s">
        <v>549</v>
      </c>
      <c r="P144" t="s">
        <v>85</v>
      </c>
    </row>
    <row r="145" spans="1:16" hidden="1" x14ac:dyDescent="0.25">
      <c r="A145" t="s">
        <v>1103</v>
      </c>
      <c r="B145" t="s">
        <v>254</v>
      </c>
      <c r="C145" t="s">
        <v>2038</v>
      </c>
      <c r="D145" t="s">
        <v>573</v>
      </c>
      <c r="E145" t="s">
        <v>73</v>
      </c>
      <c r="F145" t="s">
        <v>850</v>
      </c>
      <c r="G145" t="s">
        <v>881</v>
      </c>
      <c r="H145">
        <v>7400</v>
      </c>
      <c r="I145" t="s">
        <v>882</v>
      </c>
      <c r="J145">
        <v>5511</v>
      </c>
      <c r="K145" t="s">
        <v>106</v>
      </c>
      <c r="L145">
        <v>55</v>
      </c>
      <c r="M145" t="s">
        <v>2219</v>
      </c>
      <c r="N145" t="s">
        <v>131</v>
      </c>
      <c r="O145" t="s">
        <v>549</v>
      </c>
      <c r="P145" t="s">
        <v>85</v>
      </c>
    </row>
    <row r="146" spans="1:16" hidden="1" x14ac:dyDescent="0.25">
      <c r="A146" t="s">
        <v>1103</v>
      </c>
      <c r="B146" t="s">
        <v>254</v>
      </c>
      <c r="C146" t="s">
        <v>2038</v>
      </c>
      <c r="D146" t="s">
        <v>573</v>
      </c>
      <c r="E146" t="s">
        <v>73</v>
      </c>
      <c r="F146" t="s">
        <v>850</v>
      </c>
      <c r="G146" t="s">
        <v>883</v>
      </c>
      <c r="H146">
        <v>9360</v>
      </c>
      <c r="I146" t="s">
        <v>884</v>
      </c>
      <c r="J146">
        <v>5511</v>
      </c>
      <c r="K146" t="s">
        <v>106</v>
      </c>
      <c r="L146">
        <v>55</v>
      </c>
      <c r="M146" t="s">
        <v>2219</v>
      </c>
      <c r="N146" t="s">
        <v>131</v>
      </c>
      <c r="O146" t="s">
        <v>549</v>
      </c>
      <c r="P146" t="s">
        <v>85</v>
      </c>
    </row>
    <row r="147" spans="1:16" hidden="1" x14ac:dyDescent="0.25">
      <c r="A147" t="s">
        <v>1103</v>
      </c>
      <c r="B147" t="s">
        <v>254</v>
      </c>
      <c r="C147" t="s">
        <v>2038</v>
      </c>
      <c r="D147" t="s">
        <v>573</v>
      </c>
      <c r="E147" t="s">
        <v>73</v>
      </c>
      <c r="F147" t="s">
        <v>850</v>
      </c>
      <c r="G147" t="s">
        <v>885</v>
      </c>
      <c r="H147">
        <v>210</v>
      </c>
      <c r="I147" t="s">
        <v>886</v>
      </c>
      <c r="J147">
        <v>5511</v>
      </c>
      <c r="K147" t="s">
        <v>106</v>
      </c>
      <c r="L147">
        <v>55</v>
      </c>
      <c r="M147" t="s">
        <v>2219</v>
      </c>
      <c r="N147" t="s">
        <v>131</v>
      </c>
      <c r="O147" t="s">
        <v>549</v>
      </c>
      <c r="P147" t="s">
        <v>85</v>
      </c>
    </row>
    <row r="148" spans="1:16" hidden="1" x14ac:dyDescent="0.25">
      <c r="A148" t="s">
        <v>1103</v>
      </c>
      <c r="B148" t="s">
        <v>254</v>
      </c>
      <c r="C148" t="s">
        <v>2038</v>
      </c>
      <c r="D148" t="s">
        <v>573</v>
      </c>
      <c r="E148" t="s">
        <v>73</v>
      </c>
      <c r="F148" t="s">
        <v>850</v>
      </c>
      <c r="G148" t="s">
        <v>887</v>
      </c>
      <c r="H148">
        <v>3500</v>
      </c>
      <c r="I148" t="s">
        <v>888</v>
      </c>
      <c r="J148">
        <v>5511</v>
      </c>
      <c r="K148" t="s">
        <v>106</v>
      </c>
      <c r="L148">
        <v>55</v>
      </c>
      <c r="M148" t="s">
        <v>2219</v>
      </c>
      <c r="N148" t="s">
        <v>131</v>
      </c>
      <c r="O148" t="s">
        <v>549</v>
      </c>
      <c r="P148" t="s">
        <v>85</v>
      </c>
    </row>
    <row r="149" spans="1:16" hidden="1" x14ac:dyDescent="0.25">
      <c r="A149" t="s">
        <v>1103</v>
      </c>
      <c r="B149" t="s">
        <v>254</v>
      </c>
      <c r="C149" t="s">
        <v>2038</v>
      </c>
      <c r="D149" t="s">
        <v>573</v>
      </c>
      <c r="E149" t="s">
        <v>73</v>
      </c>
      <c r="F149" t="s">
        <v>850</v>
      </c>
      <c r="G149" t="s">
        <v>889</v>
      </c>
      <c r="H149">
        <v>2100</v>
      </c>
      <c r="I149" t="s">
        <v>890</v>
      </c>
      <c r="J149">
        <v>5511</v>
      </c>
      <c r="K149" t="s">
        <v>106</v>
      </c>
      <c r="L149">
        <v>55</v>
      </c>
      <c r="M149" t="s">
        <v>2219</v>
      </c>
      <c r="N149" t="s">
        <v>131</v>
      </c>
      <c r="O149" t="s">
        <v>549</v>
      </c>
      <c r="P149" t="s">
        <v>85</v>
      </c>
    </row>
    <row r="150" spans="1:16" hidden="1" x14ac:dyDescent="0.25">
      <c r="A150" t="s">
        <v>1103</v>
      </c>
      <c r="B150" t="s">
        <v>254</v>
      </c>
      <c r="C150" t="s">
        <v>2038</v>
      </c>
      <c r="D150" t="s">
        <v>573</v>
      </c>
      <c r="E150" t="s">
        <v>73</v>
      </c>
      <c r="F150" t="s">
        <v>850</v>
      </c>
      <c r="G150" t="s">
        <v>891</v>
      </c>
      <c r="H150">
        <v>600</v>
      </c>
      <c r="I150" t="s">
        <v>1272</v>
      </c>
      <c r="J150">
        <v>5511</v>
      </c>
      <c r="K150" t="s">
        <v>106</v>
      </c>
      <c r="L150">
        <v>55</v>
      </c>
      <c r="M150" t="s">
        <v>2219</v>
      </c>
      <c r="N150" t="s">
        <v>131</v>
      </c>
      <c r="O150" t="s">
        <v>549</v>
      </c>
      <c r="P150" t="s">
        <v>85</v>
      </c>
    </row>
    <row r="151" spans="1:16" hidden="1" x14ac:dyDescent="0.25">
      <c r="A151" t="s">
        <v>1103</v>
      </c>
      <c r="B151" t="s">
        <v>254</v>
      </c>
      <c r="C151" t="s">
        <v>2038</v>
      </c>
      <c r="D151" t="s">
        <v>573</v>
      </c>
      <c r="E151" t="s">
        <v>73</v>
      </c>
      <c r="F151" t="s">
        <v>850</v>
      </c>
      <c r="G151" t="s">
        <v>892</v>
      </c>
      <c r="H151">
        <v>670</v>
      </c>
      <c r="I151" t="s">
        <v>893</v>
      </c>
      <c r="J151">
        <v>5511</v>
      </c>
      <c r="K151" t="s">
        <v>106</v>
      </c>
      <c r="L151">
        <v>55</v>
      </c>
      <c r="M151" t="s">
        <v>2219</v>
      </c>
      <c r="N151" t="s">
        <v>131</v>
      </c>
      <c r="O151" t="s">
        <v>549</v>
      </c>
      <c r="P151" t="s">
        <v>85</v>
      </c>
    </row>
    <row r="152" spans="1:16" hidden="1" x14ac:dyDescent="0.25">
      <c r="A152" t="s">
        <v>1103</v>
      </c>
      <c r="B152" t="s">
        <v>254</v>
      </c>
      <c r="C152" t="s">
        <v>2038</v>
      </c>
      <c r="D152" t="s">
        <v>573</v>
      </c>
      <c r="E152" t="s">
        <v>73</v>
      </c>
      <c r="F152" t="s">
        <v>850</v>
      </c>
      <c r="G152" t="s">
        <v>894</v>
      </c>
      <c r="H152">
        <v>12000</v>
      </c>
      <c r="I152" t="s">
        <v>895</v>
      </c>
      <c r="J152">
        <v>5511</v>
      </c>
      <c r="K152" t="s">
        <v>106</v>
      </c>
      <c r="L152">
        <v>55</v>
      </c>
      <c r="M152" t="s">
        <v>2219</v>
      </c>
      <c r="N152" t="s">
        <v>131</v>
      </c>
      <c r="O152" t="s">
        <v>549</v>
      </c>
      <c r="P152" t="s">
        <v>85</v>
      </c>
    </row>
    <row r="153" spans="1:16" hidden="1" x14ac:dyDescent="0.25">
      <c r="A153" t="s">
        <v>1103</v>
      </c>
      <c r="B153" t="s">
        <v>254</v>
      </c>
      <c r="C153" t="s">
        <v>2038</v>
      </c>
      <c r="D153" t="s">
        <v>573</v>
      </c>
      <c r="E153" t="s">
        <v>73</v>
      </c>
      <c r="F153" t="s">
        <v>850</v>
      </c>
      <c r="G153" t="s">
        <v>896</v>
      </c>
      <c r="H153">
        <v>1300</v>
      </c>
      <c r="I153" t="s">
        <v>897</v>
      </c>
      <c r="J153">
        <v>5511</v>
      </c>
      <c r="K153" t="s">
        <v>106</v>
      </c>
      <c r="L153">
        <v>55</v>
      </c>
      <c r="M153" t="s">
        <v>2219</v>
      </c>
      <c r="N153" t="s">
        <v>131</v>
      </c>
      <c r="O153" t="s">
        <v>549</v>
      </c>
      <c r="P153" t="s">
        <v>85</v>
      </c>
    </row>
    <row r="154" spans="1:16" hidden="1" x14ac:dyDescent="0.25">
      <c r="A154" t="s">
        <v>1103</v>
      </c>
      <c r="B154" t="s">
        <v>254</v>
      </c>
      <c r="C154" t="s">
        <v>2038</v>
      </c>
      <c r="D154" t="s">
        <v>573</v>
      </c>
      <c r="E154" t="s">
        <v>73</v>
      </c>
      <c r="F154" t="s">
        <v>850</v>
      </c>
      <c r="G154" t="s">
        <v>914</v>
      </c>
      <c r="H154">
        <v>360</v>
      </c>
      <c r="I154" t="s">
        <v>915</v>
      </c>
      <c r="J154">
        <v>5511</v>
      </c>
      <c r="K154" t="s">
        <v>106</v>
      </c>
      <c r="L154">
        <v>55</v>
      </c>
      <c r="M154" t="s">
        <v>2219</v>
      </c>
      <c r="N154" t="s">
        <v>131</v>
      </c>
      <c r="O154" t="s">
        <v>549</v>
      </c>
      <c r="P154" t="s">
        <v>85</v>
      </c>
    </row>
    <row r="155" spans="1:16" hidden="1" x14ac:dyDescent="0.25">
      <c r="A155" t="s">
        <v>1103</v>
      </c>
      <c r="B155" t="s">
        <v>254</v>
      </c>
      <c r="C155" t="s">
        <v>2038</v>
      </c>
      <c r="D155" t="s">
        <v>573</v>
      </c>
      <c r="E155" t="s">
        <v>73</v>
      </c>
      <c r="F155" t="s">
        <v>850</v>
      </c>
      <c r="G155" t="s">
        <v>864</v>
      </c>
      <c r="H155">
        <v>400</v>
      </c>
      <c r="I155" t="s">
        <v>865</v>
      </c>
      <c r="J155">
        <v>5500</v>
      </c>
      <c r="K155" t="s">
        <v>100</v>
      </c>
      <c r="L155">
        <v>55</v>
      </c>
      <c r="M155" t="s">
        <v>2219</v>
      </c>
      <c r="N155" t="s">
        <v>131</v>
      </c>
      <c r="O155" t="s">
        <v>549</v>
      </c>
      <c r="P155" t="s">
        <v>85</v>
      </c>
    </row>
    <row r="156" spans="1:16" hidden="1" x14ac:dyDescent="0.25">
      <c r="A156" t="s">
        <v>1103</v>
      </c>
      <c r="B156" t="s">
        <v>254</v>
      </c>
      <c r="C156" t="s">
        <v>2038</v>
      </c>
      <c r="D156" t="s">
        <v>573</v>
      </c>
      <c r="E156" t="s">
        <v>73</v>
      </c>
      <c r="F156" t="s">
        <v>850</v>
      </c>
      <c r="G156" t="s">
        <v>793</v>
      </c>
      <c r="H156">
        <v>1020</v>
      </c>
      <c r="J156">
        <v>5500</v>
      </c>
      <c r="K156" t="s">
        <v>100</v>
      </c>
      <c r="L156">
        <v>55</v>
      </c>
      <c r="M156" t="s">
        <v>2219</v>
      </c>
      <c r="N156" t="s">
        <v>131</v>
      </c>
      <c r="O156" t="s">
        <v>549</v>
      </c>
      <c r="P156" t="s">
        <v>85</v>
      </c>
    </row>
    <row r="157" spans="1:16" hidden="1" x14ac:dyDescent="0.25">
      <c r="A157" t="s">
        <v>1103</v>
      </c>
      <c r="B157" t="s">
        <v>254</v>
      </c>
      <c r="C157" t="s">
        <v>2038</v>
      </c>
      <c r="D157" t="s">
        <v>573</v>
      </c>
      <c r="E157" t="s">
        <v>73</v>
      </c>
      <c r="F157" t="s">
        <v>850</v>
      </c>
      <c r="G157" t="s">
        <v>409</v>
      </c>
      <c r="H157">
        <v>350</v>
      </c>
      <c r="J157">
        <v>5504</v>
      </c>
      <c r="K157" t="s">
        <v>102</v>
      </c>
      <c r="L157">
        <v>55</v>
      </c>
      <c r="M157" t="s">
        <v>2219</v>
      </c>
      <c r="N157" t="s">
        <v>131</v>
      </c>
      <c r="O157" t="s">
        <v>549</v>
      </c>
      <c r="P157" t="s">
        <v>85</v>
      </c>
    </row>
    <row r="158" spans="1:16" hidden="1" x14ac:dyDescent="0.25">
      <c r="A158" t="s">
        <v>1103</v>
      </c>
      <c r="B158" t="s">
        <v>254</v>
      </c>
      <c r="C158" t="s">
        <v>2038</v>
      </c>
      <c r="D158" t="s">
        <v>573</v>
      </c>
      <c r="E158" t="s">
        <v>73</v>
      </c>
      <c r="F158" t="s">
        <v>850</v>
      </c>
      <c r="G158" t="s">
        <v>898</v>
      </c>
      <c r="H158">
        <v>2200</v>
      </c>
      <c r="I158" t="s">
        <v>198</v>
      </c>
      <c r="J158">
        <v>5513</v>
      </c>
      <c r="K158" t="s">
        <v>111</v>
      </c>
      <c r="L158">
        <v>55</v>
      </c>
      <c r="M158" t="s">
        <v>2219</v>
      </c>
      <c r="N158" t="s">
        <v>131</v>
      </c>
      <c r="O158" t="s">
        <v>549</v>
      </c>
      <c r="P158" t="s">
        <v>85</v>
      </c>
    </row>
    <row r="159" spans="1:16" hidden="1" x14ac:dyDescent="0.25">
      <c r="A159" t="s">
        <v>1103</v>
      </c>
      <c r="B159" t="s">
        <v>254</v>
      </c>
      <c r="C159" t="s">
        <v>2038</v>
      </c>
      <c r="D159" t="s">
        <v>573</v>
      </c>
      <c r="E159" t="s">
        <v>73</v>
      </c>
      <c r="F159" t="s">
        <v>850</v>
      </c>
      <c r="G159" t="s">
        <v>898</v>
      </c>
      <c r="H159">
        <v>700</v>
      </c>
      <c r="I159" t="s">
        <v>899</v>
      </c>
      <c r="J159">
        <v>5513</v>
      </c>
      <c r="K159" t="s">
        <v>111</v>
      </c>
      <c r="L159">
        <v>55</v>
      </c>
      <c r="M159" t="s">
        <v>2219</v>
      </c>
      <c r="N159" t="s">
        <v>131</v>
      </c>
      <c r="O159" t="s">
        <v>549</v>
      </c>
      <c r="P159" t="s">
        <v>85</v>
      </c>
    </row>
    <row r="160" spans="1:16" hidden="1" x14ac:dyDescent="0.25">
      <c r="A160" t="s">
        <v>1103</v>
      </c>
      <c r="B160" t="s">
        <v>254</v>
      </c>
      <c r="C160" t="s">
        <v>2038</v>
      </c>
      <c r="D160" t="s">
        <v>573</v>
      </c>
      <c r="E160" t="s">
        <v>73</v>
      </c>
      <c r="F160" t="s">
        <v>850</v>
      </c>
      <c r="G160" t="s">
        <v>898</v>
      </c>
      <c r="H160">
        <v>400</v>
      </c>
      <c r="I160" t="s">
        <v>900</v>
      </c>
      <c r="J160">
        <v>5513</v>
      </c>
      <c r="K160" t="s">
        <v>111</v>
      </c>
      <c r="L160">
        <v>55</v>
      </c>
      <c r="M160" t="s">
        <v>2219</v>
      </c>
      <c r="N160" t="s">
        <v>131</v>
      </c>
      <c r="O160" t="s">
        <v>549</v>
      </c>
      <c r="P160" t="s">
        <v>85</v>
      </c>
    </row>
    <row r="161" spans="1:16" hidden="1" x14ac:dyDescent="0.25">
      <c r="A161" t="s">
        <v>1103</v>
      </c>
      <c r="B161" t="s">
        <v>254</v>
      </c>
      <c r="C161" t="s">
        <v>2038</v>
      </c>
      <c r="D161" t="s">
        <v>573</v>
      </c>
      <c r="E161" t="s">
        <v>73</v>
      </c>
      <c r="F161" t="s">
        <v>850</v>
      </c>
      <c r="G161" t="s">
        <v>898</v>
      </c>
      <c r="H161">
        <v>3024</v>
      </c>
      <c r="I161" t="s">
        <v>901</v>
      </c>
      <c r="J161">
        <v>5513</v>
      </c>
      <c r="K161" t="s">
        <v>111</v>
      </c>
      <c r="L161">
        <v>55</v>
      </c>
      <c r="M161" t="s">
        <v>2219</v>
      </c>
      <c r="N161" t="s">
        <v>131</v>
      </c>
      <c r="O161" t="s">
        <v>549</v>
      </c>
      <c r="P161" t="s">
        <v>85</v>
      </c>
    </row>
    <row r="162" spans="1:16" hidden="1" x14ac:dyDescent="0.25">
      <c r="A162" t="s">
        <v>1103</v>
      </c>
      <c r="B162" t="s">
        <v>254</v>
      </c>
      <c r="C162" t="s">
        <v>2038</v>
      </c>
      <c r="D162" t="s">
        <v>573</v>
      </c>
      <c r="E162" t="s">
        <v>73</v>
      </c>
      <c r="F162" t="s">
        <v>850</v>
      </c>
      <c r="G162" t="s">
        <v>902</v>
      </c>
      <c r="H162">
        <v>500</v>
      </c>
      <c r="I162" t="s">
        <v>903</v>
      </c>
      <c r="J162">
        <v>5513</v>
      </c>
      <c r="K162" t="s">
        <v>111</v>
      </c>
      <c r="L162">
        <v>55</v>
      </c>
      <c r="M162" t="s">
        <v>2219</v>
      </c>
      <c r="N162" t="s">
        <v>131</v>
      </c>
      <c r="O162" t="s">
        <v>549</v>
      </c>
      <c r="P162" t="s">
        <v>85</v>
      </c>
    </row>
    <row r="163" spans="1:16" hidden="1" x14ac:dyDescent="0.25">
      <c r="A163" t="s">
        <v>1103</v>
      </c>
      <c r="B163" t="s">
        <v>254</v>
      </c>
      <c r="C163" t="s">
        <v>2038</v>
      </c>
      <c r="D163" t="s">
        <v>573</v>
      </c>
      <c r="E163" t="s">
        <v>73</v>
      </c>
      <c r="F163" t="s">
        <v>850</v>
      </c>
      <c r="G163" t="s">
        <v>902</v>
      </c>
      <c r="H163">
        <v>2100</v>
      </c>
      <c r="I163" t="s">
        <v>198</v>
      </c>
      <c r="J163">
        <v>5513</v>
      </c>
      <c r="K163" t="s">
        <v>111</v>
      </c>
      <c r="L163">
        <v>55</v>
      </c>
      <c r="M163" t="s">
        <v>2219</v>
      </c>
      <c r="N163" t="s">
        <v>131</v>
      </c>
      <c r="O163" t="s">
        <v>549</v>
      </c>
      <c r="P163" t="s">
        <v>85</v>
      </c>
    </row>
    <row r="164" spans="1:16" hidden="1" x14ac:dyDescent="0.25">
      <c r="A164" t="s">
        <v>1103</v>
      </c>
      <c r="B164" t="s">
        <v>254</v>
      </c>
      <c r="C164" t="s">
        <v>2038</v>
      </c>
      <c r="D164" t="s">
        <v>573</v>
      </c>
      <c r="E164" t="s">
        <v>73</v>
      </c>
      <c r="F164" t="s">
        <v>850</v>
      </c>
      <c r="G164" t="s">
        <v>902</v>
      </c>
      <c r="H164">
        <v>400</v>
      </c>
      <c r="I164" t="s">
        <v>900</v>
      </c>
      <c r="J164">
        <v>5513</v>
      </c>
      <c r="K164" t="s">
        <v>111</v>
      </c>
      <c r="L164">
        <v>55</v>
      </c>
      <c r="M164" t="s">
        <v>2219</v>
      </c>
      <c r="N164" t="s">
        <v>131</v>
      </c>
      <c r="O164" t="s">
        <v>549</v>
      </c>
      <c r="P164" t="s">
        <v>85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5"/>
  <sheetViews>
    <sheetView zoomScale="85" zoomScaleNormal="85" workbookViewId="0">
      <selection activeCell="B10" sqref="B10"/>
    </sheetView>
  </sheetViews>
  <sheetFormatPr defaultRowHeight="15" x14ac:dyDescent="0.25"/>
  <cols>
    <col min="1" max="1" width="106.42578125" bestFit="1" customWidth="1"/>
    <col min="2" max="2" width="15.42578125" bestFit="1" customWidth="1"/>
  </cols>
  <sheetData>
    <row r="3" spans="1:2" x14ac:dyDescent="0.25">
      <c r="A3" s="4" t="s">
        <v>2226</v>
      </c>
      <c r="B3" t="s">
        <v>399</v>
      </c>
    </row>
    <row r="4" spans="1:2" x14ac:dyDescent="0.25">
      <c r="A4" s="5" t="s">
        <v>798</v>
      </c>
      <c r="B4" s="7">
        <v>144000</v>
      </c>
    </row>
    <row r="5" spans="1:2" x14ac:dyDescent="0.25">
      <c r="A5" s="6" t="s">
        <v>2042</v>
      </c>
      <c r="B5" s="7">
        <v>30000</v>
      </c>
    </row>
    <row r="6" spans="1:2" x14ac:dyDescent="0.25">
      <c r="A6" s="6" t="s">
        <v>2043</v>
      </c>
      <c r="B6" s="7">
        <v>54000</v>
      </c>
    </row>
    <row r="7" spans="1:2" x14ac:dyDescent="0.25">
      <c r="A7" s="6" t="s">
        <v>2040</v>
      </c>
      <c r="B7" s="7">
        <v>10000</v>
      </c>
    </row>
    <row r="8" spans="1:2" x14ac:dyDescent="0.25">
      <c r="A8" s="6" t="s">
        <v>2041</v>
      </c>
      <c r="B8" s="7">
        <v>25000</v>
      </c>
    </row>
    <row r="9" spans="1:2" x14ac:dyDescent="0.25">
      <c r="A9" s="6" t="s">
        <v>1947</v>
      </c>
      <c r="B9" s="7">
        <v>25000</v>
      </c>
    </row>
    <row r="10" spans="1:2" x14ac:dyDescent="0.25">
      <c r="A10" s="5" t="s">
        <v>824</v>
      </c>
      <c r="B10" s="7">
        <v>10000</v>
      </c>
    </row>
    <row r="11" spans="1:2" x14ac:dyDescent="0.25">
      <c r="A11" s="6" t="s">
        <v>2044</v>
      </c>
      <c r="B11" s="7">
        <v>10000</v>
      </c>
    </row>
    <row r="12" spans="1:2" x14ac:dyDescent="0.25">
      <c r="A12" s="5" t="s">
        <v>1103</v>
      </c>
      <c r="B12" s="7">
        <v>973000</v>
      </c>
    </row>
    <row r="13" spans="1:2" x14ac:dyDescent="0.25">
      <c r="A13" s="6" t="s">
        <v>2046</v>
      </c>
      <c r="B13" s="7">
        <v>68000</v>
      </c>
    </row>
    <row r="14" spans="1:2" x14ac:dyDescent="0.25">
      <c r="A14" s="6" t="s">
        <v>2050</v>
      </c>
      <c r="B14" s="7">
        <v>5000</v>
      </c>
    </row>
    <row r="15" spans="1:2" x14ac:dyDescent="0.25">
      <c r="A15" s="6" t="s">
        <v>851</v>
      </c>
      <c r="B15" s="7">
        <v>700000</v>
      </c>
    </row>
    <row r="16" spans="1:2" x14ac:dyDescent="0.25">
      <c r="A16" s="6" t="s">
        <v>2049</v>
      </c>
      <c r="B16" s="7">
        <v>200000</v>
      </c>
    </row>
    <row r="17" spans="1:2" x14ac:dyDescent="0.25">
      <c r="A17" s="5" t="s">
        <v>799</v>
      </c>
      <c r="B17" s="7">
        <v>581820</v>
      </c>
    </row>
    <row r="18" spans="1:2" x14ac:dyDescent="0.25">
      <c r="A18" s="6" t="s">
        <v>2057</v>
      </c>
      <c r="B18" s="7">
        <v>25000</v>
      </c>
    </row>
    <row r="19" spans="1:2" x14ac:dyDescent="0.25">
      <c r="A19" s="6" t="s">
        <v>2234</v>
      </c>
      <c r="B19" s="7">
        <v>84820</v>
      </c>
    </row>
    <row r="20" spans="1:2" x14ac:dyDescent="0.25">
      <c r="A20" s="6" t="s">
        <v>2052</v>
      </c>
      <c r="B20" s="7">
        <v>40000</v>
      </c>
    </row>
    <row r="21" spans="1:2" x14ac:dyDescent="0.25">
      <c r="A21" s="6" t="s">
        <v>2056</v>
      </c>
      <c r="B21" s="7">
        <v>20000</v>
      </c>
    </row>
    <row r="22" spans="1:2" x14ac:dyDescent="0.25">
      <c r="A22" s="6" t="s">
        <v>2058</v>
      </c>
      <c r="B22" s="7">
        <v>250000</v>
      </c>
    </row>
    <row r="23" spans="1:2" x14ac:dyDescent="0.25">
      <c r="A23" s="6" t="s">
        <v>2235</v>
      </c>
      <c r="B23" s="7">
        <v>32000</v>
      </c>
    </row>
    <row r="24" spans="1:2" x14ac:dyDescent="0.25">
      <c r="A24" s="6" t="s">
        <v>2239</v>
      </c>
      <c r="B24" s="7">
        <v>130000</v>
      </c>
    </row>
    <row r="25" spans="1:2" x14ac:dyDescent="0.25">
      <c r="A25" s="5" t="s">
        <v>800</v>
      </c>
      <c r="B25" s="7">
        <v>586000</v>
      </c>
    </row>
    <row r="26" spans="1:2" x14ac:dyDescent="0.25">
      <c r="A26" s="6" t="s">
        <v>2060</v>
      </c>
      <c r="B26" s="7">
        <v>10000</v>
      </c>
    </row>
    <row r="27" spans="1:2" x14ac:dyDescent="0.25">
      <c r="A27" s="6" t="s">
        <v>2240</v>
      </c>
      <c r="B27" s="7">
        <v>80000</v>
      </c>
    </row>
    <row r="28" spans="1:2" x14ac:dyDescent="0.25">
      <c r="A28" s="6" t="s">
        <v>2061</v>
      </c>
      <c r="B28" s="7">
        <v>95000</v>
      </c>
    </row>
    <row r="29" spans="1:2" x14ac:dyDescent="0.25">
      <c r="A29" s="6" t="s">
        <v>2237</v>
      </c>
      <c r="B29" s="7">
        <v>51000</v>
      </c>
    </row>
    <row r="30" spans="1:2" x14ac:dyDescent="0.25">
      <c r="A30" s="6" t="s">
        <v>2063</v>
      </c>
      <c r="B30" s="7">
        <v>60000</v>
      </c>
    </row>
    <row r="31" spans="1:2" x14ac:dyDescent="0.25">
      <c r="A31" s="6" t="s">
        <v>2236</v>
      </c>
      <c r="B31" s="7">
        <v>290000</v>
      </c>
    </row>
    <row r="32" spans="1:2" x14ac:dyDescent="0.25">
      <c r="A32" s="5" t="s">
        <v>801</v>
      </c>
      <c r="B32" s="7">
        <v>405000</v>
      </c>
    </row>
    <row r="33" spans="1:2" x14ac:dyDescent="0.25">
      <c r="A33" s="6" t="s">
        <v>2238</v>
      </c>
      <c r="B33" s="7">
        <v>400000</v>
      </c>
    </row>
    <row r="34" spans="1:2" x14ac:dyDescent="0.25">
      <c r="A34" s="6" t="s">
        <v>2064</v>
      </c>
      <c r="B34" s="7">
        <v>5000</v>
      </c>
    </row>
    <row r="35" spans="1:2" x14ac:dyDescent="0.25">
      <c r="A35" s="5" t="s">
        <v>1516</v>
      </c>
      <c r="B35" s="7">
        <v>2699820</v>
      </c>
    </row>
  </sheetData>
  <pageMargins left="0.7" right="0.7" top="0.75" bottom="0.75" header="0.3" footer="0.3"/>
  <pageSetup orientation="portrait" verticalDpi="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F16" sqref="F16"/>
    </sheetView>
  </sheetViews>
  <sheetFormatPr defaultRowHeight="15" x14ac:dyDescent="0.25"/>
  <cols>
    <col min="1" max="1" width="11.5703125" customWidth="1"/>
    <col min="2" max="2" width="13" customWidth="1"/>
    <col min="3" max="3" width="21.7109375" customWidth="1"/>
    <col min="4" max="4" width="23.28515625" customWidth="1"/>
    <col min="5" max="5" width="26.28515625" customWidth="1"/>
    <col min="6" max="6" width="21.85546875" customWidth="1"/>
    <col min="7" max="7" width="102.7109375" bestFit="1" customWidth="1"/>
    <col min="8" max="8" width="11.42578125" bestFit="1" customWidth="1"/>
    <col min="9" max="9" width="12" customWidth="1"/>
    <col min="11" max="11" width="16.140625" customWidth="1"/>
    <col min="12" max="12" width="15.85546875" customWidth="1"/>
    <col min="13" max="13" width="14" customWidth="1"/>
    <col min="14" max="14" width="24" customWidth="1"/>
    <col min="15" max="16" width="21" customWidth="1"/>
  </cols>
  <sheetData>
    <row r="1" spans="1:16" x14ac:dyDescent="0.25">
      <c r="A1" t="s">
        <v>7</v>
      </c>
      <c r="B1" t="s">
        <v>1</v>
      </c>
      <c r="C1" t="s">
        <v>246</v>
      </c>
      <c r="D1" t="s">
        <v>490</v>
      </c>
      <c r="E1" t="s">
        <v>67</v>
      </c>
      <c r="F1" t="s">
        <v>5</v>
      </c>
      <c r="G1" t="s">
        <v>6</v>
      </c>
      <c r="H1" t="s">
        <v>398</v>
      </c>
      <c r="I1" t="s">
        <v>165</v>
      </c>
      <c r="J1" t="s">
        <v>2</v>
      </c>
      <c r="K1" t="s">
        <v>91</v>
      </c>
      <c r="L1" t="s">
        <v>77</v>
      </c>
      <c r="M1" t="s">
        <v>9</v>
      </c>
      <c r="N1" t="s">
        <v>160</v>
      </c>
      <c r="O1" t="s">
        <v>2009</v>
      </c>
      <c r="P1" t="s">
        <v>135</v>
      </c>
    </row>
    <row r="2" spans="1:16" x14ac:dyDescent="0.25">
      <c r="A2" t="s">
        <v>798</v>
      </c>
      <c r="B2" t="s">
        <v>15</v>
      </c>
      <c r="C2" s="3" t="s">
        <v>16</v>
      </c>
      <c r="D2" s="3" t="s">
        <v>560</v>
      </c>
      <c r="E2" s="3" t="s">
        <v>68</v>
      </c>
      <c r="F2" t="s">
        <v>841</v>
      </c>
      <c r="G2" t="s">
        <v>2040</v>
      </c>
      <c r="H2" s="40">
        <v>10000</v>
      </c>
      <c r="I2" s="2"/>
      <c r="J2">
        <v>1551</v>
      </c>
      <c r="K2" s="3" t="s">
        <v>92</v>
      </c>
      <c r="L2">
        <v>15</v>
      </c>
      <c r="M2" t="s">
        <v>2220</v>
      </c>
      <c r="N2" s="3" t="s">
        <v>4</v>
      </c>
      <c r="O2" s="34" t="s">
        <v>4</v>
      </c>
      <c r="P2" s="3" t="s">
        <v>87</v>
      </c>
    </row>
    <row r="3" spans="1:16" x14ac:dyDescent="0.25">
      <c r="A3" t="s">
        <v>798</v>
      </c>
      <c r="B3" t="s">
        <v>15</v>
      </c>
      <c r="C3" s="3" t="s">
        <v>16</v>
      </c>
      <c r="D3" s="3" t="s">
        <v>560</v>
      </c>
      <c r="E3" s="3" t="s">
        <v>68</v>
      </c>
      <c r="F3" t="s">
        <v>841</v>
      </c>
      <c r="G3" t="s">
        <v>2041</v>
      </c>
      <c r="H3" s="40">
        <v>25000</v>
      </c>
      <c r="I3" s="2"/>
      <c r="J3">
        <v>1551</v>
      </c>
      <c r="K3" s="3" t="s">
        <v>92</v>
      </c>
      <c r="L3">
        <v>15</v>
      </c>
      <c r="M3" t="s">
        <v>2220</v>
      </c>
      <c r="N3" s="3" t="s">
        <v>4</v>
      </c>
      <c r="O3" s="34" t="s">
        <v>4</v>
      </c>
      <c r="P3" s="3" t="s">
        <v>87</v>
      </c>
    </row>
    <row r="4" spans="1:16" x14ac:dyDescent="0.25">
      <c r="A4" t="s">
        <v>798</v>
      </c>
      <c r="B4" t="s">
        <v>15</v>
      </c>
      <c r="C4" s="3" t="s">
        <v>16</v>
      </c>
      <c r="D4" s="3" t="s">
        <v>560</v>
      </c>
      <c r="E4" s="3" t="s">
        <v>68</v>
      </c>
      <c r="F4" t="s">
        <v>624</v>
      </c>
      <c r="G4" t="s">
        <v>2042</v>
      </c>
      <c r="H4" s="40">
        <v>30000</v>
      </c>
      <c r="I4" s="2"/>
      <c r="J4">
        <v>1551</v>
      </c>
      <c r="K4" s="3" t="s">
        <v>92</v>
      </c>
      <c r="L4">
        <v>15</v>
      </c>
      <c r="M4" t="s">
        <v>2220</v>
      </c>
      <c r="N4" s="3" t="s">
        <v>4</v>
      </c>
      <c r="O4" s="34" t="s">
        <v>4</v>
      </c>
      <c r="P4" s="3" t="s">
        <v>87</v>
      </c>
    </row>
    <row r="5" spans="1:16" x14ac:dyDescent="0.25">
      <c r="A5" s="33" t="s">
        <v>798</v>
      </c>
      <c r="B5" s="33" t="s">
        <v>15</v>
      </c>
      <c r="C5" s="34" t="s">
        <v>16</v>
      </c>
      <c r="D5" s="34" t="s">
        <v>560</v>
      </c>
      <c r="E5" s="34" t="s">
        <v>68</v>
      </c>
      <c r="F5" s="33" t="s">
        <v>648</v>
      </c>
      <c r="G5" s="33" t="s">
        <v>2043</v>
      </c>
      <c r="H5" s="47">
        <v>54000</v>
      </c>
      <c r="I5" s="35"/>
      <c r="J5" s="33">
        <v>1564</v>
      </c>
      <c r="K5" s="34" t="s">
        <v>2189</v>
      </c>
      <c r="L5" s="33">
        <v>15</v>
      </c>
      <c r="M5" s="33" t="s">
        <v>2220</v>
      </c>
      <c r="N5" s="34" t="s">
        <v>4</v>
      </c>
      <c r="O5" s="34" t="s">
        <v>4</v>
      </c>
      <c r="P5" s="34" t="s">
        <v>87</v>
      </c>
    </row>
    <row r="6" spans="1:16" x14ac:dyDescent="0.25">
      <c r="A6" t="s">
        <v>798</v>
      </c>
      <c r="B6" t="s">
        <v>17</v>
      </c>
      <c r="C6" s="3" t="s">
        <v>18</v>
      </c>
      <c r="D6" s="3" t="s">
        <v>1104</v>
      </c>
      <c r="E6" s="3" t="s">
        <v>68</v>
      </c>
      <c r="F6" t="s">
        <v>818</v>
      </c>
      <c r="G6" t="s">
        <v>1947</v>
      </c>
      <c r="H6" s="40">
        <v>25000</v>
      </c>
      <c r="I6" s="2"/>
      <c r="J6">
        <v>1551</v>
      </c>
      <c r="K6" s="3" t="s">
        <v>92</v>
      </c>
      <c r="L6">
        <v>15</v>
      </c>
      <c r="M6" t="s">
        <v>2220</v>
      </c>
      <c r="N6" s="3" t="s">
        <v>4</v>
      </c>
      <c r="O6" s="3" t="s">
        <v>4</v>
      </c>
      <c r="P6" s="3" t="s">
        <v>87</v>
      </c>
    </row>
    <row r="7" spans="1:16" x14ac:dyDescent="0.25">
      <c r="A7" t="s">
        <v>824</v>
      </c>
      <c r="B7" t="s">
        <v>31</v>
      </c>
      <c r="C7" s="3" t="s">
        <v>853</v>
      </c>
      <c r="D7" s="3" t="s">
        <v>853</v>
      </c>
      <c r="E7" s="3" t="s">
        <v>71</v>
      </c>
      <c r="F7" t="s">
        <v>805</v>
      </c>
      <c r="G7" t="s">
        <v>2044</v>
      </c>
      <c r="H7" s="40">
        <v>10000</v>
      </c>
      <c r="I7" s="2"/>
      <c r="J7">
        <v>1551</v>
      </c>
      <c r="K7" s="3" t="s">
        <v>92</v>
      </c>
      <c r="L7">
        <v>15</v>
      </c>
      <c r="M7" t="s">
        <v>2220</v>
      </c>
      <c r="N7" s="3" t="s">
        <v>4</v>
      </c>
      <c r="O7" s="34" t="s">
        <v>4</v>
      </c>
      <c r="P7" s="3" t="s">
        <v>87</v>
      </c>
    </row>
    <row r="8" spans="1:16" x14ac:dyDescent="0.25">
      <c r="A8" t="s">
        <v>1103</v>
      </c>
      <c r="B8" t="s">
        <v>39</v>
      </c>
      <c r="C8" s="3" t="s">
        <v>571</v>
      </c>
      <c r="D8" s="3" t="s">
        <v>571</v>
      </c>
      <c r="E8" s="3" t="s">
        <v>73</v>
      </c>
      <c r="F8" t="s">
        <v>841</v>
      </c>
      <c r="G8" t="s">
        <v>2046</v>
      </c>
      <c r="H8" s="40">
        <v>68000</v>
      </c>
      <c r="I8" s="2"/>
      <c r="J8">
        <v>1551</v>
      </c>
      <c r="K8" s="3" t="s">
        <v>92</v>
      </c>
      <c r="L8">
        <v>15</v>
      </c>
      <c r="M8" t="s">
        <v>2220</v>
      </c>
      <c r="N8" s="3" t="s">
        <v>4</v>
      </c>
      <c r="O8" s="34" t="s">
        <v>4</v>
      </c>
      <c r="P8" s="3" t="s">
        <v>87</v>
      </c>
    </row>
    <row r="9" spans="1:16" x14ac:dyDescent="0.25">
      <c r="A9" s="33" t="s">
        <v>1103</v>
      </c>
      <c r="B9" s="33" t="s">
        <v>39</v>
      </c>
      <c r="C9" s="34" t="s">
        <v>571</v>
      </c>
      <c r="D9" s="34" t="s">
        <v>571</v>
      </c>
      <c r="E9" s="34" t="s">
        <v>73</v>
      </c>
      <c r="F9" s="33" t="s">
        <v>648</v>
      </c>
      <c r="G9" s="33" t="s">
        <v>2049</v>
      </c>
      <c r="H9" s="47">
        <v>200000</v>
      </c>
      <c r="I9" s="35"/>
      <c r="J9" s="33">
        <v>1551</v>
      </c>
      <c r="K9" s="34" t="s">
        <v>92</v>
      </c>
      <c r="L9" s="33">
        <v>15</v>
      </c>
      <c r="M9" s="33" t="s">
        <v>2220</v>
      </c>
      <c r="N9" s="34" t="s">
        <v>4</v>
      </c>
      <c r="O9" s="34" t="s">
        <v>4</v>
      </c>
      <c r="P9" s="34" t="s">
        <v>87</v>
      </c>
    </row>
    <row r="10" spans="1:16" x14ac:dyDescent="0.25">
      <c r="A10" t="s">
        <v>1103</v>
      </c>
      <c r="B10" t="s">
        <v>40</v>
      </c>
      <c r="C10" s="3" t="s">
        <v>572</v>
      </c>
      <c r="D10" s="3" t="s">
        <v>572</v>
      </c>
      <c r="E10" s="3" t="s">
        <v>73</v>
      </c>
      <c r="F10" s="14" t="s">
        <v>841</v>
      </c>
      <c r="G10" t="s">
        <v>851</v>
      </c>
      <c r="H10" s="40">
        <v>230000</v>
      </c>
      <c r="I10" s="2"/>
      <c r="J10">
        <v>1551</v>
      </c>
      <c r="K10" s="3" t="s">
        <v>92</v>
      </c>
      <c r="L10">
        <v>15</v>
      </c>
      <c r="M10" t="s">
        <v>2220</v>
      </c>
      <c r="N10" s="3" t="s">
        <v>4</v>
      </c>
      <c r="O10" s="3" t="s">
        <v>4</v>
      </c>
      <c r="P10" s="3" t="s">
        <v>87</v>
      </c>
    </row>
    <row r="11" spans="1:16" x14ac:dyDescent="0.25">
      <c r="A11" t="s">
        <v>1103</v>
      </c>
      <c r="B11" t="s">
        <v>40</v>
      </c>
      <c r="C11" s="3" t="s">
        <v>572</v>
      </c>
      <c r="D11" s="3" t="s">
        <v>572</v>
      </c>
      <c r="E11" s="3" t="s">
        <v>73</v>
      </c>
      <c r="F11" s="14" t="s">
        <v>841</v>
      </c>
      <c r="G11" t="s">
        <v>851</v>
      </c>
      <c r="H11" s="40">
        <v>470000</v>
      </c>
      <c r="I11" s="2" t="s">
        <v>852</v>
      </c>
      <c r="J11">
        <v>1551</v>
      </c>
      <c r="K11" s="3" t="s">
        <v>92</v>
      </c>
      <c r="L11">
        <v>15</v>
      </c>
      <c r="M11" t="s">
        <v>2220</v>
      </c>
      <c r="N11" s="3" t="s">
        <v>4</v>
      </c>
      <c r="O11" s="3" t="s">
        <v>4</v>
      </c>
      <c r="P11" s="3" t="s">
        <v>87</v>
      </c>
    </row>
    <row r="12" spans="1:16" x14ac:dyDescent="0.25">
      <c r="A12" t="s">
        <v>1103</v>
      </c>
      <c r="B12" t="s">
        <v>254</v>
      </c>
      <c r="C12" s="3" t="s">
        <v>2038</v>
      </c>
      <c r="D12" s="3" t="s">
        <v>573</v>
      </c>
      <c r="E12" s="3" t="s">
        <v>73</v>
      </c>
      <c r="F12" t="s">
        <v>850</v>
      </c>
      <c r="G12" t="s">
        <v>2050</v>
      </c>
      <c r="H12" s="40">
        <v>5000</v>
      </c>
      <c r="I12" s="2" t="s">
        <v>2051</v>
      </c>
      <c r="J12">
        <v>1550</v>
      </c>
      <c r="K12" s="3" t="s">
        <v>93</v>
      </c>
      <c r="L12">
        <v>15</v>
      </c>
      <c r="M12" t="s">
        <v>2220</v>
      </c>
      <c r="N12" s="3" t="s">
        <v>4</v>
      </c>
      <c r="O12" s="34" t="s">
        <v>4</v>
      </c>
      <c r="P12" s="3" t="s">
        <v>87</v>
      </c>
    </row>
    <row r="13" spans="1:16" x14ac:dyDescent="0.25">
      <c r="A13" t="s">
        <v>799</v>
      </c>
      <c r="B13" t="s">
        <v>290</v>
      </c>
      <c r="C13" s="3" t="s">
        <v>291</v>
      </c>
      <c r="D13" s="3" t="s">
        <v>789</v>
      </c>
      <c r="E13" s="3" t="s">
        <v>76</v>
      </c>
      <c r="F13" t="s">
        <v>841</v>
      </c>
      <c r="G13" t="s">
        <v>2057</v>
      </c>
      <c r="H13" s="40">
        <v>25000</v>
      </c>
      <c r="I13" s="2"/>
      <c r="J13">
        <v>1551</v>
      </c>
      <c r="K13" s="3" t="s">
        <v>92</v>
      </c>
      <c r="L13">
        <v>15</v>
      </c>
      <c r="M13" t="s">
        <v>2220</v>
      </c>
      <c r="N13" s="3" t="s">
        <v>4</v>
      </c>
      <c r="O13" s="34" t="s">
        <v>4</v>
      </c>
      <c r="P13" s="3" t="s">
        <v>87</v>
      </c>
    </row>
    <row r="14" spans="1:16" x14ac:dyDescent="0.25">
      <c r="A14" t="s">
        <v>799</v>
      </c>
      <c r="B14" t="s">
        <v>290</v>
      </c>
      <c r="C14" s="3" t="s">
        <v>291</v>
      </c>
      <c r="D14" s="3" t="s">
        <v>789</v>
      </c>
      <c r="E14" s="3" t="s">
        <v>76</v>
      </c>
      <c r="F14" t="s">
        <v>841</v>
      </c>
      <c r="G14" t="s">
        <v>2058</v>
      </c>
      <c r="H14" s="40">
        <v>250000</v>
      </c>
      <c r="I14" s="2"/>
      <c r="J14">
        <v>1551</v>
      </c>
      <c r="K14" s="3" t="s">
        <v>92</v>
      </c>
      <c r="L14">
        <v>15</v>
      </c>
      <c r="M14" t="s">
        <v>2220</v>
      </c>
      <c r="N14" s="3" t="s">
        <v>4</v>
      </c>
      <c r="O14" s="34" t="s">
        <v>4</v>
      </c>
      <c r="P14" s="3" t="s">
        <v>87</v>
      </c>
    </row>
    <row r="15" spans="1:16" x14ac:dyDescent="0.25">
      <c r="A15" s="33" t="s">
        <v>799</v>
      </c>
      <c r="B15" t="s">
        <v>298</v>
      </c>
      <c r="C15" s="34" t="s">
        <v>299</v>
      </c>
      <c r="D15" s="34" t="s">
        <v>460</v>
      </c>
      <c r="E15" s="34" t="s">
        <v>76</v>
      </c>
      <c r="F15" s="38" t="s">
        <v>841</v>
      </c>
      <c r="G15" s="33" t="s">
        <v>2239</v>
      </c>
      <c r="H15" s="47">
        <v>130000</v>
      </c>
      <c r="I15" s="35"/>
      <c r="J15" s="33">
        <v>1551</v>
      </c>
      <c r="K15" s="34" t="s">
        <v>92</v>
      </c>
      <c r="L15" s="33">
        <v>15</v>
      </c>
      <c r="M15" s="33" t="s">
        <v>2220</v>
      </c>
      <c r="N15" s="34" t="s">
        <v>4</v>
      </c>
      <c r="O15" s="34" t="s">
        <v>4</v>
      </c>
      <c r="P15" s="34" t="s">
        <v>87</v>
      </c>
    </row>
    <row r="16" spans="1:16" x14ac:dyDescent="0.25">
      <c r="A16" t="s">
        <v>799</v>
      </c>
      <c r="B16" t="s">
        <v>314</v>
      </c>
      <c r="C16" s="3" t="s">
        <v>315</v>
      </c>
      <c r="D16" s="3" t="s">
        <v>578</v>
      </c>
      <c r="E16" s="3" t="s">
        <v>76</v>
      </c>
      <c r="F16" t="s">
        <v>841</v>
      </c>
      <c r="G16" t="s">
        <v>2052</v>
      </c>
      <c r="H16" s="40">
        <v>40000</v>
      </c>
      <c r="I16" s="2"/>
      <c r="J16">
        <v>1551</v>
      </c>
      <c r="K16" s="3" t="s">
        <v>92</v>
      </c>
      <c r="L16">
        <v>15</v>
      </c>
      <c r="M16" t="s">
        <v>2220</v>
      </c>
      <c r="N16" s="3" t="s">
        <v>4</v>
      </c>
      <c r="O16" s="34" t="s">
        <v>4</v>
      </c>
      <c r="P16" s="3" t="s">
        <v>87</v>
      </c>
    </row>
    <row r="17" spans="1:16" x14ac:dyDescent="0.25">
      <c r="A17" t="s">
        <v>799</v>
      </c>
      <c r="B17" t="s">
        <v>320</v>
      </c>
      <c r="C17" s="3" t="s">
        <v>2054</v>
      </c>
      <c r="D17" s="3" t="s">
        <v>578</v>
      </c>
      <c r="E17" s="3" t="s">
        <v>76</v>
      </c>
      <c r="F17" t="s">
        <v>841</v>
      </c>
      <c r="G17" t="s">
        <v>2234</v>
      </c>
      <c r="H17" s="40">
        <v>64820</v>
      </c>
      <c r="I17" s="2"/>
      <c r="J17">
        <v>1551</v>
      </c>
      <c r="K17" s="3" t="s">
        <v>92</v>
      </c>
      <c r="L17">
        <v>15</v>
      </c>
      <c r="M17" t="s">
        <v>2220</v>
      </c>
      <c r="N17" s="3" t="s">
        <v>4</v>
      </c>
      <c r="O17" s="34" t="s">
        <v>4</v>
      </c>
      <c r="P17" s="3" t="s">
        <v>87</v>
      </c>
    </row>
    <row r="18" spans="1:16" x14ac:dyDescent="0.25">
      <c r="A18" t="s">
        <v>799</v>
      </c>
      <c r="B18" t="s">
        <v>320</v>
      </c>
      <c r="C18" s="3" t="s">
        <v>2054</v>
      </c>
      <c r="D18" s="3" t="s">
        <v>578</v>
      </c>
      <c r="E18" s="3" t="s">
        <v>76</v>
      </c>
      <c r="F18" t="s">
        <v>841</v>
      </c>
      <c r="G18" t="s">
        <v>2235</v>
      </c>
      <c r="H18" s="40">
        <v>32000</v>
      </c>
      <c r="I18" s="2"/>
      <c r="J18">
        <v>1551</v>
      </c>
      <c r="K18" s="3" t="s">
        <v>92</v>
      </c>
      <c r="L18">
        <v>15</v>
      </c>
      <c r="M18" t="s">
        <v>2220</v>
      </c>
      <c r="N18" s="3" t="s">
        <v>4</v>
      </c>
      <c r="O18" s="34" t="s">
        <v>4</v>
      </c>
      <c r="P18" s="3" t="s">
        <v>87</v>
      </c>
    </row>
    <row r="19" spans="1:16" x14ac:dyDescent="0.25">
      <c r="A19" t="s">
        <v>799</v>
      </c>
      <c r="B19" t="s">
        <v>320</v>
      </c>
      <c r="C19" s="3" t="s">
        <v>2054</v>
      </c>
      <c r="D19" s="3" t="s">
        <v>578</v>
      </c>
      <c r="E19" s="3" t="s">
        <v>76</v>
      </c>
      <c r="F19" t="s">
        <v>841</v>
      </c>
      <c r="G19" t="s">
        <v>2234</v>
      </c>
      <c r="H19" s="40">
        <v>20000</v>
      </c>
      <c r="I19" s="2" t="s">
        <v>2190</v>
      </c>
      <c r="J19">
        <v>1551</v>
      </c>
      <c r="K19" s="3" t="s">
        <v>92</v>
      </c>
      <c r="L19">
        <v>15</v>
      </c>
      <c r="M19" t="s">
        <v>2220</v>
      </c>
      <c r="N19" s="3" t="s">
        <v>4</v>
      </c>
      <c r="O19" s="34" t="s">
        <v>4</v>
      </c>
      <c r="P19" s="3" t="s">
        <v>87</v>
      </c>
    </row>
    <row r="20" spans="1:16" x14ac:dyDescent="0.25">
      <c r="A20" s="33" t="s">
        <v>799</v>
      </c>
      <c r="B20" s="33" t="s">
        <v>47</v>
      </c>
      <c r="C20" s="34" t="s">
        <v>48</v>
      </c>
      <c r="D20" s="34" t="s">
        <v>643</v>
      </c>
      <c r="E20" s="34" t="s">
        <v>76</v>
      </c>
      <c r="F20" s="33" t="s">
        <v>648</v>
      </c>
      <c r="G20" s="33" t="s">
        <v>2056</v>
      </c>
      <c r="H20" s="47">
        <v>20000</v>
      </c>
      <c r="I20" s="35"/>
      <c r="J20" s="33">
        <v>1551</v>
      </c>
      <c r="K20" s="34" t="s">
        <v>92</v>
      </c>
      <c r="L20" s="33">
        <v>15</v>
      </c>
      <c r="M20" s="33" t="s">
        <v>2220</v>
      </c>
      <c r="N20" s="34" t="s">
        <v>4</v>
      </c>
      <c r="O20" s="34" t="s">
        <v>4</v>
      </c>
      <c r="P20" s="34" t="s">
        <v>87</v>
      </c>
    </row>
    <row r="21" spans="1:16" x14ac:dyDescent="0.25">
      <c r="A21" t="s">
        <v>800</v>
      </c>
      <c r="B21" t="s">
        <v>327</v>
      </c>
      <c r="C21" s="3" t="s">
        <v>328</v>
      </c>
      <c r="D21" s="3" t="s">
        <v>581</v>
      </c>
      <c r="E21" s="3" t="s">
        <v>74</v>
      </c>
      <c r="F21" t="s">
        <v>841</v>
      </c>
      <c r="G21" t="s">
        <v>2240</v>
      </c>
      <c r="H21" s="40">
        <v>80000</v>
      </c>
      <c r="I21" s="2"/>
      <c r="J21">
        <v>1551</v>
      </c>
      <c r="K21" s="3" t="s">
        <v>92</v>
      </c>
      <c r="L21">
        <v>15</v>
      </c>
      <c r="M21" t="s">
        <v>2220</v>
      </c>
      <c r="N21" s="3" t="s">
        <v>4</v>
      </c>
      <c r="O21" s="34" t="s">
        <v>4</v>
      </c>
      <c r="P21" s="3" t="s">
        <v>87</v>
      </c>
    </row>
    <row r="22" spans="1:16" x14ac:dyDescent="0.25">
      <c r="A22" t="s">
        <v>800</v>
      </c>
      <c r="B22" t="s">
        <v>340</v>
      </c>
      <c r="C22" s="3" t="s">
        <v>2169</v>
      </c>
      <c r="D22" s="3" t="s">
        <v>582</v>
      </c>
      <c r="E22" s="3" t="s">
        <v>74</v>
      </c>
      <c r="F22" t="s">
        <v>841</v>
      </c>
      <c r="G22" t="s">
        <v>2236</v>
      </c>
      <c r="H22" s="40">
        <v>290000</v>
      </c>
      <c r="I22" s="2"/>
      <c r="J22">
        <v>1551</v>
      </c>
      <c r="K22" s="3" t="s">
        <v>92</v>
      </c>
      <c r="L22">
        <v>15</v>
      </c>
      <c r="M22" t="s">
        <v>2220</v>
      </c>
      <c r="N22" s="3" t="s">
        <v>4</v>
      </c>
      <c r="O22" s="34" t="s">
        <v>4</v>
      </c>
      <c r="P22" s="3" t="s">
        <v>87</v>
      </c>
    </row>
    <row r="23" spans="1:16" x14ac:dyDescent="0.25">
      <c r="A23" t="s">
        <v>800</v>
      </c>
      <c r="B23" t="s">
        <v>247</v>
      </c>
      <c r="C23" s="3" t="s">
        <v>342</v>
      </c>
      <c r="D23" s="3" t="s">
        <v>582</v>
      </c>
      <c r="E23" s="3" t="s">
        <v>74</v>
      </c>
      <c r="F23" t="s">
        <v>841</v>
      </c>
      <c r="G23" t="s">
        <v>2061</v>
      </c>
      <c r="H23" s="40">
        <v>95000</v>
      </c>
      <c r="I23" s="2"/>
      <c r="J23">
        <v>1551</v>
      </c>
      <c r="K23" s="3" t="s">
        <v>92</v>
      </c>
      <c r="L23">
        <v>15</v>
      </c>
      <c r="M23" t="s">
        <v>2220</v>
      </c>
      <c r="N23" s="3" t="s">
        <v>4</v>
      </c>
      <c r="O23" s="34" t="s">
        <v>4</v>
      </c>
      <c r="P23" s="3" t="s">
        <v>87</v>
      </c>
    </row>
    <row r="24" spans="1:16" x14ac:dyDescent="0.25">
      <c r="A24" s="33" t="s">
        <v>800</v>
      </c>
      <c r="B24" t="s">
        <v>343</v>
      </c>
      <c r="C24" s="34" t="s">
        <v>344</v>
      </c>
      <c r="D24" s="34" t="s">
        <v>582</v>
      </c>
      <c r="E24" s="34" t="s">
        <v>74</v>
      </c>
      <c r="F24" s="33" t="s">
        <v>841</v>
      </c>
      <c r="G24" s="33" t="s">
        <v>2237</v>
      </c>
      <c r="H24" s="47">
        <v>51000</v>
      </c>
      <c r="I24" s="35"/>
      <c r="J24" s="33">
        <v>1551</v>
      </c>
      <c r="K24" s="34" t="s">
        <v>92</v>
      </c>
      <c r="L24" s="33">
        <v>15</v>
      </c>
      <c r="M24" s="33" t="s">
        <v>2220</v>
      </c>
      <c r="N24" s="34" t="s">
        <v>4</v>
      </c>
      <c r="O24" s="34" t="s">
        <v>4</v>
      </c>
      <c r="P24" s="34" t="s">
        <v>87</v>
      </c>
    </row>
    <row r="25" spans="1:16" x14ac:dyDescent="0.25">
      <c r="A25" t="s">
        <v>800</v>
      </c>
      <c r="B25" t="s">
        <v>345</v>
      </c>
      <c r="C25" s="3" t="s">
        <v>346</v>
      </c>
      <c r="D25" s="3" t="s">
        <v>582</v>
      </c>
      <c r="E25" s="3" t="s">
        <v>74</v>
      </c>
      <c r="F25" t="s">
        <v>1449</v>
      </c>
      <c r="G25" t="s">
        <v>2063</v>
      </c>
      <c r="H25" s="40">
        <v>60000</v>
      </c>
      <c r="I25" s="2"/>
      <c r="J25">
        <v>1551</v>
      </c>
      <c r="K25" s="3" t="s">
        <v>92</v>
      </c>
      <c r="L25">
        <v>15</v>
      </c>
      <c r="M25" t="s">
        <v>2220</v>
      </c>
      <c r="N25" s="3" t="s">
        <v>4</v>
      </c>
      <c r="O25" s="34" t="s">
        <v>4</v>
      </c>
      <c r="P25" s="3" t="s">
        <v>87</v>
      </c>
    </row>
    <row r="26" spans="1:16" x14ac:dyDescent="0.25">
      <c r="A26" t="s">
        <v>800</v>
      </c>
      <c r="B26" t="s">
        <v>51</v>
      </c>
      <c r="C26" s="3" t="s">
        <v>52</v>
      </c>
      <c r="D26" s="3" t="s">
        <v>584</v>
      </c>
      <c r="E26" s="3" t="s">
        <v>74</v>
      </c>
      <c r="F26" t="s">
        <v>624</v>
      </c>
      <c r="G26" t="s">
        <v>2060</v>
      </c>
      <c r="H26" s="40">
        <v>10000</v>
      </c>
      <c r="I26" s="2"/>
      <c r="J26">
        <v>1551</v>
      </c>
      <c r="K26" s="3" t="s">
        <v>92</v>
      </c>
      <c r="L26">
        <v>15</v>
      </c>
      <c r="M26" t="s">
        <v>2220</v>
      </c>
      <c r="N26" s="3" t="s">
        <v>4</v>
      </c>
      <c r="O26" s="34" t="s">
        <v>4</v>
      </c>
      <c r="P26" s="3" t="s">
        <v>87</v>
      </c>
    </row>
    <row r="27" spans="1:16" x14ac:dyDescent="0.25">
      <c r="A27" t="s">
        <v>801</v>
      </c>
      <c r="B27" t="s">
        <v>374</v>
      </c>
      <c r="C27" s="3" t="s">
        <v>375</v>
      </c>
      <c r="D27" s="3" t="s">
        <v>589</v>
      </c>
      <c r="E27" s="3" t="s">
        <v>75</v>
      </c>
      <c r="F27" t="s">
        <v>648</v>
      </c>
      <c r="G27" t="s">
        <v>2238</v>
      </c>
      <c r="H27" s="40">
        <v>400000</v>
      </c>
      <c r="I27" s="2"/>
      <c r="J27">
        <v>1551</v>
      </c>
      <c r="K27" s="3" t="s">
        <v>92</v>
      </c>
      <c r="L27">
        <v>15</v>
      </c>
      <c r="M27" t="s">
        <v>2220</v>
      </c>
      <c r="N27" s="3" t="s">
        <v>4</v>
      </c>
      <c r="O27" s="3" t="s">
        <v>4</v>
      </c>
      <c r="P27" s="3" t="s">
        <v>87</v>
      </c>
    </row>
    <row r="28" spans="1:16" x14ac:dyDescent="0.25">
      <c r="A28" t="s">
        <v>801</v>
      </c>
      <c r="B28" t="s">
        <v>63</v>
      </c>
      <c r="C28" s="3" t="s">
        <v>64</v>
      </c>
      <c r="D28" s="3" t="s">
        <v>596</v>
      </c>
      <c r="E28" s="3" t="s">
        <v>75</v>
      </c>
      <c r="F28" t="s">
        <v>648</v>
      </c>
      <c r="G28" t="s">
        <v>2064</v>
      </c>
      <c r="H28" s="40">
        <v>5000</v>
      </c>
      <c r="I28" s="2"/>
      <c r="J28">
        <v>1551</v>
      </c>
      <c r="K28" s="3" t="s">
        <v>92</v>
      </c>
      <c r="L28">
        <v>15</v>
      </c>
      <c r="M28" t="s">
        <v>2220</v>
      </c>
      <c r="N28" s="3" t="s">
        <v>4</v>
      </c>
      <c r="O28" s="34" t="s">
        <v>4</v>
      </c>
      <c r="P28" s="3" t="s">
        <v>87</v>
      </c>
    </row>
    <row r="29" spans="1:16" x14ac:dyDescent="0.25">
      <c r="A29" t="s">
        <v>2184</v>
      </c>
      <c r="H29" s="2">
        <f>SUBTOTAL(109,Table11[2020. EA ])</f>
        <v>2699820</v>
      </c>
      <c r="P29">
        <f>SUBTOTAL(103,Table11[Tulu/kulu liigi grupp])</f>
        <v>27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zoomScale="85" zoomScaleNormal="85" workbookViewId="0">
      <selection activeCell="B10" sqref="B10"/>
    </sheetView>
  </sheetViews>
  <sheetFormatPr defaultRowHeight="15" x14ac:dyDescent="0.25"/>
  <cols>
    <col min="1" max="1" width="49.85546875" customWidth="1"/>
    <col min="2" max="2" width="19" customWidth="1"/>
  </cols>
  <sheetData>
    <row r="1" spans="1:2" x14ac:dyDescent="0.25">
      <c r="A1" s="4" t="s">
        <v>135</v>
      </c>
      <c r="B1" t="s">
        <v>2028</v>
      </c>
    </row>
    <row r="2" spans="1:2" x14ac:dyDescent="0.25">
      <c r="A2" s="4" t="s">
        <v>2009</v>
      </c>
      <c r="B2" t="s">
        <v>461</v>
      </c>
    </row>
    <row r="4" spans="1:2" x14ac:dyDescent="0.25">
      <c r="A4" s="4" t="s">
        <v>396</v>
      </c>
      <c r="B4" t="s">
        <v>399</v>
      </c>
    </row>
    <row r="5" spans="1:2" x14ac:dyDescent="0.25">
      <c r="A5" s="5" t="s">
        <v>581</v>
      </c>
      <c r="B5" s="2">
        <v>359030.44</v>
      </c>
    </row>
    <row r="6" spans="1:2" x14ac:dyDescent="0.25">
      <c r="A6" s="5" t="s">
        <v>589</v>
      </c>
      <c r="B6" s="2">
        <v>382947</v>
      </c>
    </row>
    <row r="7" spans="1:2" x14ac:dyDescent="0.25">
      <c r="A7" s="5" t="s">
        <v>594</v>
      </c>
      <c r="B7" s="2">
        <v>46000</v>
      </c>
    </row>
    <row r="8" spans="1:2" x14ac:dyDescent="0.25">
      <c r="A8" s="5" t="s">
        <v>2037</v>
      </c>
      <c r="B8" s="2">
        <v>8250</v>
      </c>
    </row>
    <row r="9" spans="1:2" x14ac:dyDescent="0.25">
      <c r="A9" s="5" t="s">
        <v>569</v>
      </c>
      <c r="B9" s="2">
        <v>2446.4</v>
      </c>
    </row>
    <row r="10" spans="1:2" x14ac:dyDescent="0.25">
      <c r="A10" s="108" t="s">
        <v>1104</v>
      </c>
      <c r="B10" s="9">
        <v>82769.017579000007</v>
      </c>
    </row>
    <row r="11" spans="1:2" x14ac:dyDescent="0.25">
      <c r="A11" s="5" t="s">
        <v>585</v>
      </c>
      <c r="B11" s="2">
        <v>194072</v>
      </c>
    </row>
    <row r="12" spans="1:2" x14ac:dyDescent="0.25">
      <c r="A12" s="5" t="s">
        <v>591</v>
      </c>
      <c r="B12" s="2">
        <v>281004.56000000011</v>
      </c>
    </row>
    <row r="13" spans="1:2" x14ac:dyDescent="0.25">
      <c r="A13" s="5" t="s">
        <v>853</v>
      </c>
      <c r="B13" s="2">
        <v>496305</v>
      </c>
    </row>
    <row r="14" spans="1:2" x14ac:dyDescent="0.25">
      <c r="A14" s="5" t="s">
        <v>590</v>
      </c>
      <c r="B14" s="2">
        <v>50500</v>
      </c>
    </row>
    <row r="15" spans="1:2" x14ac:dyDescent="0.25">
      <c r="A15" s="5" t="s">
        <v>573</v>
      </c>
      <c r="B15" s="2">
        <v>440266.88</v>
      </c>
    </row>
    <row r="16" spans="1:2" x14ac:dyDescent="0.25">
      <c r="A16" s="5" t="s">
        <v>1543</v>
      </c>
      <c r="B16" s="2">
        <v>75740</v>
      </c>
    </row>
    <row r="17" spans="1:2" x14ac:dyDescent="0.25">
      <c r="A17" s="5" t="s">
        <v>1109</v>
      </c>
      <c r="B17" s="2">
        <v>10553.6</v>
      </c>
    </row>
    <row r="18" spans="1:2" x14ac:dyDescent="0.25">
      <c r="A18" s="5" t="s">
        <v>1108</v>
      </c>
      <c r="B18" s="2">
        <v>71268.899999999994</v>
      </c>
    </row>
    <row r="19" spans="1:2" x14ac:dyDescent="0.25">
      <c r="A19" s="5" t="s">
        <v>592</v>
      </c>
      <c r="B19" s="2">
        <v>178684</v>
      </c>
    </row>
    <row r="20" spans="1:2" x14ac:dyDescent="0.25">
      <c r="A20" s="5" t="s">
        <v>588</v>
      </c>
      <c r="B20" s="2">
        <v>264723</v>
      </c>
    </row>
    <row r="21" spans="1:2" x14ac:dyDescent="0.25">
      <c r="A21" s="108" t="s">
        <v>1106</v>
      </c>
      <c r="B21" s="9">
        <v>1000</v>
      </c>
    </row>
    <row r="22" spans="1:2" x14ac:dyDescent="0.25">
      <c r="A22" s="5" t="s">
        <v>686</v>
      </c>
      <c r="B22" s="2">
        <v>27016</v>
      </c>
    </row>
    <row r="23" spans="1:2" x14ac:dyDescent="0.25">
      <c r="A23" s="5" t="s">
        <v>596</v>
      </c>
      <c r="B23" s="2">
        <v>38240</v>
      </c>
    </row>
    <row r="24" spans="1:2" x14ac:dyDescent="0.25">
      <c r="A24" s="5" t="s">
        <v>2039</v>
      </c>
      <c r="B24" s="2">
        <v>42977</v>
      </c>
    </row>
    <row r="25" spans="1:2" x14ac:dyDescent="0.25">
      <c r="A25" s="5" t="s">
        <v>643</v>
      </c>
      <c r="B25" s="2">
        <v>22270</v>
      </c>
    </row>
    <row r="26" spans="1:2" x14ac:dyDescent="0.25">
      <c r="A26" s="5" t="s">
        <v>2077</v>
      </c>
      <c r="B26" s="2">
        <v>15940</v>
      </c>
    </row>
    <row r="27" spans="1:2" x14ac:dyDescent="0.25">
      <c r="A27" s="5" t="s">
        <v>577</v>
      </c>
      <c r="B27" s="2">
        <v>100457</v>
      </c>
    </row>
    <row r="28" spans="1:2" x14ac:dyDescent="0.25">
      <c r="A28" s="5" t="s">
        <v>584</v>
      </c>
      <c r="B28" s="2">
        <v>78120</v>
      </c>
    </row>
    <row r="29" spans="1:2" x14ac:dyDescent="0.25">
      <c r="A29" s="5" t="s">
        <v>733</v>
      </c>
      <c r="B29" s="2">
        <v>24900</v>
      </c>
    </row>
    <row r="30" spans="1:2" x14ac:dyDescent="0.25">
      <c r="A30" s="5" t="s">
        <v>582</v>
      </c>
      <c r="B30" s="2">
        <v>1359658.4</v>
      </c>
    </row>
    <row r="31" spans="1:2" x14ac:dyDescent="0.25">
      <c r="A31" s="108" t="s">
        <v>565</v>
      </c>
      <c r="B31" s="9">
        <v>16850</v>
      </c>
    </row>
    <row r="32" spans="1:2" x14ac:dyDescent="0.25">
      <c r="A32" s="5" t="s">
        <v>460</v>
      </c>
      <c r="B32" s="2">
        <v>214288.91</v>
      </c>
    </row>
    <row r="33" spans="1:2" x14ac:dyDescent="0.25">
      <c r="A33" s="5" t="s">
        <v>578</v>
      </c>
      <c r="B33" s="2">
        <v>293360.45</v>
      </c>
    </row>
    <row r="34" spans="1:2" x14ac:dyDescent="0.25">
      <c r="A34" s="5" t="s">
        <v>595</v>
      </c>
      <c r="B34" s="2">
        <v>67609</v>
      </c>
    </row>
    <row r="35" spans="1:2" x14ac:dyDescent="0.25">
      <c r="A35" s="5" t="s">
        <v>579</v>
      </c>
      <c r="B35" s="2">
        <v>14000</v>
      </c>
    </row>
    <row r="36" spans="1:2" x14ac:dyDescent="0.25">
      <c r="A36" s="108" t="s">
        <v>567</v>
      </c>
      <c r="B36" s="9">
        <v>41798.639999999999</v>
      </c>
    </row>
    <row r="37" spans="1:2" x14ac:dyDescent="0.25">
      <c r="A37" s="5" t="s">
        <v>769</v>
      </c>
      <c r="B37" s="2">
        <v>255945.68</v>
      </c>
    </row>
    <row r="38" spans="1:2" x14ac:dyDescent="0.25">
      <c r="A38" s="5" t="s">
        <v>572</v>
      </c>
      <c r="B38" s="2">
        <v>283000</v>
      </c>
    </row>
    <row r="39" spans="1:2" x14ac:dyDescent="0.25">
      <c r="A39" s="5" t="s">
        <v>593</v>
      </c>
      <c r="B39" s="2">
        <v>5400</v>
      </c>
    </row>
    <row r="40" spans="1:2" x14ac:dyDescent="0.25">
      <c r="A40" s="5" t="s">
        <v>789</v>
      </c>
      <c r="B40" s="2">
        <v>335110</v>
      </c>
    </row>
    <row r="41" spans="1:2" x14ac:dyDescent="0.25">
      <c r="A41" s="108" t="s">
        <v>563</v>
      </c>
      <c r="B41" s="9">
        <v>27717.13</v>
      </c>
    </row>
    <row r="42" spans="1:2" x14ac:dyDescent="0.25">
      <c r="A42" s="108" t="s">
        <v>560</v>
      </c>
      <c r="B42" s="9">
        <v>375754.4</v>
      </c>
    </row>
    <row r="43" spans="1:2" x14ac:dyDescent="0.25">
      <c r="A43" s="108" t="s">
        <v>559</v>
      </c>
      <c r="B43" s="9">
        <v>13050</v>
      </c>
    </row>
    <row r="44" spans="1:2" x14ac:dyDescent="0.25">
      <c r="A44" s="5" t="s">
        <v>571</v>
      </c>
      <c r="B44" s="2">
        <v>268000</v>
      </c>
    </row>
    <row r="45" spans="1:2" x14ac:dyDescent="0.25">
      <c r="A45" s="5" t="s">
        <v>586</v>
      </c>
      <c r="B45" s="2">
        <v>11404</v>
      </c>
    </row>
    <row r="46" spans="1:2" x14ac:dyDescent="0.25">
      <c r="A46" s="108" t="s">
        <v>1105</v>
      </c>
      <c r="B46" s="9">
        <v>28548</v>
      </c>
    </row>
    <row r="47" spans="1:2" x14ac:dyDescent="0.25">
      <c r="A47" s="5" t="s">
        <v>583</v>
      </c>
      <c r="B47" s="2">
        <v>64104.399999999994</v>
      </c>
    </row>
    <row r="48" spans="1:2" x14ac:dyDescent="0.25">
      <c r="A48" s="5" t="s">
        <v>397</v>
      </c>
      <c r="B48" s="2">
        <v>6971079.8075790005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1"/>
  <sheetViews>
    <sheetView zoomScale="85" zoomScaleNormal="85" workbookViewId="0">
      <selection activeCell="B22" sqref="B22"/>
    </sheetView>
  </sheetViews>
  <sheetFormatPr defaultRowHeight="15" x14ac:dyDescent="0.25"/>
  <cols>
    <col min="1" max="1" width="62.28515625" customWidth="1"/>
    <col min="2" max="2" width="15.42578125" customWidth="1"/>
    <col min="3" max="3" width="11.7109375" customWidth="1"/>
    <col min="4" max="5" width="10.85546875" customWidth="1"/>
    <col min="6" max="6" width="12.42578125" customWidth="1"/>
    <col min="7" max="8" width="10.28515625" customWidth="1"/>
    <col min="9" max="9" width="9.28515625" customWidth="1"/>
    <col min="10" max="10" width="11.7109375" customWidth="1"/>
    <col min="11" max="12" width="9.28515625" customWidth="1"/>
    <col min="13" max="13" width="11.7109375" customWidth="1"/>
    <col min="14" max="14" width="7.42578125" customWidth="1"/>
    <col min="15" max="15" width="11.7109375" customWidth="1"/>
    <col min="16" max="16" width="11.7109375" bestFit="1" customWidth="1"/>
  </cols>
  <sheetData>
    <row r="3" spans="1:2" x14ac:dyDescent="0.25">
      <c r="A3" s="4" t="s">
        <v>135</v>
      </c>
      <c r="B3" t="s">
        <v>461</v>
      </c>
    </row>
    <row r="4" spans="1:2" x14ac:dyDescent="0.25">
      <c r="A4" s="4" t="s">
        <v>246</v>
      </c>
      <c r="B4" t="s">
        <v>461</v>
      </c>
    </row>
    <row r="5" spans="1:2" x14ac:dyDescent="0.25">
      <c r="A5" s="4" t="s">
        <v>490</v>
      </c>
      <c r="B5" t="s">
        <v>461</v>
      </c>
    </row>
    <row r="6" spans="1:2" x14ac:dyDescent="0.25">
      <c r="A6" s="4" t="s">
        <v>9</v>
      </c>
      <c r="B6" t="s">
        <v>461</v>
      </c>
    </row>
    <row r="7" spans="1:2" x14ac:dyDescent="0.25">
      <c r="A7" s="4" t="s">
        <v>7</v>
      </c>
      <c r="B7" t="s">
        <v>461</v>
      </c>
    </row>
    <row r="9" spans="1:2" x14ac:dyDescent="0.25">
      <c r="A9" s="4" t="s">
        <v>396</v>
      </c>
      <c r="B9" t="s">
        <v>399</v>
      </c>
    </row>
    <row r="10" spans="1:2" x14ac:dyDescent="0.25">
      <c r="A10" s="5" t="s">
        <v>161</v>
      </c>
      <c r="B10" s="2"/>
    </row>
    <row r="11" spans="1:2" x14ac:dyDescent="0.25">
      <c r="A11" s="6" t="s">
        <v>79</v>
      </c>
      <c r="B11" s="2">
        <v>-512000</v>
      </c>
    </row>
    <row r="12" spans="1:2" x14ac:dyDescent="0.25">
      <c r="A12" s="5" t="s">
        <v>80</v>
      </c>
      <c r="B12" s="2">
        <v>-719970</v>
      </c>
    </row>
    <row r="13" spans="1:2" x14ac:dyDescent="0.25">
      <c r="A13" s="5" t="s">
        <v>162</v>
      </c>
      <c r="B13" s="2"/>
    </row>
    <row r="14" spans="1:2" x14ac:dyDescent="0.25">
      <c r="A14" s="6" t="s">
        <v>82</v>
      </c>
      <c r="B14" s="2">
        <v>-2877808</v>
      </c>
    </row>
    <row r="15" spans="1:2" x14ac:dyDescent="0.25">
      <c r="A15" s="6" t="s">
        <v>81</v>
      </c>
      <c r="B15" s="2">
        <v>-1188323</v>
      </c>
    </row>
    <row r="16" spans="1:2" x14ac:dyDescent="0.25">
      <c r="A16" s="5" t="s">
        <v>164</v>
      </c>
      <c r="B16" s="2"/>
    </row>
    <row r="17" spans="1:2" x14ac:dyDescent="0.25">
      <c r="A17" s="6" t="s">
        <v>546</v>
      </c>
      <c r="B17" s="2">
        <v>305912</v>
      </c>
    </row>
    <row r="18" spans="1:2" x14ac:dyDescent="0.25">
      <c r="A18" s="6" t="s">
        <v>545</v>
      </c>
      <c r="B18" s="2">
        <v>716846</v>
      </c>
    </row>
    <row r="19" spans="1:2" x14ac:dyDescent="0.25">
      <c r="A19" s="6" t="s">
        <v>155</v>
      </c>
      <c r="B19" s="2">
        <v>31198</v>
      </c>
    </row>
    <row r="20" spans="1:2" x14ac:dyDescent="0.25">
      <c r="A20" s="5" t="s">
        <v>131</v>
      </c>
      <c r="B20" s="2"/>
    </row>
    <row r="21" spans="1:2" x14ac:dyDescent="0.25">
      <c r="A21" s="6" t="s">
        <v>549</v>
      </c>
      <c r="B21" s="2">
        <v>3690168.3799999994</v>
      </c>
    </row>
    <row r="22" spans="1:2" x14ac:dyDescent="0.25">
      <c r="A22" s="6" t="s">
        <v>548</v>
      </c>
      <c r="B22" s="2">
        <v>15638</v>
      </c>
    </row>
    <row r="23" spans="1:2" x14ac:dyDescent="0.25">
      <c r="A23" s="6" t="s">
        <v>550</v>
      </c>
      <c r="B23" s="2">
        <v>59019.017578999999</v>
      </c>
    </row>
    <row r="24" spans="1:2" x14ac:dyDescent="0.25">
      <c r="A24" s="5" t="s">
        <v>4</v>
      </c>
      <c r="B24" s="2">
        <v>2699820</v>
      </c>
    </row>
    <row r="25" spans="1:2" x14ac:dyDescent="0.25">
      <c r="A25" s="5" t="s">
        <v>2024</v>
      </c>
      <c r="B25" s="2">
        <v>-725000</v>
      </c>
    </row>
    <row r="26" spans="1:2" x14ac:dyDescent="0.25">
      <c r="A26" s="5" t="s">
        <v>2023</v>
      </c>
      <c r="B26" s="2">
        <v>149761.28</v>
      </c>
    </row>
    <row r="27" spans="1:2" x14ac:dyDescent="0.25">
      <c r="A27" s="5" t="s">
        <v>103</v>
      </c>
      <c r="B27" s="2">
        <v>-2100000</v>
      </c>
    </row>
    <row r="28" spans="1:2" x14ac:dyDescent="0.25">
      <c r="A28" s="5" t="s">
        <v>105</v>
      </c>
      <c r="B28" s="2">
        <v>686724.05</v>
      </c>
    </row>
    <row r="29" spans="1:2" x14ac:dyDescent="0.25">
      <c r="A29" s="5" t="s">
        <v>88</v>
      </c>
      <c r="B29" s="2">
        <v>-130</v>
      </c>
    </row>
    <row r="30" spans="1:2" x14ac:dyDescent="0.25">
      <c r="A30" s="5" t="s">
        <v>89</v>
      </c>
      <c r="B30" s="2">
        <v>27847.13</v>
      </c>
    </row>
    <row r="31" spans="1:2" x14ac:dyDescent="0.25">
      <c r="A31" s="5" t="s">
        <v>1516</v>
      </c>
      <c r="B31" s="2">
        <v>259702.85757899948</v>
      </c>
    </row>
  </sheetData>
  <pageMargins left="0.7" right="0.7" top="0.75" bottom="0.75" header="0.3" footer="0.3"/>
  <pageSetup orientation="portrait" verticalDpi="0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96"/>
  <sheetViews>
    <sheetView topLeftCell="A208" zoomScale="85" zoomScaleNormal="85" workbookViewId="0">
      <selection activeCell="B220" sqref="B220"/>
    </sheetView>
  </sheetViews>
  <sheetFormatPr defaultRowHeight="15" x14ac:dyDescent="0.25"/>
  <cols>
    <col min="1" max="1" width="50.5703125" bestFit="1" customWidth="1"/>
    <col min="2" max="2" width="19" customWidth="1"/>
    <col min="3" max="3" width="8.5703125" style="2" customWidth="1"/>
    <col min="4" max="5" width="15.42578125" bestFit="1" customWidth="1"/>
  </cols>
  <sheetData>
    <row r="2" spans="1:3" x14ac:dyDescent="0.25">
      <c r="A2" s="4" t="s">
        <v>135</v>
      </c>
      <c r="B2" t="s">
        <v>2028</v>
      </c>
    </row>
    <row r="3" spans="1:3" x14ac:dyDescent="0.25">
      <c r="C3"/>
    </row>
    <row r="4" spans="1:3" x14ac:dyDescent="0.25">
      <c r="A4" s="4" t="s">
        <v>396</v>
      </c>
      <c r="B4" t="s">
        <v>399</v>
      </c>
      <c r="C4"/>
    </row>
    <row r="5" spans="1:3" x14ac:dyDescent="0.25">
      <c r="A5" s="5" t="s">
        <v>13</v>
      </c>
      <c r="B5" s="2">
        <v>13050</v>
      </c>
      <c r="C5"/>
    </row>
    <row r="6" spans="1:3" x14ac:dyDescent="0.25">
      <c r="A6" s="6" t="s">
        <v>14</v>
      </c>
      <c r="B6" s="2">
        <v>13050</v>
      </c>
      <c r="C6"/>
    </row>
    <row r="7" spans="1:3" x14ac:dyDescent="0.25">
      <c r="A7" s="99">
        <v>5500</v>
      </c>
      <c r="B7" s="2">
        <v>1400</v>
      </c>
      <c r="C7"/>
    </row>
    <row r="8" spans="1:3" x14ac:dyDescent="0.25">
      <c r="A8" s="99">
        <v>5504</v>
      </c>
      <c r="B8" s="2">
        <v>9350</v>
      </c>
      <c r="C8"/>
    </row>
    <row r="9" spans="1:3" x14ac:dyDescent="0.25">
      <c r="A9" s="99">
        <v>5513</v>
      </c>
      <c r="B9" s="2">
        <v>1800</v>
      </c>
      <c r="C9"/>
    </row>
    <row r="10" spans="1:3" x14ac:dyDescent="0.25">
      <c r="A10" s="99">
        <v>5540</v>
      </c>
      <c r="B10" s="2">
        <v>500</v>
      </c>
      <c r="C10"/>
    </row>
    <row r="11" spans="1:3" x14ac:dyDescent="0.25">
      <c r="A11" s="5" t="s">
        <v>15</v>
      </c>
      <c r="B11" s="2">
        <v>256754.40000000002</v>
      </c>
      <c r="C11"/>
    </row>
    <row r="12" spans="1:3" x14ac:dyDescent="0.25">
      <c r="A12" s="6" t="s">
        <v>16</v>
      </c>
      <c r="B12" s="2">
        <v>256754.40000000002</v>
      </c>
      <c r="C12"/>
    </row>
    <row r="13" spans="1:3" x14ac:dyDescent="0.25">
      <c r="A13" s="99">
        <v>4528</v>
      </c>
      <c r="B13" s="2">
        <v>150</v>
      </c>
      <c r="C13"/>
    </row>
    <row r="14" spans="1:3" x14ac:dyDescent="0.25">
      <c r="A14" s="99">
        <v>5500</v>
      </c>
      <c r="B14" s="2">
        <v>36340</v>
      </c>
      <c r="C14"/>
    </row>
    <row r="15" spans="1:3" x14ac:dyDescent="0.25">
      <c r="A15" s="99">
        <v>5503</v>
      </c>
      <c r="B15" s="2">
        <v>1500</v>
      </c>
      <c r="C15"/>
    </row>
    <row r="16" spans="1:3" x14ac:dyDescent="0.25">
      <c r="A16" s="99">
        <v>5504</v>
      </c>
      <c r="B16" s="2">
        <v>22120</v>
      </c>
      <c r="C16"/>
    </row>
    <row r="17" spans="1:3" x14ac:dyDescent="0.25">
      <c r="A17" s="99">
        <v>5511</v>
      </c>
      <c r="B17" s="2">
        <v>59876</v>
      </c>
      <c r="C17"/>
    </row>
    <row r="18" spans="1:3" x14ac:dyDescent="0.25">
      <c r="A18" s="99">
        <v>5513</v>
      </c>
      <c r="B18" s="2">
        <v>15513.2</v>
      </c>
      <c r="C18"/>
    </row>
    <row r="19" spans="1:3" x14ac:dyDescent="0.25">
      <c r="A19" s="99">
        <v>5514</v>
      </c>
      <c r="B19" s="2">
        <v>16695.2</v>
      </c>
      <c r="C19"/>
    </row>
    <row r="20" spans="1:3" x14ac:dyDescent="0.25">
      <c r="A20" s="99">
        <v>5515</v>
      </c>
      <c r="B20" s="2">
        <v>2160</v>
      </c>
      <c r="C20"/>
    </row>
    <row r="21" spans="1:3" x14ac:dyDescent="0.25">
      <c r="A21" s="99">
        <v>5522</v>
      </c>
      <c r="B21" s="2">
        <v>4500</v>
      </c>
      <c r="C21"/>
    </row>
    <row r="22" spans="1:3" x14ac:dyDescent="0.25">
      <c r="A22" s="99">
        <v>5523</v>
      </c>
      <c r="B22" s="2">
        <v>200</v>
      </c>
      <c r="C22"/>
    </row>
    <row r="23" spans="1:3" x14ac:dyDescent="0.25">
      <c r="A23" s="99">
        <v>5532</v>
      </c>
      <c r="B23" s="2">
        <v>1500</v>
      </c>
      <c r="C23"/>
    </row>
    <row r="24" spans="1:3" x14ac:dyDescent="0.25">
      <c r="A24" s="99">
        <v>5540</v>
      </c>
      <c r="B24" s="2">
        <v>96200</v>
      </c>
      <c r="C24"/>
    </row>
    <row r="25" spans="1:3" x14ac:dyDescent="0.25">
      <c r="A25" s="5" t="s">
        <v>17</v>
      </c>
      <c r="B25" s="2">
        <v>57769.017578999999</v>
      </c>
      <c r="C25"/>
    </row>
    <row r="26" spans="1:3" x14ac:dyDescent="0.25">
      <c r="A26" s="6" t="s">
        <v>18</v>
      </c>
      <c r="B26" s="2">
        <v>57769.017578999999</v>
      </c>
      <c r="C26"/>
    </row>
    <row r="27" spans="1:3" x14ac:dyDescent="0.25">
      <c r="A27" s="99">
        <v>608</v>
      </c>
      <c r="B27" s="2">
        <v>57769.017578999999</v>
      </c>
      <c r="C27"/>
    </row>
    <row r="28" spans="1:3" x14ac:dyDescent="0.25">
      <c r="A28" s="5" t="s">
        <v>21</v>
      </c>
      <c r="B28" s="2">
        <v>-1385558.82</v>
      </c>
      <c r="C28"/>
    </row>
    <row r="29" spans="1:3" x14ac:dyDescent="0.25">
      <c r="A29" s="6" t="s">
        <v>22</v>
      </c>
      <c r="B29" s="2">
        <v>-1385558.82</v>
      </c>
      <c r="C29"/>
    </row>
    <row r="30" spans="1:3" x14ac:dyDescent="0.25">
      <c r="A30" s="99">
        <v>655</v>
      </c>
      <c r="B30" s="2">
        <v>-130</v>
      </c>
      <c r="C30"/>
    </row>
    <row r="31" spans="1:3" x14ac:dyDescent="0.25">
      <c r="A31" s="99">
        <v>6501</v>
      </c>
      <c r="B31" s="2">
        <v>27847.13</v>
      </c>
      <c r="C31"/>
    </row>
    <row r="32" spans="1:3" x14ac:dyDescent="0.25">
      <c r="A32" s="99">
        <v>25852</v>
      </c>
      <c r="B32" s="2">
        <v>-2100000</v>
      </c>
      <c r="C32"/>
    </row>
    <row r="33" spans="1:3" x14ac:dyDescent="0.25">
      <c r="A33" s="99">
        <v>208168</v>
      </c>
      <c r="B33" s="2">
        <v>686724.05</v>
      </c>
      <c r="C33"/>
    </row>
    <row r="34" spans="1:3" x14ac:dyDescent="0.25">
      <c r="A34" s="5" t="s">
        <v>23</v>
      </c>
      <c r="B34" s="2">
        <v>28548</v>
      </c>
      <c r="C34"/>
    </row>
    <row r="35" spans="1:3" x14ac:dyDescent="0.25">
      <c r="A35" s="6" t="s">
        <v>24</v>
      </c>
      <c r="B35" s="2">
        <v>28548</v>
      </c>
      <c r="C35"/>
    </row>
    <row r="36" spans="1:3" x14ac:dyDescent="0.25">
      <c r="A36" s="99">
        <v>4528</v>
      </c>
      <c r="B36" s="2">
        <v>28548</v>
      </c>
      <c r="C36"/>
    </row>
    <row r="37" spans="1:3" x14ac:dyDescent="0.25">
      <c r="A37" s="5" t="s">
        <v>25</v>
      </c>
      <c r="B37" s="2">
        <v>1000</v>
      </c>
      <c r="C37"/>
    </row>
    <row r="38" spans="1:3" x14ac:dyDescent="0.25">
      <c r="A38" s="6" t="s">
        <v>26</v>
      </c>
      <c r="B38" s="2">
        <v>1000</v>
      </c>
      <c r="C38"/>
    </row>
    <row r="39" spans="1:3" x14ac:dyDescent="0.25">
      <c r="A39" s="99">
        <v>5525</v>
      </c>
      <c r="B39" s="2">
        <v>1000</v>
      </c>
      <c r="C39"/>
    </row>
    <row r="40" spans="1:3" x14ac:dyDescent="0.25">
      <c r="A40" s="5" t="s">
        <v>27</v>
      </c>
      <c r="B40" s="2">
        <v>16850</v>
      </c>
      <c r="C40"/>
    </row>
    <row r="41" spans="1:3" x14ac:dyDescent="0.25">
      <c r="A41" s="6" t="s">
        <v>28</v>
      </c>
      <c r="B41" s="2">
        <v>16850</v>
      </c>
      <c r="C41"/>
    </row>
    <row r="42" spans="1:3" x14ac:dyDescent="0.25">
      <c r="A42" s="99">
        <v>5511</v>
      </c>
      <c r="B42" s="2">
        <v>900</v>
      </c>
      <c r="C42"/>
    </row>
    <row r="43" spans="1:3" x14ac:dyDescent="0.25">
      <c r="A43" s="99">
        <v>5513</v>
      </c>
      <c r="B43" s="2">
        <v>700</v>
      </c>
      <c r="C43"/>
    </row>
    <row r="44" spans="1:3" x14ac:dyDescent="0.25">
      <c r="A44" s="99">
        <v>45008</v>
      </c>
      <c r="B44" s="2">
        <v>15250</v>
      </c>
      <c r="C44"/>
    </row>
    <row r="45" spans="1:3" x14ac:dyDescent="0.25">
      <c r="A45" s="5" t="s">
        <v>31</v>
      </c>
      <c r="B45" s="2">
        <v>486305</v>
      </c>
      <c r="C45"/>
    </row>
    <row r="46" spans="1:3" x14ac:dyDescent="0.25">
      <c r="A46" s="6" t="s">
        <v>853</v>
      </c>
      <c r="B46" s="2">
        <v>486305</v>
      </c>
      <c r="C46"/>
    </row>
    <row r="47" spans="1:3" x14ac:dyDescent="0.25">
      <c r="A47" s="99">
        <v>5512</v>
      </c>
      <c r="B47" s="2">
        <v>486305</v>
      </c>
      <c r="C47"/>
    </row>
    <row r="48" spans="1:3" x14ac:dyDescent="0.25">
      <c r="A48" s="5" t="s">
        <v>32</v>
      </c>
      <c r="B48" s="2">
        <v>41798.639999999999</v>
      </c>
      <c r="C48"/>
    </row>
    <row r="49" spans="1:3" x14ac:dyDescent="0.25">
      <c r="A49" s="6" t="s">
        <v>33</v>
      </c>
      <c r="B49" s="2">
        <v>41798.639999999999</v>
      </c>
      <c r="C49"/>
    </row>
    <row r="50" spans="1:3" x14ac:dyDescent="0.25">
      <c r="A50" s="99">
        <v>5500</v>
      </c>
      <c r="B50" s="2">
        <v>240</v>
      </c>
      <c r="C50"/>
    </row>
    <row r="51" spans="1:3" x14ac:dyDescent="0.25">
      <c r="A51" s="99">
        <v>5504</v>
      </c>
      <c r="B51" s="2">
        <v>592.64</v>
      </c>
      <c r="C51"/>
    </row>
    <row r="52" spans="1:3" x14ac:dyDescent="0.25">
      <c r="A52" s="99">
        <v>5511</v>
      </c>
      <c r="B52" s="2">
        <v>100</v>
      </c>
      <c r="C52"/>
    </row>
    <row r="53" spans="1:3" x14ac:dyDescent="0.25">
      <c r="A53" s="99">
        <v>5513</v>
      </c>
      <c r="B53" s="2">
        <v>4020</v>
      </c>
      <c r="C53"/>
    </row>
    <row r="54" spans="1:3" x14ac:dyDescent="0.25">
      <c r="A54" s="99">
        <v>5514</v>
      </c>
      <c r="B54" s="2">
        <v>31846</v>
      </c>
      <c r="C54"/>
    </row>
    <row r="55" spans="1:3" x14ac:dyDescent="0.25">
      <c r="A55" s="99">
        <v>5515</v>
      </c>
      <c r="B55" s="2">
        <v>5000</v>
      </c>
      <c r="C55"/>
    </row>
    <row r="56" spans="1:3" x14ac:dyDescent="0.25">
      <c r="A56" s="5" t="s">
        <v>34</v>
      </c>
      <c r="B56" s="2">
        <v>71268.899999999994</v>
      </c>
      <c r="C56"/>
    </row>
    <row r="57" spans="1:3" x14ac:dyDescent="0.25">
      <c r="A57" s="6" t="s">
        <v>35</v>
      </c>
      <c r="B57" s="2">
        <v>71268.899999999994</v>
      </c>
      <c r="C57"/>
    </row>
    <row r="58" spans="1:3" x14ac:dyDescent="0.25">
      <c r="A58" s="99">
        <v>601</v>
      </c>
      <c r="B58" s="2">
        <v>250</v>
      </c>
      <c r="C58"/>
    </row>
    <row r="59" spans="1:3" x14ac:dyDescent="0.25">
      <c r="A59" s="99">
        <v>5500</v>
      </c>
      <c r="B59" s="2">
        <v>1664.5</v>
      </c>
      <c r="C59"/>
    </row>
    <row r="60" spans="1:3" x14ac:dyDescent="0.25">
      <c r="A60" s="99">
        <v>5504</v>
      </c>
      <c r="B60" s="2">
        <v>1600</v>
      </c>
      <c r="C60"/>
    </row>
    <row r="61" spans="1:3" x14ac:dyDescent="0.25">
      <c r="A61" s="99">
        <v>5511</v>
      </c>
      <c r="B61" s="2">
        <v>1750</v>
      </c>
      <c r="C61"/>
    </row>
    <row r="62" spans="1:3" x14ac:dyDescent="0.25">
      <c r="A62" s="99">
        <v>5513</v>
      </c>
      <c r="B62" s="2">
        <v>10170</v>
      </c>
      <c r="C62"/>
    </row>
    <row r="63" spans="1:3" x14ac:dyDescent="0.25">
      <c r="A63" s="99">
        <v>5514</v>
      </c>
      <c r="B63" s="2">
        <v>734.40000000000009</v>
      </c>
      <c r="C63"/>
    </row>
    <row r="64" spans="1:3" x14ac:dyDescent="0.25">
      <c r="A64" s="99">
        <v>5540</v>
      </c>
      <c r="B64" s="2">
        <v>2100</v>
      </c>
      <c r="C64"/>
    </row>
    <row r="65" spans="1:3" x14ac:dyDescent="0.25">
      <c r="A65" s="99">
        <v>20385</v>
      </c>
      <c r="B65" s="2">
        <v>-35000</v>
      </c>
      <c r="C65"/>
    </row>
    <row r="66" spans="1:3" x14ac:dyDescent="0.25">
      <c r="A66" s="99">
        <v>45008</v>
      </c>
      <c r="B66" s="2">
        <v>3000</v>
      </c>
      <c r="C66"/>
    </row>
    <row r="67" spans="1:3" x14ac:dyDescent="0.25">
      <c r="A67" s="99">
        <v>45028</v>
      </c>
      <c r="B67" s="2">
        <v>85000</v>
      </c>
      <c r="C67"/>
    </row>
    <row r="68" spans="1:3" x14ac:dyDescent="0.25">
      <c r="A68" s="5" t="s">
        <v>36</v>
      </c>
      <c r="B68" s="2">
        <v>2446.4</v>
      </c>
      <c r="C68"/>
    </row>
    <row r="69" spans="1:3" x14ac:dyDescent="0.25">
      <c r="A69" s="6" t="s">
        <v>37</v>
      </c>
      <c r="B69" s="2">
        <v>2446.4</v>
      </c>
      <c r="C69"/>
    </row>
    <row r="70" spans="1:3" x14ac:dyDescent="0.25">
      <c r="A70" s="99">
        <v>5511</v>
      </c>
      <c r="B70" s="2">
        <v>2000</v>
      </c>
      <c r="C70"/>
    </row>
    <row r="71" spans="1:3" x14ac:dyDescent="0.25">
      <c r="A71" s="99">
        <v>5514</v>
      </c>
      <c r="B71" s="2">
        <v>446.40000000000003</v>
      </c>
      <c r="C71"/>
    </row>
    <row r="72" spans="1:3" x14ac:dyDescent="0.25">
      <c r="A72" s="5" t="s">
        <v>38</v>
      </c>
      <c r="B72" s="2">
        <v>10553.6</v>
      </c>
      <c r="C72"/>
    </row>
    <row r="73" spans="1:3" x14ac:dyDescent="0.25">
      <c r="A73" s="6" t="s">
        <v>1109</v>
      </c>
      <c r="B73" s="2">
        <v>10553.6</v>
      </c>
      <c r="C73"/>
    </row>
    <row r="74" spans="1:3" x14ac:dyDescent="0.25">
      <c r="A74" s="99">
        <v>5511</v>
      </c>
      <c r="B74" s="2">
        <v>10107.200000000001</v>
      </c>
      <c r="C74"/>
    </row>
    <row r="75" spans="1:3" x14ac:dyDescent="0.25">
      <c r="A75" s="99">
        <v>5514</v>
      </c>
      <c r="B75" s="2">
        <v>446.40000000000003</v>
      </c>
      <c r="C75"/>
    </row>
    <row r="76" spans="1:3" x14ac:dyDescent="0.25">
      <c r="A76" s="5" t="s">
        <v>40</v>
      </c>
      <c r="B76" s="2">
        <v>-417000</v>
      </c>
      <c r="C76"/>
    </row>
    <row r="77" spans="1:3" x14ac:dyDescent="0.25">
      <c r="A77" s="6" t="s">
        <v>572</v>
      </c>
      <c r="B77" s="2">
        <v>-417000</v>
      </c>
      <c r="C77"/>
    </row>
    <row r="78" spans="1:3" x14ac:dyDescent="0.25">
      <c r="A78" s="99">
        <v>5512</v>
      </c>
      <c r="B78" s="2">
        <v>53000</v>
      </c>
      <c r="C78"/>
    </row>
    <row r="79" spans="1:3" x14ac:dyDescent="0.25">
      <c r="A79" s="99">
        <v>20385</v>
      </c>
      <c r="B79" s="2">
        <v>-470000</v>
      </c>
      <c r="C79"/>
    </row>
    <row r="80" spans="1:3" x14ac:dyDescent="0.25">
      <c r="A80" s="5" t="s">
        <v>254</v>
      </c>
      <c r="B80" s="2">
        <v>99464</v>
      </c>
      <c r="C80"/>
    </row>
    <row r="81" spans="1:3" x14ac:dyDescent="0.25">
      <c r="A81" s="6" t="s">
        <v>2038</v>
      </c>
      <c r="B81" s="2">
        <v>99464</v>
      </c>
      <c r="C81"/>
    </row>
    <row r="82" spans="1:3" x14ac:dyDescent="0.25">
      <c r="A82" s="99">
        <v>5500</v>
      </c>
      <c r="B82" s="2">
        <v>1420</v>
      </c>
      <c r="C82"/>
    </row>
    <row r="83" spans="1:3" x14ac:dyDescent="0.25">
      <c r="A83" s="99">
        <v>5504</v>
      </c>
      <c r="B83" s="2">
        <v>350</v>
      </c>
      <c r="C83"/>
    </row>
    <row r="84" spans="1:3" x14ac:dyDescent="0.25">
      <c r="A84" s="99">
        <v>5511</v>
      </c>
      <c r="B84" s="2">
        <v>63620</v>
      </c>
      <c r="C84"/>
    </row>
    <row r="85" spans="1:3" x14ac:dyDescent="0.25">
      <c r="A85" s="99">
        <v>5513</v>
      </c>
      <c r="B85" s="2">
        <v>12524</v>
      </c>
      <c r="C85"/>
    </row>
    <row r="86" spans="1:3" x14ac:dyDescent="0.25">
      <c r="A86" s="99">
        <v>5514</v>
      </c>
      <c r="B86" s="2">
        <v>3350</v>
      </c>
      <c r="C86"/>
    </row>
    <row r="87" spans="1:3" x14ac:dyDescent="0.25">
      <c r="A87" s="99">
        <v>5515</v>
      </c>
      <c r="B87" s="2">
        <v>9000</v>
      </c>
      <c r="C87"/>
    </row>
    <row r="88" spans="1:3" x14ac:dyDescent="0.25">
      <c r="A88" s="99">
        <v>5522</v>
      </c>
      <c r="B88" s="2">
        <v>700</v>
      </c>
      <c r="C88"/>
    </row>
    <row r="89" spans="1:3" x14ac:dyDescent="0.25">
      <c r="A89" s="99">
        <v>5525</v>
      </c>
      <c r="B89" s="2">
        <v>500</v>
      </c>
      <c r="C89"/>
    </row>
    <row r="90" spans="1:3" x14ac:dyDescent="0.25">
      <c r="A90" s="99">
        <v>5540</v>
      </c>
      <c r="B90" s="2">
        <v>8000</v>
      </c>
      <c r="C90"/>
    </row>
    <row r="91" spans="1:3" x14ac:dyDescent="0.25">
      <c r="A91" s="5" t="s">
        <v>255</v>
      </c>
      <c r="B91" s="2">
        <v>40358</v>
      </c>
      <c r="C91"/>
    </row>
    <row r="92" spans="1:3" x14ac:dyDescent="0.25">
      <c r="A92" s="6" t="s">
        <v>256</v>
      </c>
      <c r="B92" s="2">
        <v>40358</v>
      </c>
      <c r="C92"/>
    </row>
    <row r="93" spans="1:3" x14ac:dyDescent="0.25">
      <c r="A93" s="99">
        <v>5500</v>
      </c>
      <c r="B93" s="2">
        <v>326.39999999999998</v>
      </c>
      <c r="C93"/>
    </row>
    <row r="94" spans="1:3" x14ac:dyDescent="0.25">
      <c r="A94" s="99">
        <v>5504</v>
      </c>
      <c r="B94" s="2">
        <v>200</v>
      </c>
      <c r="C94"/>
    </row>
    <row r="95" spans="1:3" x14ac:dyDescent="0.25">
      <c r="A95" s="99">
        <v>5511</v>
      </c>
      <c r="B95" s="2">
        <v>21450</v>
      </c>
      <c r="C95"/>
    </row>
    <row r="96" spans="1:3" x14ac:dyDescent="0.25">
      <c r="A96" s="99">
        <v>5513</v>
      </c>
      <c r="B96" s="2">
        <v>15100</v>
      </c>
      <c r="C96"/>
    </row>
    <row r="97" spans="1:3" x14ac:dyDescent="0.25">
      <c r="A97" s="99">
        <v>5514</v>
      </c>
      <c r="B97" s="2">
        <v>381.6</v>
      </c>
      <c r="C97"/>
    </row>
    <row r="98" spans="1:3" x14ac:dyDescent="0.25">
      <c r="A98" s="99">
        <v>5515</v>
      </c>
      <c r="B98" s="2">
        <v>2900</v>
      </c>
      <c r="C98"/>
    </row>
    <row r="99" spans="1:3" x14ac:dyDescent="0.25">
      <c r="A99" s="5" t="s">
        <v>257</v>
      </c>
      <c r="B99" s="2">
        <v>43065</v>
      </c>
      <c r="C99"/>
    </row>
    <row r="100" spans="1:3" x14ac:dyDescent="0.25">
      <c r="A100" s="6" t="s">
        <v>258</v>
      </c>
      <c r="B100" s="2">
        <v>43065</v>
      </c>
      <c r="C100"/>
    </row>
    <row r="101" spans="1:3" x14ac:dyDescent="0.25">
      <c r="A101" s="99">
        <v>5511</v>
      </c>
      <c r="B101" s="2">
        <v>43065</v>
      </c>
      <c r="C101"/>
    </row>
    <row r="102" spans="1:3" x14ac:dyDescent="0.25">
      <c r="A102" s="5" t="s">
        <v>259</v>
      </c>
      <c r="B102" s="2">
        <v>31380</v>
      </c>
      <c r="C102"/>
    </row>
    <row r="103" spans="1:3" x14ac:dyDescent="0.25">
      <c r="A103" s="6" t="s">
        <v>260</v>
      </c>
      <c r="B103" s="2">
        <v>31380</v>
      </c>
      <c r="C103"/>
    </row>
    <row r="104" spans="1:3" x14ac:dyDescent="0.25">
      <c r="A104" s="99">
        <v>5511</v>
      </c>
      <c r="B104" s="2">
        <v>30800</v>
      </c>
      <c r="C104"/>
    </row>
    <row r="105" spans="1:3" x14ac:dyDescent="0.25">
      <c r="A105" s="99">
        <v>5514</v>
      </c>
      <c r="B105" s="2">
        <v>580</v>
      </c>
      <c r="C105"/>
    </row>
    <row r="106" spans="1:3" x14ac:dyDescent="0.25">
      <c r="A106" s="5" t="s">
        <v>261</v>
      </c>
      <c r="B106" s="2">
        <v>57668.12</v>
      </c>
      <c r="C106"/>
    </row>
    <row r="107" spans="1:3" x14ac:dyDescent="0.25">
      <c r="A107" s="6" t="s">
        <v>262</v>
      </c>
      <c r="B107" s="2">
        <v>57668.12</v>
      </c>
      <c r="C107"/>
    </row>
    <row r="108" spans="1:3" x14ac:dyDescent="0.25">
      <c r="A108" s="99">
        <v>5500</v>
      </c>
      <c r="B108" s="2">
        <v>300</v>
      </c>
      <c r="C108"/>
    </row>
    <row r="109" spans="1:3" x14ac:dyDescent="0.25">
      <c r="A109" s="99">
        <v>5511</v>
      </c>
      <c r="B109" s="2">
        <v>48058.12</v>
      </c>
      <c r="C109"/>
    </row>
    <row r="110" spans="1:3" x14ac:dyDescent="0.25">
      <c r="A110" s="99">
        <v>5513</v>
      </c>
      <c r="B110" s="2">
        <v>8910</v>
      </c>
      <c r="C110"/>
    </row>
    <row r="111" spans="1:3" x14ac:dyDescent="0.25">
      <c r="A111" s="99">
        <v>5540</v>
      </c>
      <c r="B111" s="2">
        <v>400</v>
      </c>
      <c r="C111"/>
    </row>
    <row r="112" spans="1:3" x14ac:dyDescent="0.25">
      <c r="A112" s="5" t="s">
        <v>263</v>
      </c>
      <c r="B112" s="2">
        <v>101380.28</v>
      </c>
      <c r="C112"/>
    </row>
    <row r="113" spans="1:3" x14ac:dyDescent="0.25">
      <c r="A113" s="6" t="s">
        <v>264</v>
      </c>
      <c r="B113" s="2">
        <v>101380.28</v>
      </c>
      <c r="C113"/>
    </row>
    <row r="114" spans="1:3" x14ac:dyDescent="0.25">
      <c r="A114" s="99">
        <v>5500</v>
      </c>
      <c r="B114" s="2">
        <v>255.84</v>
      </c>
      <c r="C114"/>
    </row>
    <row r="115" spans="1:3" x14ac:dyDescent="0.25">
      <c r="A115" s="99">
        <v>5511</v>
      </c>
      <c r="B115" s="2">
        <v>64589.2</v>
      </c>
      <c r="C115"/>
    </row>
    <row r="116" spans="1:3" x14ac:dyDescent="0.25">
      <c r="A116" s="99">
        <v>5512</v>
      </c>
      <c r="B116" s="2">
        <v>2000</v>
      </c>
      <c r="C116"/>
    </row>
    <row r="117" spans="1:3" x14ac:dyDescent="0.25">
      <c r="A117" s="99">
        <v>5513</v>
      </c>
      <c r="B117" s="2">
        <v>28535.239999999998</v>
      </c>
      <c r="C117"/>
    </row>
    <row r="118" spans="1:3" x14ac:dyDescent="0.25">
      <c r="A118" s="99">
        <v>5515</v>
      </c>
      <c r="B118" s="2">
        <v>6000</v>
      </c>
      <c r="C118"/>
    </row>
    <row r="119" spans="1:3" x14ac:dyDescent="0.25">
      <c r="A119" s="5" t="s">
        <v>265</v>
      </c>
      <c r="B119" s="2">
        <v>16460</v>
      </c>
      <c r="C119"/>
    </row>
    <row r="120" spans="1:3" x14ac:dyDescent="0.25">
      <c r="A120" s="6" t="s">
        <v>266</v>
      </c>
      <c r="B120" s="2">
        <v>16460</v>
      </c>
      <c r="C120"/>
    </row>
    <row r="121" spans="1:3" x14ac:dyDescent="0.25">
      <c r="A121" s="99">
        <v>5511</v>
      </c>
      <c r="B121" s="2">
        <v>16460</v>
      </c>
      <c r="C121"/>
    </row>
    <row r="122" spans="1:3" x14ac:dyDescent="0.25">
      <c r="A122" s="5" t="s">
        <v>267</v>
      </c>
      <c r="B122" s="2">
        <v>34991.479999999996</v>
      </c>
      <c r="C122"/>
    </row>
    <row r="123" spans="1:3" x14ac:dyDescent="0.25">
      <c r="A123" s="6" t="s">
        <v>268</v>
      </c>
      <c r="B123" s="2">
        <v>34991.479999999996</v>
      </c>
      <c r="C123"/>
    </row>
    <row r="124" spans="1:3" x14ac:dyDescent="0.25">
      <c r="A124" s="99">
        <v>5511</v>
      </c>
      <c r="B124" s="2">
        <v>24991.48</v>
      </c>
      <c r="C124"/>
    </row>
    <row r="125" spans="1:3" x14ac:dyDescent="0.25">
      <c r="A125" s="99">
        <v>5512</v>
      </c>
      <c r="B125" s="2">
        <v>10000</v>
      </c>
      <c r="C125"/>
    </row>
    <row r="126" spans="1:3" x14ac:dyDescent="0.25">
      <c r="A126" s="5" t="s">
        <v>269</v>
      </c>
      <c r="B126" s="2">
        <v>10500</v>
      </c>
      <c r="C126"/>
    </row>
    <row r="127" spans="1:3" x14ac:dyDescent="0.25">
      <c r="A127" s="6" t="s">
        <v>270</v>
      </c>
      <c r="B127" s="2">
        <v>10500</v>
      </c>
      <c r="C127"/>
    </row>
    <row r="128" spans="1:3" x14ac:dyDescent="0.25">
      <c r="A128" s="99">
        <v>5511</v>
      </c>
      <c r="B128" s="2">
        <v>9837.6</v>
      </c>
      <c r="C128"/>
    </row>
    <row r="129" spans="1:3" x14ac:dyDescent="0.25">
      <c r="A129" s="99">
        <v>5514</v>
      </c>
      <c r="B129" s="2">
        <v>662.40000000000009</v>
      </c>
      <c r="C129"/>
    </row>
    <row r="130" spans="1:3" x14ac:dyDescent="0.25">
      <c r="A130" s="5" t="s">
        <v>41</v>
      </c>
      <c r="B130" s="2">
        <v>42977</v>
      </c>
      <c r="C130"/>
    </row>
    <row r="131" spans="1:3" x14ac:dyDescent="0.25">
      <c r="A131" s="6" t="s">
        <v>42</v>
      </c>
      <c r="B131" s="2">
        <v>42977</v>
      </c>
      <c r="C131"/>
    </row>
    <row r="132" spans="1:3" x14ac:dyDescent="0.25">
      <c r="A132" s="99">
        <v>4528</v>
      </c>
      <c r="B132" s="2">
        <v>2500</v>
      </c>
      <c r="C132"/>
    </row>
    <row r="133" spans="1:3" x14ac:dyDescent="0.25">
      <c r="A133" s="99">
        <v>5511</v>
      </c>
      <c r="B133" s="2">
        <v>5000</v>
      </c>
      <c r="C133"/>
    </row>
    <row r="134" spans="1:3" x14ac:dyDescent="0.25">
      <c r="A134" s="99">
        <v>5515</v>
      </c>
      <c r="B134" s="2">
        <v>600</v>
      </c>
      <c r="C134"/>
    </row>
    <row r="135" spans="1:3" x14ac:dyDescent="0.25">
      <c r="A135" s="99">
        <v>5540</v>
      </c>
      <c r="B135" s="2">
        <v>2400</v>
      </c>
      <c r="C135"/>
    </row>
    <row r="136" spans="1:3" x14ac:dyDescent="0.25">
      <c r="A136" s="99">
        <v>45028</v>
      </c>
      <c r="B136" s="2">
        <v>32477</v>
      </c>
      <c r="C136"/>
    </row>
    <row r="137" spans="1:3" x14ac:dyDescent="0.25">
      <c r="A137" s="5" t="s">
        <v>271</v>
      </c>
      <c r="B137" s="2">
        <v>143684.28</v>
      </c>
      <c r="C137"/>
    </row>
    <row r="138" spans="1:3" x14ac:dyDescent="0.25">
      <c r="A138" s="6" t="s">
        <v>272</v>
      </c>
      <c r="B138" s="2">
        <v>143684.28</v>
      </c>
      <c r="C138"/>
    </row>
    <row r="139" spans="1:3" x14ac:dyDescent="0.25">
      <c r="A139" s="99">
        <v>45008</v>
      </c>
      <c r="B139" s="2">
        <v>120000</v>
      </c>
      <c r="C139"/>
    </row>
    <row r="140" spans="1:3" x14ac:dyDescent="0.25">
      <c r="A140" s="99">
        <v>45028</v>
      </c>
      <c r="B140" s="2">
        <v>23684.28</v>
      </c>
      <c r="C140"/>
    </row>
    <row r="141" spans="1:3" x14ac:dyDescent="0.25">
      <c r="A141" s="5" t="s">
        <v>273</v>
      </c>
      <c r="B141" s="2">
        <v>17511.400000000001</v>
      </c>
      <c r="C141"/>
    </row>
    <row r="142" spans="1:3" x14ac:dyDescent="0.25">
      <c r="A142" s="6" t="s">
        <v>274</v>
      </c>
      <c r="B142" s="2">
        <v>17511.400000000001</v>
      </c>
      <c r="C142"/>
    </row>
    <row r="143" spans="1:3" x14ac:dyDescent="0.25">
      <c r="A143" s="99">
        <v>5500</v>
      </c>
      <c r="B143" s="2">
        <v>1420</v>
      </c>
      <c r="C143"/>
    </row>
    <row r="144" spans="1:3" x14ac:dyDescent="0.25">
      <c r="A144" s="99">
        <v>5511</v>
      </c>
      <c r="B144" s="2">
        <v>13121.4</v>
      </c>
      <c r="C144"/>
    </row>
    <row r="145" spans="1:3" x14ac:dyDescent="0.25">
      <c r="A145" s="99">
        <v>5513</v>
      </c>
      <c r="B145" s="2">
        <v>720</v>
      </c>
      <c r="C145"/>
    </row>
    <row r="146" spans="1:3" x14ac:dyDescent="0.25">
      <c r="A146" s="99">
        <v>5514</v>
      </c>
      <c r="B146" s="2">
        <v>300</v>
      </c>
      <c r="C146"/>
    </row>
    <row r="147" spans="1:3" x14ac:dyDescent="0.25">
      <c r="A147" s="99">
        <v>5522</v>
      </c>
      <c r="B147" s="2">
        <v>50</v>
      </c>
      <c r="C147"/>
    </row>
    <row r="148" spans="1:3" x14ac:dyDescent="0.25">
      <c r="A148" s="99">
        <v>5525</v>
      </c>
      <c r="B148" s="2">
        <v>1900</v>
      </c>
      <c r="C148"/>
    </row>
    <row r="149" spans="1:3" x14ac:dyDescent="0.25">
      <c r="A149" s="5" t="s">
        <v>275</v>
      </c>
      <c r="B149" s="2">
        <v>5600</v>
      </c>
      <c r="C149"/>
    </row>
    <row r="150" spans="1:3" x14ac:dyDescent="0.25">
      <c r="A150" s="6" t="s">
        <v>276</v>
      </c>
      <c r="B150" s="2">
        <v>5600</v>
      </c>
      <c r="C150"/>
    </row>
    <row r="151" spans="1:3" x14ac:dyDescent="0.25">
      <c r="A151" s="99">
        <v>5511</v>
      </c>
      <c r="B151" s="2">
        <v>5600</v>
      </c>
      <c r="C151"/>
    </row>
    <row r="152" spans="1:3" x14ac:dyDescent="0.25">
      <c r="A152" s="5" t="s">
        <v>277</v>
      </c>
      <c r="B152" s="2">
        <v>8000</v>
      </c>
      <c r="C152"/>
    </row>
    <row r="153" spans="1:3" x14ac:dyDescent="0.25">
      <c r="A153" s="6" t="s">
        <v>781</v>
      </c>
      <c r="B153" s="2">
        <v>8000</v>
      </c>
      <c r="C153"/>
    </row>
    <row r="154" spans="1:3" x14ac:dyDescent="0.25">
      <c r="A154" s="99">
        <v>4500</v>
      </c>
      <c r="B154" s="2">
        <v>8000</v>
      </c>
      <c r="C154"/>
    </row>
    <row r="155" spans="1:3" x14ac:dyDescent="0.25">
      <c r="A155" s="5" t="s">
        <v>278</v>
      </c>
      <c r="B155" s="2">
        <v>5800</v>
      </c>
      <c r="C155"/>
    </row>
    <row r="156" spans="1:3" x14ac:dyDescent="0.25">
      <c r="A156" s="6" t="s">
        <v>358</v>
      </c>
      <c r="B156" s="2">
        <v>5800</v>
      </c>
      <c r="C156"/>
    </row>
    <row r="157" spans="1:3" x14ac:dyDescent="0.25">
      <c r="A157" s="99">
        <v>5540</v>
      </c>
      <c r="B157" s="2">
        <v>5800</v>
      </c>
      <c r="C157"/>
    </row>
    <row r="158" spans="1:3" x14ac:dyDescent="0.25">
      <c r="A158" s="5" t="s">
        <v>279</v>
      </c>
      <c r="B158" s="2">
        <v>49000</v>
      </c>
      <c r="C158"/>
    </row>
    <row r="159" spans="1:3" x14ac:dyDescent="0.25">
      <c r="A159" s="6" t="s">
        <v>280</v>
      </c>
      <c r="B159" s="2">
        <v>49000</v>
      </c>
      <c r="C159"/>
    </row>
    <row r="160" spans="1:3" x14ac:dyDescent="0.25">
      <c r="A160" s="99">
        <v>5540</v>
      </c>
      <c r="B160" s="2">
        <v>49000</v>
      </c>
      <c r="C160"/>
    </row>
    <row r="161" spans="1:3" x14ac:dyDescent="0.25">
      <c r="A161" s="5" t="s">
        <v>776</v>
      </c>
      <c r="B161" s="2">
        <v>26350</v>
      </c>
      <c r="C161"/>
    </row>
    <row r="162" spans="1:3" x14ac:dyDescent="0.25">
      <c r="A162" s="6" t="s">
        <v>779</v>
      </c>
      <c r="B162" s="2">
        <v>26350</v>
      </c>
      <c r="C162"/>
    </row>
    <row r="163" spans="1:3" x14ac:dyDescent="0.25">
      <c r="A163" s="99">
        <v>4500</v>
      </c>
      <c r="B163" s="2">
        <v>26350</v>
      </c>
      <c r="C163"/>
    </row>
    <row r="164" spans="1:3" x14ac:dyDescent="0.25">
      <c r="A164" s="5" t="s">
        <v>281</v>
      </c>
      <c r="B164" s="2">
        <v>7005</v>
      </c>
      <c r="C164"/>
    </row>
    <row r="165" spans="1:3" x14ac:dyDescent="0.25">
      <c r="A165" s="6" t="s">
        <v>780</v>
      </c>
      <c r="B165" s="2">
        <v>7005</v>
      </c>
      <c r="C165"/>
    </row>
    <row r="166" spans="1:3" x14ac:dyDescent="0.25">
      <c r="A166" s="99">
        <v>5500</v>
      </c>
      <c r="B166" s="2">
        <v>135</v>
      </c>
      <c r="C166"/>
    </row>
    <row r="167" spans="1:3" x14ac:dyDescent="0.25">
      <c r="A167" s="99">
        <v>5504</v>
      </c>
      <c r="B167" s="2">
        <v>150</v>
      </c>
      <c r="C167"/>
    </row>
    <row r="168" spans="1:3" x14ac:dyDescent="0.25">
      <c r="A168" s="99">
        <v>5513</v>
      </c>
      <c r="B168" s="2">
        <v>4020</v>
      </c>
      <c r="C168"/>
    </row>
    <row r="169" spans="1:3" x14ac:dyDescent="0.25">
      <c r="A169" s="99">
        <v>5515</v>
      </c>
      <c r="B169" s="2">
        <v>700</v>
      </c>
      <c r="C169"/>
    </row>
    <row r="170" spans="1:3" x14ac:dyDescent="0.25">
      <c r="A170" s="99">
        <v>5540</v>
      </c>
      <c r="B170" s="2">
        <v>2000</v>
      </c>
      <c r="C170"/>
    </row>
    <row r="171" spans="1:3" x14ac:dyDescent="0.25">
      <c r="A171" s="5" t="s">
        <v>284</v>
      </c>
      <c r="B171" s="2">
        <v>4000</v>
      </c>
      <c r="C171"/>
    </row>
    <row r="172" spans="1:3" x14ac:dyDescent="0.25">
      <c r="A172" s="6" t="s">
        <v>285</v>
      </c>
      <c r="B172" s="2">
        <v>4000</v>
      </c>
      <c r="C172"/>
    </row>
    <row r="173" spans="1:3" x14ac:dyDescent="0.25">
      <c r="A173" s="99">
        <v>4500</v>
      </c>
      <c r="B173" s="2">
        <v>4000</v>
      </c>
      <c r="C173"/>
    </row>
    <row r="174" spans="1:3" x14ac:dyDescent="0.25">
      <c r="A174" s="5" t="s">
        <v>642</v>
      </c>
      <c r="B174" s="2">
        <v>2200</v>
      </c>
      <c r="C174"/>
    </row>
    <row r="175" spans="1:3" x14ac:dyDescent="0.25">
      <c r="A175" s="6" t="s">
        <v>778</v>
      </c>
      <c r="B175" s="2">
        <v>2200</v>
      </c>
      <c r="C175"/>
    </row>
    <row r="176" spans="1:3" x14ac:dyDescent="0.25">
      <c r="A176" s="99">
        <v>5511</v>
      </c>
      <c r="B176" s="2">
        <v>700</v>
      </c>
      <c r="C176"/>
    </row>
    <row r="177" spans="1:3" x14ac:dyDescent="0.25">
      <c r="A177" s="99">
        <v>5521</v>
      </c>
      <c r="B177" s="2">
        <v>1500</v>
      </c>
      <c r="C177"/>
    </row>
    <row r="178" spans="1:3" x14ac:dyDescent="0.25">
      <c r="A178" s="5" t="s">
        <v>773</v>
      </c>
      <c r="B178" s="2">
        <v>87252</v>
      </c>
      <c r="C178"/>
    </row>
    <row r="179" spans="1:3" x14ac:dyDescent="0.25">
      <c r="A179" s="6" t="s">
        <v>777</v>
      </c>
      <c r="B179" s="2">
        <v>87252</v>
      </c>
      <c r="C179"/>
    </row>
    <row r="180" spans="1:3" x14ac:dyDescent="0.25">
      <c r="A180" s="99">
        <v>4500</v>
      </c>
      <c r="B180" s="2">
        <v>87252</v>
      </c>
      <c r="C180"/>
    </row>
    <row r="181" spans="1:3" x14ac:dyDescent="0.25">
      <c r="A181" s="5" t="s">
        <v>286</v>
      </c>
      <c r="B181" s="2">
        <v>32000</v>
      </c>
      <c r="C181"/>
    </row>
    <row r="182" spans="1:3" x14ac:dyDescent="0.25">
      <c r="A182" s="6" t="s">
        <v>287</v>
      </c>
      <c r="B182" s="2">
        <v>32000</v>
      </c>
      <c r="C182"/>
    </row>
    <row r="183" spans="1:3" x14ac:dyDescent="0.25">
      <c r="A183" s="99">
        <v>5525</v>
      </c>
      <c r="B183" s="2">
        <v>32000</v>
      </c>
      <c r="C183"/>
    </row>
    <row r="184" spans="1:3" x14ac:dyDescent="0.25">
      <c r="A184" s="5" t="s">
        <v>288</v>
      </c>
      <c r="B184" s="2">
        <v>13610</v>
      </c>
      <c r="C184"/>
    </row>
    <row r="185" spans="1:3" x14ac:dyDescent="0.25">
      <c r="A185" s="6" t="s">
        <v>289</v>
      </c>
      <c r="B185" s="2">
        <v>13610</v>
      </c>
      <c r="C185"/>
    </row>
    <row r="186" spans="1:3" x14ac:dyDescent="0.25">
      <c r="A186" s="99">
        <v>45008</v>
      </c>
      <c r="B186" s="2">
        <v>13610</v>
      </c>
      <c r="C186"/>
    </row>
    <row r="187" spans="1:3" x14ac:dyDescent="0.25">
      <c r="A187" s="5" t="s">
        <v>290</v>
      </c>
      <c r="B187" s="2">
        <v>4500</v>
      </c>
      <c r="C187"/>
    </row>
    <row r="188" spans="1:3" x14ac:dyDescent="0.25">
      <c r="A188" s="6" t="s">
        <v>291</v>
      </c>
      <c r="B188" s="2">
        <v>4500</v>
      </c>
      <c r="C188"/>
    </row>
    <row r="189" spans="1:3" x14ac:dyDescent="0.25">
      <c r="A189" s="99">
        <v>5511</v>
      </c>
      <c r="B189" s="2">
        <v>1500</v>
      </c>
      <c r="C189"/>
    </row>
    <row r="190" spans="1:3" x14ac:dyDescent="0.25">
      <c r="A190" s="99">
        <v>5512</v>
      </c>
      <c r="B190" s="2">
        <v>3000</v>
      </c>
      <c r="C190"/>
    </row>
    <row r="191" spans="1:3" x14ac:dyDescent="0.25">
      <c r="A191" s="5" t="s">
        <v>294</v>
      </c>
      <c r="B191" s="2">
        <v>2000</v>
      </c>
      <c r="C191"/>
    </row>
    <row r="192" spans="1:3" x14ac:dyDescent="0.25">
      <c r="A192" s="6" t="s">
        <v>295</v>
      </c>
      <c r="B192" s="2">
        <v>2000</v>
      </c>
      <c r="C192"/>
    </row>
    <row r="193" spans="1:3" x14ac:dyDescent="0.25">
      <c r="A193" s="99">
        <v>5500</v>
      </c>
      <c r="B193" s="2">
        <v>1000</v>
      </c>
      <c r="C193"/>
    </row>
    <row r="194" spans="1:3" x14ac:dyDescent="0.25">
      <c r="A194" s="99">
        <v>45008</v>
      </c>
      <c r="B194" s="2">
        <v>1000</v>
      </c>
      <c r="C194"/>
    </row>
    <row r="195" spans="1:3" x14ac:dyDescent="0.25">
      <c r="A195" s="5" t="s">
        <v>2107</v>
      </c>
      <c r="B195" s="2">
        <v>8000</v>
      </c>
      <c r="C195"/>
    </row>
    <row r="196" spans="1:3" x14ac:dyDescent="0.25">
      <c r="A196" s="6" t="s">
        <v>2108</v>
      </c>
      <c r="B196" s="2">
        <v>8000</v>
      </c>
      <c r="C196"/>
    </row>
    <row r="197" spans="1:3" x14ac:dyDescent="0.25">
      <c r="A197" s="99">
        <v>45008</v>
      </c>
      <c r="B197" s="2">
        <v>8000</v>
      </c>
      <c r="C197"/>
    </row>
    <row r="198" spans="1:3" x14ac:dyDescent="0.25">
      <c r="A198" s="5" t="s">
        <v>296</v>
      </c>
      <c r="B198" s="2">
        <v>31174.91</v>
      </c>
      <c r="C198"/>
    </row>
    <row r="199" spans="1:3" x14ac:dyDescent="0.25">
      <c r="A199" s="6" t="s">
        <v>297</v>
      </c>
      <c r="B199" s="2">
        <v>31174.91</v>
      </c>
      <c r="C199"/>
    </row>
    <row r="200" spans="1:3" x14ac:dyDescent="0.25">
      <c r="A200" s="99">
        <v>5500</v>
      </c>
      <c r="B200" s="2">
        <v>3460</v>
      </c>
      <c r="C200"/>
    </row>
    <row r="201" spans="1:3" x14ac:dyDescent="0.25">
      <c r="A201" s="99">
        <v>5504</v>
      </c>
      <c r="B201" s="2">
        <v>600</v>
      </c>
      <c r="C201"/>
    </row>
    <row r="202" spans="1:3" x14ac:dyDescent="0.25">
      <c r="A202" s="99">
        <v>5511</v>
      </c>
      <c r="B202" s="2">
        <v>17295</v>
      </c>
      <c r="C202"/>
    </row>
    <row r="203" spans="1:3" x14ac:dyDescent="0.25">
      <c r="A203" s="99">
        <v>5513</v>
      </c>
      <c r="B203" s="2">
        <v>400</v>
      </c>
      <c r="C203"/>
    </row>
    <row r="204" spans="1:3" x14ac:dyDescent="0.25">
      <c r="A204" s="99">
        <v>5514</v>
      </c>
      <c r="B204" s="2">
        <v>980</v>
      </c>
      <c r="C204"/>
    </row>
    <row r="205" spans="1:3" x14ac:dyDescent="0.25">
      <c r="A205" s="99">
        <v>5515</v>
      </c>
      <c r="B205" s="2">
        <v>350</v>
      </c>
      <c r="C205"/>
    </row>
    <row r="206" spans="1:3" x14ac:dyDescent="0.25">
      <c r="A206" s="99">
        <v>5522</v>
      </c>
      <c r="B206" s="2">
        <v>200</v>
      </c>
      <c r="C206"/>
    </row>
    <row r="207" spans="1:3" x14ac:dyDescent="0.25">
      <c r="A207" s="99">
        <v>5523</v>
      </c>
      <c r="B207" s="2">
        <v>7200</v>
      </c>
      <c r="C207"/>
    </row>
    <row r="208" spans="1:3" x14ac:dyDescent="0.25">
      <c r="A208" s="99">
        <v>5525</v>
      </c>
      <c r="B208" s="2">
        <v>600</v>
      </c>
      <c r="C208"/>
    </row>
    <row r="209" spans="1:3" x14ac:dyDescent="0.25">
      <c r="A209" s="99">
        <v>5540</v>
      </c>
      <c r="B209" s="2">
        <v>89.91</v>
      </c>
      <c r="C209"/>
    </row>
    <row r="210" spans="1:3" x14ac:dyDescent="0.25">
      <c r="A210" s="5" t="s">
        <v>298</v>
      </c>
      <c r="B210" s="2">
        <v>4550</v>
      </c>
      <c r="C210"/>
    </row>
    <row r="211" spans="1:3" x14ac:dyDescent="0.25">
      <c r="A211" s="6" t="s">
        <v>299</v>
      </c>
      <c r="B211" s="2">
        <v>4550</v>
      </c>
      <c r="C211"/>
    </row>
    <row r="212" spans="1:3" x14ac:dyDescent="0.25">
      <c r="A212" s="99">
        <v>5500</v>
      </c>
      <c r="B212" s="2">
        <v>1480</v>
      </c>
      <c r="C212"/>
    </row>
    <row r="213" spans="1:3" x14ac:dyDescent="0.25">
      <c r="A213" s="99">
        <v>5504</v>
      </c>
      <c r="B213" s="2">
        <v>50</v>
      </c>
      <c r="C213"/>
    </row>
    <row r="214" spans="1:3" x14ac:dyDescent="0.25">
      <c r="A214" s="99">
        <v>5511</v>
      </c>
      <c r="B214" s="2">
        <v>80</v>
      </c>
      <c r="C214"/>
    </row>
    <row r="215" spans="1:3" x14ac:dyDescent="0.25">
      <c r="A215" s="99">
        <v>5514</v>
      </c>
      <c r="B215" s="2">
        <v>640</v>
      </c>
      <c r="C215"/>
    </row>
    <row r="216" spans="1:3" x14ac:dyDescent="0.25">
      <c r="A216" s="99">
        <v>5523</v>
      </c>
      <c r="B216" s="2">
        <v>2000</v>
      </c>
      <c r="C216"/>
    </row>
    <row r="217" spans="1:3" x14ac:dyDescent="0.25">
      <c r="A217" s="99">
        <v>5525</v>
      </c>
      <c r="B217" s="2">
        <v>300</v>
      </c>
      <c r="C217"/>
    </row>
    <row r="218" spans="1:3" x14ac:dyDescent="0.25">
      <c r="A218" s="5" t="s">
        <v>300</v>
      </c>
      <c r="B218" s="2">
        <v>7200</v>
      </c>
      <c r="C218"/>
    </row>
    <row r="219" spans="1:3" x14ac:dyDescent="0.25">
      <c r="A219" s="6" t="s">
        <v>301</v>
      </c>
      <c r="B219" s="2">
        <v>7200</v>
      </c>
      <c r="C219"/>
    </row>
    <row r="220" spans="1:3" x14ac:dyDescent="0.25">
      <c r="A220" s="99">
        <v>5500</v>
      </c>
      <c r="B220" s="2">
        <v>1120</v>
      </c>
      <c r="C220"/>
    </row>
    <row r="221" spans="1:3" x14ac:dyDescent="0.25">
      <c r="A221" s="99">
        <v>5504</v>
      </c>
      <c r="B221" s="2">
        <v>350</v>
      </c>
      <c r="C221"/>
    </row>
    <row r="222" spans="1:3" x14ac:dyDescent="0.25">
      <c r="A222" s="99">
        <v>5511</v>
      </c>
      <c r="B222" s="2">
        <v>600</v>
      </c>
      <c r="C222"/>
    </row>
    <row r="223" spans="1:3" x14ac:dyDescent="0.25">
      <c r="A223" s="99">
        <v>5514</v>
      </c>
      <c r="B223" s="2">
        <v>440</v>
      </c>
      <c r="C223"/>
    </row>
    <row r="224" spans="1:3" x14ac:dyDescent="0.25">
      <c r="A224" s="99">
        <v>5515</v>
      </c>
      <c r="B224" s="2">
        <v>350</v>
      </c>
      <c r="C224"/>
    </row>
    <row r="225" spans="1:3" x14ac:dyDescent="0.25">
      <c r="A225" s="99">
        <v>5523</v>
      </c>
      <c r="B225" s="2">
        <v>4000</v>
      </c>
      <c r="C225"/>
    </row>
    <row r="226" spans="1:3" x14ac:dyDescent="0.25">
      <c r="A226" s="99">
        <v>5525</v>
      </c>
      <c r="B226" s="2">
        <v>340</v>
      </c>
      <c r="C226"/>
    </row>
    <row r="227" spans="1:3" x14ac:dyDescent="0.25">
      <c r="A227" s="5" t="s">
        <v>302</v>
      </c>
      <c r="B227" s="2">
        <v>4165</v>
      </c>
      <c r="C227"/>
    </row>
    <row r="228" spans="1:3" x14ac:dyDescent="0.25">
      <c r="A228" s="6" t="s">
        <v>303</v>
      </c>
      <c r="B228" s="2">
        <v>4165</v>
      </c>
      <c r="C228"/>
    </row>
    <row r="229" spans="1:3" x14ac:dyDescent="0.25">
      <c r="A229" s="99">
        <v>5500</v>
      </c>
      <c r="B229" s="2">
        <v>1190</v>
      </c>
      <c r="C229"/>
    </row>
    <row r="230" spans="1:3" x14ac:dyDescent="0.25">
      <c r="A230" s="99">
        <v>5504</v>
      </c>
      <c r="B230" s="2">
        <v>30</v>
      </c>
      <c r="C230"/>
    </row>
    <row r="231" spans="1:3" x14ac:dyDescent="0.25">
      <c r="A231" s="99">
        <v>5511</v>
      </c>
      <c r="B231" s="2">
        <v>1135</v>
      </c>
      <c r="C231"/>
    </row>
    <row r="232" spans="1:3" x14ac:dyDescent="0.25">
      <c r="A232" s="99">
        <v>5514</v>
      </c>
      <c r="B232" s="2">
        <v>240</v>
      </c>
      <c r="C232"/>
    </row>
    <row r="233" spans="1:3" x14ac:dyDescent="0.25">
      <c r="A233" s="99">
        <v>5523</v>
      </c>
      <c r="B233" s="2">
        <v>1570</v>
      </c>
      <c r="C233"/>
    </row>
    <row r="234" spans="1:3" x14ac:dyDescent="0.25">
      <c r="A234" s="5" t="s">
        <v>304</v>
      </c>
      <c r="B234" s="2">
        <v>7880</v>
      </c>
      <c r="C234"/>
    </row>
    <row r="235" spans="1:3" x14ac:dyDescent="0.25">
      <c r="A235" s="6" t="s">
        <v>305</v>
      </c>
      <c r="B235" s="2">
        <v>7880</v>
      </c>
      <c r="C235"/>
    </row>
    <row r="236" spans="1:3" x14ac:dyDescent="0.25">
      <c r="A236" s="99">
        <v>5500</v>
      </c>
      <c r="B236" s="2">
        <v>2020</v>
      </c>
      <c r="C236"/>
    </row>
    <row r="237" spans="1:3" x14ac:dyDescent="0.25">
      <c r="A237" s="99">
        <v>5504</v>
      </c>
      <c r="B237" s="2">
        <v>350</v>
      </c>
      <c r="C237"/>
    </row>
    <row r="238" spans="1:3" x14ac:dyDescent="0.25">
      <c r="A238" s="99">
        <v>5511</v>
      </c>
      <c r="B238" s="2">
        <v>400</v>
      </c>
      <c r="C238"/>
    </row>
    <row r="239" spans="1:3" x14ac:dyDescent="0.25">
      <c r="A239" s="99">
        <v>5513</v>
      </c>
      <c r="B239" s="2">
        <v>220</v>
      </c>
      <c r="C239"/>
    </row>
    <row r="240" spans="1:3" x14ac:dyDescent="0.25">
      <c r="A240" s="99">
        <v>5514</v>
      </c>
      <c r="B240" s="2">
        <v>1090</v>
      </c>
      <c r="C240"/>
    </row>
    <row r="241" spans="1:3" x14ac:dyDescent="0.25">
      <c r="A241" s="99">
        <v>5522</v>
      </c>
      <c r="B241" s="2">
        <v>100</v>
      </c>
      <c r="C241"/>
    </row>
    <row r="242" spans="1:3" x14ac:dyDescent="0.25">
      <c r="A242" s="99">
        <v>5523</v>
      </c>
      <c r="B242" s="2">
        <v>3200</v>
      </c>
      <c r="C242"/>
    </row>
    <row r="243" spans="1:3" x14ac:dyDescent="0.25">
      <c r="A243" s="99">
        <v>5525</v>
      </c>
      <c r="B243" s="2">
        <v>500</v>
      </c>
      <c r="C243"/>
    </row>
    <row r="244" spans="1:3" x14ac:dyDescent="0.25">
      <c r="A244" s="5" t="s">
        <v>306</v>
      </c>
      <c r="B244" s="2">
        <v>15219</v>
      </c>
      <c r="C244"/>
    </row>
    <row r="245" spans="1:3" x14ac:dyDescent="0.25">
      <c r="A245" s="6" t="s">
        <v>307</v>
      </c>
      <c r="B245" s="2">
        <v>15219</v>
      </c>
      <c r="C245"/>
    </row>
    <row r="246" spans="1:3" x14ac:dyDescent="0.25">
      <c r="A246" s="99">
        <v>5500</v>
      </c>
      <c r="B246" s="2">
        <v>2500</v>
      </c>
      <c r="C246"/>
    </row>
    <row r="247" spans="1:3" x14ac:dyDescent="0.25">
      <c r="A247" s="99">
        <v>5504</v>
      </c>
      <c r="B247" s="2">
        <v>1000</v>
      </c>
      <c r="C247"/>
    </row>
    <row r="248" spans="1:3" x14ac:dyDescent="0.25">
      <c r="A248" s="99">
        <v>5511</v>
      </c>
      <c r="B248" s="2">
        <v>250</v>
      </c>
      <c r="C248"/>
    </row>
    <row r="249" spans="1:3" x14ac:dyDescent="0.25">
      <c r="A249" s="99">
        <v>5513</v>
      </c>
      <c r="B249" s="2">
        <v>1000</v>
      </c>
      <c r="C249"/>
    </row>
    <row r="250" spans="1:3" x14ac:dyDescent="0.25">
      <c r="A250" s="99">
        <v>5514</v>
      </c>
      <c r="B250" s="2">
        <v>1300</v>
      </c>
      <c r="C250"/>
    </row>
    <row r="251" spans="1:3" x14ac:dyDescent="0.25">
      <c r="A251" s="99">
        <v>5515</v>
      </c>
      <c r="B251" s="2">
        <v>1019</v>
      </c>
      <c r="C251"/>
    </row>
    <row r="252" spans="1:3" x14ac:dyDescent="0.25">
      <c r="A252" s="99">
        <v>5522</v>
      </c>
      <c r="B252" s="2">
        <v>500</v>
      </c>
      <c r="C252"/>
    </row>
    <row r="253" spans="1:3" x14ac:dyDescent="0.25">
      <c r="A253" s="99">
        <v>5523</v>
      </c>
      <c r="B253" s="2">
        <v>6500</v>
      </c>
      <c r="C253"/>
    </row>
    <row r="254" spans="1:3" x14ac:dyDescent="0.25">
      <c r="A254" s="99">
        <v>5525</v>
      </c>
      <c r="B254" s="2">
        <v>1150</v>
      </c>
      <c r="C254"/>
    </row>
    <row r="255" spans="1:3" x14ac:dyDescent="0.25">
      <c r="A255" s="5" t="s">
        <v>308</v>
      </c>
      <c r="B255" s="2">
        <v>9250</v>
      </c>
      <c r="C255"/>
    </row>
    <row r="256" spans="1:3" x14ac:dyDescent="0.25">
      <c r="A256" s="6" t="s">
        <v>309</v>
      </c>
      <c r="B256" s="2">
        <v>9250</v>
      </c>
      <c r="C256"/>
    </row>
    <row r="257" spans="1:3" x14ac:dyDescent="0.25">
      <c r="A257" s="99">
        <v>5500</v>
      </c>
      <c r="B257" s="2">
        <v>2200</v>
      </c>
      <c r="C257"/>
    </row>
    <row r="258" spans="1:3" x14ac:dyDescent="0.25">
      <c r="A258" s="99">
        <v>5511</v>
      </c>
      <c r="B258" s="2">
        <v>450</v>
      </c>
      <c r="C258"/>
    </row>
    <row r="259" spans="1:3" x14ac:dyDescent="0.25">
      <c r="A259" s="99">
        <v>5514</v>
      </c>
      <c r="B259" s="2">
        <v>1450</v>
      </c>
      <c r="C259"/>
    </row>
    <row r="260" spans="1:3" x14ac:dyDescent="0.25">
      <c r="A260" s="99">
        <v>5523</v>
      </c>
      <c r="B260" s="2">
        <v>4500</v>
      </c>
      <c r="C260"/>
    </row>
    <row r="261" spans="1:3" x14ac:dyDescent="0.25">
      <c r="A261" s="99">
        <v>5525</v>
      </c>
      <c r="B261" s="2">
        <v>650</v>
      </c>
      <c r="C261"/>
    </row>
    <row r="262" spans="1:3" x14ac:dyDescent="0.25">
      <c r="A262" s="5" t="s">
        <v>310</v>
      </c>
      <c r="B262" s="2">
        <v>4850</v>
      </c>
      <c r="C262"/>
    </row>
    <row r="263" spans="1:3" x14ac:dyDescent="0.25">
      <c r="A263" s="6" t="s">
        <v>311</v>
      </c>
      <c r="B263" s="2">
        <v>4850</v>
      </c>
      <c r="C263"/>
    </row>
    <row r="264" spans="1:3" x14ac:dyDescent="0.25">
      <c r="A264" s="99">
        <v>5500</v>
      </c>
      <c r="B264" s="2">
        <v>1600</v>
      </c>
      <c r="C264"/>
    </row>
    <row r="265" spans="1:3" x14ac:dyDescent="0.25">
      <c r="A265" s="99">
        <v>5511</v>
      </c>
      <c r="B265" s="2">
        <v>300</v>
      </c>
      <c r="C265"/>
    </row>
    <row r="266" spans="1:3" x14ac:dyDescent="0.25">
      <c r="A266" s="99">
        <v>5514</v>
      </c>
      <c r="B266" s="2">
        <v>250</v>
      </c>
      <c r="C266"/>
    </row>
    <row r="267" spans="1:3" x14ac:dyDescent="0.25">
      <c r="A267" s="99">
        <v>5523</v>
      </c>
      <c r="B267" s="2">
        <v>2500</v>
      </c>
      <c r="C267"/>
    </row>
    <row r="268" spans="1:3" x14ac:dyDescent="0.25">
      <c r="A268" s="99">
        <v>5525</v>
      </c>
      <c r="B268" s="2">
        <v>200</v>
      </c>
      <c r="C268"/>
    </row>
    <row r="269" spans="1:3" x14ac:dyDescent="0.25">
      <c r="A269" s="5" t="s">
        <v>312</v>
      </c>
      <c r="B269" s="2">
        <v>5357.4</v>
      </c>
      <c r="C269"/>
    </row>
    <row r="270" spans="1:3" x14ac:dyDescent="0.25">
      <c r="A270" s="6" t="s">
        <v>313</v>
      </c>
      <c r="B270" s="2">
        <v>5357.4</v>
      </c>
      <c r="C270"/>
    </row>
    <row r="271" spans="1:3" x14ac:dyDescent="0.25">
      <c r="A271" s="99">
        <v>5500</v>
      </c>
      <c r="B271" s="2">
        <v>600</v>
      </c>
      <c r="C271"/>
    </row>
    <row r="272" spans="1:3" x14ac:dyDescent="0.25">
      <c r="A272" s="99">
        <v>5511</v>
      </c>
      <c r="B272" s="2">
        <v>4507.3999999999996</v>
      </c>
      <c r="C272"/>
    </row>
    <row r="273" spans="1:3" x14ac:dyDescent="0.25">
      <c r="A273" s="99">
        <v>5525</v>
      </c>
      <c r="B273" s="2">
        <v>250</v>
      </c>
      <c r="C273"/>
    </row>
    <row r="274" spans="1:3" x14ac:dyDescent="0.25">
      <c r="A274" s="5" t="s">
        <v>314</v>
      </c>
      <c r="B274" s="2">
        <v>26840.05</v>
      </c>
      <c r="C274"/>
    </row>
    <row r="275" spans="1:3" x14ac:dyDescent="0.25">
      <c r="A275" s="6" t="s">
        <v>315</v>
      </c>
      <c r="B275" s="2">
        <v>26840.05</v>
      </c>
      <c r="C275"/>
    </row>
    <row r="276" spans="1:3" x14ac:dyDescent="0.25">
      <c r="A276" s="99">
        <v>5500</v>
      </c>
      <c r="B276" s="2">
        <v>860.05</v>
      </c>
      <c r="C276"/>
    </row>
    <row r="277" spans="1:3" x14ac:dyDescent="0.25">
      <c r="A277" s="99">
        <v>5504</v>
      </c>
      <c r="B277" s="2">
        <v>800</v>
      </c>
      <c r="C277"/>
    </row>
    <row r="278" spans="1:3" x14ac:dyDescent="0.25">
      <c r="A278" s="99">
        <v>5511</v>
      </c>
      <c r="B278" s="2">
        <v>15000</v>
      </c>
      <c r="C278"/>
    </row>
    <row r="279" spans="1:3" x14ac:dyDescent="0.25">
      <c r="A279" s="99">
        <v>5513</v>
      </c>
      <c r="B279" s="2">
        <v>1440</v>
      </c>
      <c r="C279"/>
    </row>
    <row r="280" spans="1:3" x14ac:dyDescent="0.25">
      <c r="A280" s="99">
        <v>5514</v>
      </c>
      <c r="B280" s="2">
        <v>1000</v>
      </c>
      <c r="C280"/>
    </row>
    <row r="281" spans="1:3" x14ac:dyDescent="0.25">
      <c r="A281" s="99">
        <v>5525</v>
      </c>
      <c r="B281" s="2">
        <v>7740</v>
      </c>
      <c r="C281"/>
    </row>
    <row r="282" spans="1:3" x14ac:dyDescent="0.25">
      <c r="A282" s="5" t="s">
        <v>316</v>
      </c>
      <c r="B282" s="2">
        <v>39301</v>
      </c>
      <c r="C282"/>
    </row>
    <row r="283" spans="1:3" x14ac:dyDescent="0.25">
      <c r="A283" s="6" t="s">
        <v>317</v>
      </c>
      <c r="B283" s="2">
        <v>39301</v>
      </c>
      <c r="C283"/>
    </row>
    <row r="284" spans="1:3" x14ac:dyDescent="0.25">
      <c r="A284" s="99">
        <v>5500</v>
      </c>
      <c r="B284" s="2">
        <v>1150</v>
      </c>
      <c r="C284"/>
    </row>
    <row r="285" spans="1:3" x14ac:dyDescent="0.25">
      <c r="A285" s="99">
        <v>5504</v>
      </c>
      <c r="B285" s="2">
        <v>560</v>
      </c>
      <c r="C285"/>
    </row>
    <row r="286" spans="1:3" x14ac:dyDescent="0.25">
      <c r="A286" s="99">
        <v>5511</v>
      </c>
      <c r="B286" s="2">
        <v>24915</v>
      </c>
      <c r="C286"/>
    </row>
    <row r="287" spans="1:3" x14ac:dyDescent="0.25">
      <c r="A287" s="99">
        <v>5513</v>
      </c>
      <c r="B287" s="2">
        <v>1536</v>
      </c>
      <c r="C287"/>
    </row>
    <row r="288" spans="1:3" x14ac:dyDescent="0.25">
      <c r="A288" s="99">
        <v>5514</v>
      </c>
      <c r="B288" s="2">
        <v>100</v>
      </c>
      <c r="C288"/>
    </row>
    <row r="289" spans="1:3" x14ac:dyDescent="0.25">
      <c r="A289" s="99">
        <v>5515</v>
      </c>
      <c r="B289" s="2">
        <v>3200</v>
      </c>
      <c r="C289"/>
    </row>
    <row r="290" spans="1:3" x14ac:dyDescent="0.25">
      <c r="A290" s="99">
        <v>5522</v>
      </c>
      <c r="B290" s="2">
        <v>400</v>
      </c>
      <c r="C290"/>
    </row>
    <row r="291" spans="1:3" x14ac:dyDescent="0.25">
      <c r="A291" s="99">
        <v>5524</v>
      </c>
      <c r="B291" s="2">
        <v>390</v>
      </c>
      <c r="C291"/>
    </row>
    <row r="292" spans="1:3" x14ac:dyDescent="0.25">
      <c r="A292" s="99">
        <v>5525</v>
      </c>
      <c r="B292" s="2">
        <v>6650</v>
      </c>
      <c r="C292"/>
    </row>
    <row r="293" spans="1:3" x14ac:dyDescent="0.25">
      <c r="A293" s="99">
        <v>5540</v>
      </c>
      <c r="B293" s="2">
        <v>400</v>
      </c>
      <c r="C293"/>
    </row>
    <row r="294" spans="1:3" x14ac:dyDescent="0.25">
      <c r="A294" s="5" t="s">
        <v>320</v>
      </c>
      <c r="B294" s="2">
        <v>30052</v>
      </c>
      <c r="C294"/>
    </row>
    <row r="295" spans="1:3" x14ac:dyDescent="0.25">
      <c r="A295" s="6" t="s">
        <v>2054</v>
      </c>
      <c r="B295" s="2">
        <v>30052</v>
      </c>
      <c r="C295"/>
    </row>
    <row r="296" spans="1:3" x14ac:dyDescent="0.25">
      <c r="A296" s="99">
        <v>5500</v>
      </c>
      <c r="B296" s="2">
        <v>1600</v>
      </c>
      <c r="C296"/>
    </row>
    <row r="297" spans="1:3" x14ac:dyDescent="0.25">
      <c r="A297" s="99">
        <v>5504</v>
      </c>
      <c r="B297" s="2">
        <v>200</v>
      </c>
      <c r="C297"/>
    </row>
    <row r="298" spans="1:3" x14ac:dyDescent="0.25">
      <c r="A298" s="99">
        <v>5511</v>
      </c>
      <c r="B298" s="2">
        <v>26600</v>
      </c>
      <c r="C298"/>
    </row>
    <row r="299" spans="1:3" x14ac:dyDescent="0.25">
      <c r="A299" s="99">
        <v>5513</v>
      </c>
      <c r="B299" s="2">
        <v>1452</v>
      </c>
      <c r="C299"/>
    </row>
    <row r="300" spans="1:3" x14ac:dyDescent="0.25">
      <c r="A300" s="99">
        <v>5522</v>
      </c>
      <c r="B300" s="2">
        <v>400</v>
      </c>
      <c r="C300"/>
    </row>
    <row r="301" spans="1:3" x14ac:dyDescent="0.25">
      <c r="A301" s="99">
        <v>5525</v>
      </c>
      <c r="B301" s="2">
        <v>19800</v>
      </c>
      <c r="C301"/>
    </row>
    <row r="302" spans="1:3" x14ac:dyDescent="0.25">
      <c r="A302" s="99">
        <v>20385</v>
      </c>
      <c r="B302" s="2">
        <v>-20000</v>
      </c>
      <c r="C302"/>
    </row>
    <row r="303" spans="1:3" x14ac:dyDescent="0.25">
      <c r="A303" s="5" t="s">
        <v>321</v>
      </c>
      <c r="B303" s="2">
        <v>12450</v>
      </c>
      <c r="C303"/>
    </row>
    <row r="304" spans="1:3" x14ac:dyDescent="0.25">
      <c r="A304" s="6" t="s">
        <v>322</v>
      </c>
      <c r="B304" s="2">
        <v>12450</v>
      </c>
      <c r="C304"/>
    </row>
    <row r="305" spans="1:3" x14ac:dyDescent="0.25">
      <c r="A305" s="99">
        <v>5500</v>
      </c>
      <c r="B305" s="2">
        <v>120</v>
      </c>
      <c r="C305"/>
    </row>
    <row r="306" spans="1:3" x14ac:dyDescent="0.25">
      <c r="A306" s="99">
        <v>5504</v>
      </c>
      <c r="B306" s="2">
        <v>100</v>
      </c>
      <c r="C306"/>
    </row>
    <row r="307" spans="1:3" x14ac:dyDescent="0.25">
      <c r="A307" s="99">
        <v>5511</v>
      </c>
      <c r="B307" s="2">
        <v>8000</v>
      </c>
      <c r="C307"/>
    </row>
    <row r="308" spans="1:3" x14ac:dyDescent="0.25">
      <c r="A308" s="99">
        <v>5513</v>
      </c>
      <c r="B308" s="2">
        <v>400</v>
      </c>
      <c r="C308"/>
    </row>
    <row r="309" spans="1:3" x14ac:dyDescent="0.25">
      <c r="A309" s="99">
        <v>5514</v>
      </c>
      <c r="B309" s="2">
        <v>600</v>
      </c>
      <c r="C309"/>
    </row>
    <row r="310" spans="1:3" x14ac:dyDescent="0.25">
      <c r="A310" s="99">
        <v>5515</v>
      </c>
      <c r="B310" s="2">
        <v>500</v>
      </c>
      <c r="C310"/>
    </row>
    <row r="311" spans="1:3" x14ac:dyDescent="0.25">
      <c r="A311" s="99">
        <v>5525</v>
      </c>
      <c r="B311" s="2">
        <v>2730</v>
      </c>
      <c r="C311"/>
    </row>
    <row r="312" spans="1:3" x14ac:dyDescent="0.25">
      <c r="A312" s="5" t="s">
        <v>323</v>
      </c>
      <c r="B312" s="2">
        <v>22540</v>
      </c>
      <c r="C312"/>
    </row>
    <row r="313" spans="1:3" x14ac:dyDescent="0.25">
      <c r="A313" s="6" t="s">
        <v>324</v>
      </c>
      <c r="B313" s="2">
        <v>22540</v>
      </c>
      <c r="C313"/>
    </row>
    <row r="314" spans="1:3" x14ac:dyDescent="0.25">
      <c r="A314" s="99">
        <v>5500</v>
      </c>
      <c r="B314" s="2">
        <v>500</v>
      </c>
      <c r="C314"/>
    </row>
    <row r="315" spans="1:3" x14ac:dyDescent="0.25">
      <c r="A315" s="99">
        <v>5504</v>
      </c>
      <c r="B315" s="2">
        <v>450</v>
      </c>
      <c r="C315"/>
    </row>
    <row r="316" spans="1:3" x14ac:dyDescent="0.25">
      <c r="A316" s="99">
        <v>5511</v>
      </c>
      <c r="B316" s="2">
        <v>15120</v>
      </c>
      <c r="C316"/>
    </row>
    <row r="317" spans="1:3" x14ac:dyDescent="0.25">
      <c r="A317" s="99">
        <v>5513</v>
      </c>
      <c r="B317" s="2">
        <v>720</v>
      </c>
      <c r="C317"/>
    </row>
    <row r="318" spans="1:3" x14ac:dyDescent="0.25">
      <c r="A318" s="99">
        <v>5514</v>
      </c>
      <c r="B318" s="2">
        <v>300</v>
      </c>
      <c r="C318"/>
    </row>
    <row r="319" spans="1:3" x14ac:dyDescent="0.25">
      <c r="A319" s="99">
        <v>5525</v>
      </c>
      <c r="B319" s="2">
        <v>5450</v>
      </c>
      <c r="C319"/>
    </row>
    <row r="320" spans="1:3" x14ac:dyDescent="0.25">
      <c r="A320" s="5" t="s">
        <v>2076</v>
      </c>
      <c r="B320" s="2">
        <v>15940</v>
      </c>
      <c r="C320"/>
    </row>
    <row r="321" spans="1:3" x14ac:dyDescent="0.25">
      <c r="A321" s="6" t="s">
        <v>2078</v>
      </c>
      <c r="B321" s="2">
        <v>15940</v>
      </c>
      <c r="C321"/>
    </row>
    <row r="322" spans="1:3" x14ac:dyDescent="0.25">
      <c r="A322" s="99">
        <v>5500</v>
      </c>
      <c r="B322" s="2">
        <v>3580</v>
      </c>
      <c r="C322"/>
    </row>
    <row r="323" spans="1:3" x14ac:dyDescent="0.25">
      <c r="A323" s="99">
        <v>5504</v>
      </c>
      <c r="B323" s="2">
        <v>700</v>
      </c>
      <c r="C323"/>
    </row>
    <row r="324" spans="1:3" x14ac:dyDescent="0.25">
      <c r="A324" s="99">
        <v>5513</v>
      </c>
      <c r="B324" s="2">
        <v>4020</v>
      </c>
      <c r="C324"/>
    </row>
    <row r="325" spans="1:3" x14ac:dyDescent="0.25">
      <c r="A325" s="99">
        <v>5514</v>
      </c>
      <c r="B325" s="2">
        <v>840</v>
      </c>
      <c r="C325"/>
    </row>
    <row r="326" spans="1:3" x14ac:dyDescent="0.25">
      <c r="A326" s="99">
        <v>5540</v>
      </c>
      <c r="B326" s="2">
        <v>6800</v>
      </c>
      <c r="C326"/>
    </row>
    <row r="327" spans="1:3" x14ac:dyDescent="0.25">
      <c r="A327" s="5" t="s">
        <v>45</v>
      </c>
      <c r="B327" s="2">
        <v>14000</v>
      </c>
      <c r="C327"/>
    </row>
    <row r="328" spans="1:3" x14ac:dyDescent="0.25">
      <c r="A328" s="6" t="s">
        <v>46</v>
      </c>
      <c r="B328" s="2">
        <v>14000</v>
      </c>
      <c r="C328"/>
    </row>
    <row r="329" spans="1:3" x14ac:dyDescent="0.25">
      <c r="A329" s="99">
        <v>5500</v>
      </c>
      <c r="B329" s="2">
        <v>14000</v>
      </c>
      <c r="C329"/>
    </row>
    <row r="330" spans="1:3" x14ac:dyDescent="0.25">
      <c r="A330" s="5" t="s">
        <v>47</v>
      </c>
      <c r="B330" s="2">
        <v>2270</v>
      </c>
      <c r="C330"/>
    </row>
    <row r="331" spans="1:3" x14ac:dyDescent="0.25">
      <c r="A331" s="6" t="s">
        <v>48</v>
      </c>
      <c r="B331" s="2">
        <v>2270</v>
      </c>
      <c r="C331"/>
    </row>
    <row r="332" spans="1:3" x14ac:dyDescent="0.25">
      <c r="A332" s="99">
        <v>5500</v>
      </c>
      <c r="B332" s="2">
        <v>120</v>
      </c>
      <c r="C332"/>
    </row>
    <row r="333" spans="1:3" x14ac:dyDescent="0.25">
      <c r="A333" s="99">
        <v>5504</v>
      </c>
      <c r="B333" s="2">
        <v>350</v>
      </c>
      <c r="C333"/>
    </row>
    <row r="334" spans="1:3" x14ac:dyDescent="0.25">
      <c r="A334" s="99">
        <v>5513</v>
      </c>
      <c r="B334" s="2">
        <v>1800</v>
      </c>
      <c r="C334"/>
    </row>
    <row r="335" spans="1:3" x14ac:dyDescent="0.25">
      <c r="A335" s="5" t="s">
        <v>325</v>
      </c>
      <c r="B335" s="2">
        <v>88218</v>
      </c>
      <c r="C335"/>
    </row>
    <row r="336" spans="1:3" x14ac:dyDescent="0.25">
      <c r="A336" s="6" t="s">
        <v>326</v>
      </c>
      <c r="B336" s="2">
        <v>88218</v>
      </c>
      <c r="C336"/>
    </row>
    <row r="337" spans="1:3" x14ac:dyDescent="0.25">
      <c r="A337" s="99">
        <v>5500</v>
      </c>
      <c r="B337" s="2">
        <v>1750</v>
      </c>
      <c r="C337"/>
    </row>
    <row r="338" spans="1:3" x14ac:dyDescent="0.25">
      <c r="A338" s="99">
        <v>5504</v>
      </c>
      <c r="B338" s="2">
        <v>2300</v>
      </c>
      <c r="C338"/>
    </row>
    <row r="339" spans="1:3" x14ac:dyDescent="0.25">
      <c r="A339" s="99">
        <v>5511</v>
      </c>
      <c r="B339" s="2">
        <v>42432</v>
      </c>
      <c r="C339"/>
    </row>
    <row r="340" spans="1:3" x14ac:dyDescent="0.25">
      <c r="A340" s="99">
        <v>5513</v>
      </c>
      <c r="B340" s="2">
        <v>1536</v>
      </c>
      <c r="C340"/>
    </row>
    <row r="341" spans="1:3" x14ac:dyDescent="0.25">
      <c r="A341" s="99">
        <v>5514</v>
      </c>
      <c r="B341" s="2">
        <v>1400</v>
      </c>
      <c r="C341"/>
    </row>
    <row r="342" spans="1:3" x14ac:dyDescent="0.25">
      <c r="A342" s="99">
        <v>5515</v>
      </c>
      <c r="B342" s="2">
        <v>2500</v>
      </c>
      <c r="C342"/>
    </row>
    <row r="343" spans="1:3" x14ac:dyDescent="0.25">
      <c r="A343" s="99">
        <v>5521</v>
      </c>
      <c r="B343" s="2">
        <v>22000</v>
      </c>
      <c r="C343"/>
    </row>
    <row r="344" spans="1:3" x14ac:dyDescent="0.25">
      <c r="A344" s="99">
        <v>5522</v>
      </c>
      <c r="B344" s="2">
        <v>500</v>
      </c>
      <c r="C344"/>
    </row>
    <row r="345" spans="1:3" x14ac:dyDescent="0.25">
      <c r="A345" s="99">
        <v>5523</v>
      </c>
      <c r="B345" s="2">
        <v>1000</v>
      </c>
      <c r="C345"/>
    </row>
    <row r="346" spans="1:3" x14ac:dyDescent="0.25">
      <c r="A346" s="99">
        <v>5524</v>
      </c>
      <c r="B346" s="2">
        <v>8800</v>
      </c>
      <c r="C346"/>
    </row>
    <row r="347" spans="1:3" x14ac:dyDescent="0.25">
      <c r="A347" s="99">
        <v>5525</v>
      </c>
      <c r="B347" s="2">
        <v>4000</v>
      </c>
      <c r="C347"/>
    </row>
    <row r="348" spans="1:3" x14ac:dyDescent="0.25">
      <c r="A348" s="5" t="s">
        <v>327</v>
      </c>
      <c r="B348" s="2">
        <v>34985</v>
      </c>
      <c r="C348"/>
    </row>
    <row r="349" spans="1:3" x14ac:dyDescent="0.25">
      <c r="A349" s="6" t="s">
        <v>328</v>
      </c>
      <c r="B349" s="2">
        <v>34985</v>
      </c>
      <c r="C349"/>
    </row>
    <row r="350" spans="1:3" x14ac:dyDescent="0.25">
      <c r="A350" s="99">
        <v>5500</v>
      </c>
      <c r="B350" s="2">
        <v>1345</v>
      </c>
      <c r="C350"/>
    </row>
    <row r="351" spans="1:3" x14ac:dyDescent="0.25">
      <c r="A351" s="99">
        <v>5504</v>
      </c>
      <c r="B351" s="2">
        <v>300</v>
      </c>
      <c r="C351"/>
    </row>
    <row r="352" spans="1:3" x14ac:dyDescent="0.25">
      <c r="A352" s="99">
        <v>5511</v>
      </c>
      <c r="B352" s="2">
        <v>19586</v>
      </c>
      <c r="C352"/>
    </row>
    <row r="353" spans="1:3" x14ac:dyDescent="0.25">
      <c r="A353" s="99">
        <v>5513</v>
      </c>
      <c r="B353" s="2">
        <v>704</v>
      </c>
      <c r="C353"/>
    </row>
    <row r="354" spans="1:3" x14ac:dyDescent="0.25">
      <c r="A354" s="99">
        <v>5514</v>
      </c>
      <c r="B354" s="2">
        <v>380</v>
      </c>
      <c r="C354"/>
    </row>
    <row r="355" spans="1:3" x14ac:dyDescent="0.25">
      <c r="A355" s="99">
        <v>5515</v>
      </c>
      <c r="B355" s="2">
        <v>740</v>
      </c>
      <c r="C355"/>
    </row>
    <row r="356" spans="1:3" x14ac:dyDescent="0.25">
      <c r="A356" s="99">
        <v>5521</v>
      </c>
      <c r="B356" s="2">
        <v>6500</v>
      </c>
      <c r="C356"/>
    </row>
    <row r="357" spans="1:3" x14ac:dyDescent="0.25">
      <c r="A357" s="99">
        <v>5522</v>
      </c>
      <c r="B357" s="2">
        <v>80</v>
      </c>
      <c r="C357"/>
    </row>
    <row r="358" spans="1:3" x14ac:dyDescent="0.25">
      <c r="A358" s="99">
        <v>5524</v>
      </c>
      <c r="B358" s="2">
        <v>4800</v>
      </c>
      <c r="C358"/>
    </row>
    <row r="359" spans="1:3" x14ac:dyDescent="0.25">
      <c r="A359" s="99">
        <v>5525</v>
      </c>
      <c r="B359" s="2">
        <v>550</v>
      </c>
      <c r="C359"/>
    </row>
    <row r="360" spans="1:3" x14ac:dyDescent="0.25">
      <c r="A360" s="5" t="s">
        <v>329</v>
      </c>
      <c r="B360" s="2">
        <v>23595</v>
      </c>
      <c r="C360"/>
    </row>
    <row r="361" spans="1:3" x14ac:dyDescent="0.25">
      <c r="A361" s="6" t="s">
        <v>330</v>
      </c>
      <c r="B361" s="2">
        <v>23595</v>
      </c>
      <c r="C361"/>
    </row>
    <row r="362" spans="1:3" x14ac:dyDescent="0.25">
      <c r="A362" s="99">
        <v>5500</v>
      </c>
      <c r="B362" s="2">
        <v>1245</v>
      </c>
      <c r="C362"/>
    </row>
    <row r="363" spans="1:3" x14ac:dyDescent="0.25">
      <c r="A363" s="99">
        <v>5504</v>
      </c>
      <c r="B363" s="2">
        <v>669</v>
      </c>
      <c r="C363"/>
    </row>
    <row r="364" spans="1:3" x14ac:dyDescent="0.25">
      <c r="A364" s="99">
        <v>5511</v>
      </c>
      <c r="B364" s="2">
        <v>9636</v>
      </c>
      <c r="C364"/>
    </row>
    <row r="365" spans="1:3" x14ac:dyDescent="0.25">
      <c r="A365" s="99">
        <v>5513</v>
      </c>
      <c r="B365" s="2">
        <v>1430</v>
      </c>
      <c r="C365"/>
    </row>
    <row r="366" spans="1:3" x14ac:dyDescent="0.25">
      <c r="A366" s="99">
        <v>5514</v>
      </c>
      <c r="B366" s="2">
        <v>50</v>
      </c>
      <c r="C366"/>
    </row>
    <row r="367" spans="1:3" x14ac:dyDescent="0.25">
      <c r="A367" s="99">
        <v>5515</v>
      </c>
      <c r="B367" s="2">
        <v>1305</v>
      </c>
      <c r="C367"/>
    </row>
    <row r="368" spans="1:3" x14ac:dyDescent="0.25">
      <c r="A368" s="99">
        <v>5521</v>
      </c>
      <c r="B368" s="2">
        <v>6200</v>
      </c>
      <c r="C368"/>
    </row>
    <row r="369" spans="1:3" x14ac:dyDescent="0.25">
      <c r="A369" s="99">
        <v>5522</v>
      </c>
      <c r="B369" s="2">
        <v>120</v>
      </c>
      <c r="C369"/>
    </row>
    <row r="370" spans="1:3" x14ac:dyDescent="0.25">
      <c r="A370" s="99">
        <v>5524</v>
      </c>
      <c r="B370" s="2">
        <v>2440</v>
      </c>
      <c r="C370"/>
    </row>
    <row r="371" spans="1:3" x14ac:dyDescent="0.25">
      <c r="A371" s="99">
        <v>5525</v>
      </c>
      <c r="B371" s="2">
        <v>500</v>
      </c>
      <c r="C371"/>
    </row>
    <row r="372" spans="1:3" x14ac:dyDescent="0.25">
      <c r="A372" s="5" t="s">
        <v>331</v>
      </c>
      <c r="B372" s="2">
        <v>5423</v>
      </c>
      <c r="C372"/>
    </row>
    <row r="373" spans="1:3" x14ac:dyDescent="0.25">
      <c r="A373" s="6" t="s">
        <v>332</v>
      </c>
      <c r="B373" s="2">
        <v>5423</v>
      </c>
      <c r="C373"/>
    </row>
    <row r="374" spans="1:3" x14ac:dyDescent="0.25">
      <c r="A374" s="99">
        <v>5504</v>
      </c>
      <c r="B374" s="2">
        <v>100</v>
      </c>
      <c r="C374"/>
    </row>
    <row r="375" spans="1:3" x14ac:dyDescent="0.25">
      <c r="A375" s="99">
        <v>5521</v>
      </c>
      <c r="B375" s="2">
        <v>4073</v>
      </c>
      <c r="C375"/>
    </row>
    <row r="376" spans="1:3" x14ac:dyDescent="0.25">
      <c r="A376" s="99">
        <v>5524</v>
      </c>
      <c r="B376" s="2">
        <v>1250</v>
      </c>
      <c r="C376"/>
    </row>
    <row r="377" spans="1:3" x14ac:dyDescent="0.25">
      <c r="A377" s="5" t="s">
        <v>333</v>
      </c>
      <c r="B377" s="2">
        <v>32700</v>
      </c>
      <c r="C377"/>
    </row>
    <row r="378" spans="1:3" x14ac:dyDescent="0.25">
      <c r="A378" s="6" t="s">
        <v>334</v>
      </c>
      <c r="B378" s="2">
        <v>32700</v>
      </c>
      <c r="C378"/>
    </row>
    <row r="379" spans="1:3" x14ac:dyDescent="0.25">
      <c r="A379" s="99">
        <v>5504</v>
      </c>
      <c r="B379" s="2">
        <v>600</v>
      </c>
      <c r="C379"/>
    </row>
    <row r="380" spans="1:3" x14ac:dyDescent="0.25">
      <c r="A380" s="99">
        <v>5511</v>
      </c>
      <c r="B380" s="2">
        <v>17950</v>
      </c>
      <c r="C380"/>
    </row>
    <row r="381" spans="1:3" x14ac:dyDescent="0.25">
      <c r="A381" s="99">
        <v>5514</v>
      </c>
      <c r="B381" s="2">
        <v>500</v>
      </c>
      <c r="C381"/>
    </row>
    <row r="382" spans="1:3" x14ac:dyDescent="0.25">
      <c r="A382" s="99">
        <v>5515</v>
      </c>
      <c r="B382" s="2">
        <v>2050</v>
      </c>
      <c r="C382"/>
    </row>
    <row r="383" spans="1:3" x14ac:dyDescent="0.25">
      <c r="A383" s="99">
        <v>5521</v>
      </c>
      <c r="B383" s="2">
        <v>7000</v>
      </c>
      <c r="C383"/>
    </row>
    <row r="384" spans="1:3" x14ac:dyDescent="0.25">
      <c r="A384" s="99">
        <v>5522</v>
      </c>
      <c r="B384" s="2">
        <v>100</v>
      </c>
      <c r="C384"/>
    </row>
    <row r="385" spans="1:3" x14ac:dyDescent="0.25">
      <c r="A385" s="99">
        <v>5524</v>
      </c>
      <c r="B385" s="2">
        <v>4000</v>
      </c>
      <c r="C385"/>
    </row>
    <row r="386" spans="1:3" x14ac:dyDescent="0.25">
      <c r="A386" s="99">
        <v>5525</v>
      </c>
      <c r="B386" s="2">
        <v>500</v>
      </c>
      <c r="C386"/>
    </row>
    <row r="387" spans="1:3" x14ac:dyDescent="0.25">
      <c r="A387" s="5" t="s">
        <v>335</v>
      </c>
      <c r="B387" s="2">
        <v>39330</v>
      </c>
      <c r="C387"/>
    </row>
    <row r="388" spans="1:3" x14ac:dyDescent="0.25">
      <c r="A388" s="6" t="s">
        <v>336</v>
      </c>
      <c r="B388" s="2">
        <v>39330</v>
      </c>
      <c r="C388"/>
    </row>
    <row r="389" spans="1:3" x14ac:dyDescent="0.25">
      <c r="A389" s="99">
        <v>5500</v>
      </c>
      <c r="B389" s="2">
        <v>1830</v>
      </c>
      <c r="C389"/>
    </row>
    <row r="390" spans="1:3" x14ac:dyDescent="0.25">
      <c r="A390" s="99">
        <v>5504</v>
      </c>
      <c r="B390" s="2">
        <v>500</v>
      </c>
      <c r="C390"/>
    </row>
    <row r="391" spans="1:3" x14ac:dyDescent="0.25">
      <c r="A391" s="99">
        <v>5511</v>
      </c>
      <c r="B391" s="2">
        <v>21850</v>
      </c>
      <c r="C391"/>
    </row>
    <row r="392" spans="1:3" x14ac:dyDescent="0.25">
      <c r="A392" s="99">
        <v>5513</v>
      </c>
      <c r="B392" s="2">
        <v>500</v>
      </c>
      <c r="C392"/>
    </row>
    <row r="393" spans="1:3" x14ac:dyDescent="0.25">
      <c r="A393" s="99">
        <v>5514</v>
      </c>
      <c r="B393" s="2">
        <v>750</v>
      </c>
      <c r="C393"/>
    </row>
    <row r="394" spans="1:3" x14ac:dyDescent="0.25">
      <c r="A394" s="99">
        <v>5515</v>
      </c>
      <c r="B394" s="2">
        <v>800</v>
      </c>
      <c r="C394"/>
    </row>
    <row r="395" spans="1:3" x14ac:dyDescent="0.25">
      <c r="A395" s="99">
        <v>5521</v>
      </c>
      <c r="B395" s="2">
        <v>8000</v>
      </c>
      <c r="C395"/>
    </row>
    <row r="396" spans="1:3" x14ac:dyDescent="0.25">
      <c r="A396" s="99">
        <v>5522</v>
      </c>
      <c r="B396" s="2">
        <v>400</v>
      </c>
      <c r="C396"/>
    </row>
    <row r="397" spans="1:3" x14ac:dyDescent="0.25">
      <c r="A397" s="99">
        <v>5524</v>
      </c>
      <c r="B397" s="2">
        <v>3100</v>
      </c>
      <c r="C397"/>
    </row>
    <row r="398" spans="1:3" x14ac:dyDescent="0.25">
      <c r="A398" s="99">
        <v>5525</v>
      </c>
      <c r="B398" s="2">
        <v>1600</v>
      </c>
      <c r="C398"/>
    </row>
    <row r="399" spans="1:3" x14ac:dyDescent="0.25">
      <c r="A399" s="5" t="s">
        <v>245</v>
      </c>
      <c r="B399" s="2">
        <v>8530</v>
      </c>
      <c r="C399"/>
    </row>
    <row r="400" spans="1:3" x14ac:dyDescent="0.25">
      <c r="A400" s="6" t="s">
        <v>337</v>
      </c>
      <c r="B400" s="2">
        <v>8530</v>
      </c>
      <c r="C400"/>
    </row>
    <row r="401" spans="1:3" x14ac:dyDescent="0.25">
      <c r="A401" s="99">
        <v>5514</v>
      </c>
      <c r="B401" s="2">
        <v>630</v>
      </c>
      <c r="C401"/>
    </row>
    <row r="402" spans="1:3" x14ac:dyDescent="0.25">
      <c r="A402" s="99">
        <v>5521</v>
      </c>
      <c r="B402" s="2">
        <v>6900</v>
      </c>
      <c r="C402"/>
    </row>
    <row r="403" spans="1:3" x14ac:dyDescent="0.25">
      <c r="A403" s="99">
        <v>5524</v>
      </c>
      <c r="B403" s="2">
        <v>1000</v>
      </c>
      <c r="C403"/>
    </row>
    <row r="404" spans="1:3" x14ac:dyDescent="0.25">
      <c r="A404" s="5" t="s">
        <v>338</v>
      </c>
      <c r="B404" s="2">
        <v>46249.440000000002</v>
      </c>
      <c r="C404"/>
    </row>
    <row r="405" spans="1:3" x14ac:dyDescent="0.25">
      <c r="A405" s="6" t="s">
        <v>339</v>
      </c>
      <c r="B405" s="2">
        <v>46249.440000000002</v>
      </c>
      <c r="C405"/>
    </row>
    <row r="406" spans="1:3" x14ac:dyDescent="0.25">
      <c r="A406" s="99">
        <v>5524</v>
      </c>
      <c r="B406" s="2">
        <v>46249.440000000002</v>
      </c>
      <c r="C406"/>
    </row>
    <row r="407" spans="1:3" x14ac:dyDescent="0.25">
      <c r="A407" s="5" t="s">
        <v>340</v>
      </c>
      <c r="B407" s="2">
        <v>85445</v>
      </c>
      <c r="C407"/>
    </row>
    <row r="408" spans="1:3" x14ac:dyDescent="0.25">
      <c r="A408" s="6" t="s">
        <v>2169</v>
      </c>
      <c r="B408" s="2">
        <v>85445</v>
      </c>
      <c r="C408"/>
    </row>
    <row r="409" spans="1:3" x14ac:dyDescent="0.25">
      <c r="A409" s="99">
        <v>5500</v>
      </c>
      <c r="B409" s="2">
        <v>1750</v>
      </c>
      <c r="C409"/>
    </row>
    <row r="410" spans="1:3" x14ac:dyDescent="0.25">
      <c r="A410" s="99">
        <v>5504</v>
      </c>
      <c r="B410" s="2">
        <v>1800</v>
      </c>
      <c r="C410"/>
    </row>
    <row r="411" spans="1:3" x14ac:dyDescent="0.25">
      <c r="A411" s="99">
        <v>5511</v>
      </c>
      <c r="B411" s="2">
        <v>35630</v>
      </c>
      <c r="C411"/>
    </row>
    <row r="412" spans="1:3" x14ac:dyDescent="0.25">
      <c r="A412" s="99">
        <v>5513</v>
      </c>
      <c r="B412" s="2">
        <v>6100</v>
      </c>
      <c r="C412"/>
    </row>
    <row r="413" spans="1:3" x14ac:dyDescent="0.25">
      <c r="A413" s="99">
        <v>5514</v>
      </c>
      <c r="B413" s="2">
        <v>2400</v>
      </c>
      <c r="C413"/>
    </row>
    <row r="414" spans="1:3" x14ac:dyDescent="0.25">
      <c r="A414" s="99">
        <v>5515</v>
      </c>
      <c r="B414" s="2">
        <v>3500</v>
      </c>
      <c r="C414"/>
    </row>
    <row r="415" spans="1:3" x14ac:dyDescent="0.25">
      <c r="A415" s="99">
        <v>5521</v>
      </c>
      <c r="B415" s="2">
        <v>13965</v>
      </c>
      <c r="C415"/>
    </row>
    <row r="416" spans="1:3" x14ac:dyDescent="0.25">
      <c r="A416" s="99">
        <v>5522</v>
      </c>
      <c r="B416" s="2">
        <v>1050</v>
      </c>
      <c r="C416"/>
    </row>
    <row r="417" spans="1:3" x14ac:dyDescent="0.25">
      <c r="A417" s="99">
        <v>5524</v>
      </c>
      <c r="B417" s="2">
        <v>14000</v>
      </c>
      <c r="C417"/>
    </row>
    <row r="418" spans="1:3" x14ac:dyDescent="0.25">
      <c r="A418" s="99">
        <v>5525</v>
      </c>
      <c r="B418" s="2">
        <v>5250</v>
      </c>
      <c r="C418"/>
    </row>
    <row r="419" spans="1:3" x14ac:dyDescent="0.25">
      <c r="A419" s="5" t="s">
        <v>341</v>
      </c>
      <c r="B419" s="2">
        <v>65655</v>
      </c>
      <c r="C419"/>
    </row>
    <row r="420" spans="1:3" x14ac:dyDescent="0.25">
      <c r="A420" s="6" t="s">
        <v>2170</v>
      </c>
      <c r="B420" s="2">
        <v>65655</v>
      </c>
      <c r="C420"/>
    </row>
    <row r="421" spans="1:3" x14ac:dyDescent="0.25">
      <c r="A421" s="99">
        <v>5500</v>
      </c>
      <c r="B421" s="2">
        <v>1670</v>
      </c>
      <c r="C421"/>
    </row>
    <row r="422" spans="1:3" x14ac:dyDescent="0.25">
      <c r="A422" s="99">
        <v>5504</v>
      </c>
      <c r="B422" s="2">
        <v>800</v>
      </c>
      <c r="C422"/>
    </row>
    <row r="423" spans="1:3" x14ac:dyDescent="0.25">
      <c r="A423" s="99">
        <v>5511</v>
      </c>
      <c r="B423" s="2">
        <v>38950</v>
      </c>
      <c r="C423"/>
    </row>
    <row r="424" spans="1:3" x14ac:dyDescent="0.25">
      <c r="A424" s="99">
        <v>5513</v>
      </c>
      <c r="B424" s="2">
        <v>4100</v>
      </c>
      <c r="C424"/>
    </row>
    <row r="425" spans="1:3" x14ac:dyDescent="0.25">
      <c r="A425" s="99">
        <v>5514</v>
      </c>
      <c r="B425" s="2">
        <v>3000</v>
      </c>
      <c r="C425"/>
    </row>
    <row r="426" spans="1:3" x14ac:dyDescent="0.25">
      <c r="A426" s="99">
        <v>5515</v>
      </c>
      <c r="B426" s="2">
        <v>1500</v>
      </c>
      <c r="C426"/>
    </row>
    <row r="427" spans="1:3" x14ac:dyDescent="0.25">
      <c r="A427" s="99">
        <v>5521</v>
      </c>
      <c r="B427" s="2">
        <v>5985</v>
      </c>
      <c r="C427"/>
    </row>
    <row r="428" spans="1:3" x14ac:dyDescent="0.25">
      <c r="A428" s="99">
        <v>5522</v>
      </c>
      <c r="B428" s="2">
        <v>1050</v>
      </c>
      <c r="C428"/>
    </row>
    <row r="429" spans="1:3" x14ac:dyDescent="0.25">
      <c r="A429" s="99">
        <v>5524</v>
      </c>
      <c r="B429" s="2">
        <v>7100</v>
      </c>
      <c r="C429"/>
    </row>
    <row r="430" spans="1:3" x14ac:dyDescent="0.25">
      <c r="A430" s="99">
        <v>5525</v>
      </c>
      <c r="B430" s="2">
        <v>1500</v>
      </c>
      <c r="C430"/>
    </row>
    <row r="431" spans="1:3" x14ac:dyDescent="0.25">
      <c r="A431" s="5" t="s">
        <v>247</v>
      </c>
      <c r="B431" s="2">
        <v>99644.4</v>
      </c>
      <c r="C431"/>
    </row>
    <row r="432" spans="1:3" x14ac:dyDescent="0.25">
      <c r="A432" s="6" t="s">
        <v>342</v>
      </c>
      <c r="B432" s="2">
        <v>99644.4</v>
      </c>
      <c r="C432"/>
    </row>
    <row r="433" spans="1:3" x14ac:dyDescent="0.25">
      <c r="A433" s="99">
        <v>5500</v>
      </c>
      <c r="B433" s="2">
        <v>2990</v>
      </c>
      <c r="C433"/>
    </row>
    <row r="434" spans="1:3" x14ac:dyDescent="0.25">
      <c r="A434" s="99">
        <v>5504</v>
      </c>
      <c r="B434" s="2">
        <v>2750</v>
      </c>
      <c r="C434"/>
    </row>
    <row r="435" spans="1:3" x14ac:dyDescent="0.25">
      <c r="A435" s="99">
        <v>5511</v>
      </c>
      <c r="B435" s="2">
        <v>57085.4</v>
      </c>
      <c r="C435"/>
    </row>
    <row r="436" spans="1:3" x14ac:dyDescent="0.25">
      <c r="A436" s="99">
        <v>5513</v>
      </c>
      <c r="B436" s="2">
        <v>7584</v>
      </c>
      <c r="C436"/>
    </row>
    <row r="437" spans="1:3" x14ac:dyDescent="0.25">
      <c r="A437" s="99">
        <v>5514</v>
      </c>
      <c r="B437" s="2">
        <v>1670</v>
      </c>
      <c r="C437"/>
    </row>
    <row r="438" spans="1:3" x14ac:dyDescent="0.25">
      <c r="A438" s="99">
        <v>5515</v>
      </c>
      <c r="B438" s="2">
        <v>1400</v>
      </c>
      <c r="C438"/>
    </row>
    <row r="439" spans="1:3" x14ac:dyDescent="0.25">
      <c r="A439" s="99">
        <v>5521</v>
      </c>
      <c r="B439" s="2">
        <v>10675</v>
      </c>
      <c r="C439"/>
    </row>
    <row r="440" spans="1:3" x14ac:dyDescent="0.25">
      <c r="A440" s="99">
        <v>5522</v>
      </c>
      <c r="B440" s="2">
        <v>250</v>
      </c>
      <c r="C440"/>
    </row>
    <row r="441" spans="1:3" x14ac:dyDescent="0.25">
      <c r="A441" s="99">
        <v>5524</v>
      </c>
      <c r="B441" s="2">
        <v>8450</v>
      </c>
      <c r="C441"/>
    </row>
    <row r="442" spans="1:3" x14ac:dyDescent="0.25">
      <c r="A442" s="99">
        <v>5525</v>
      </c>
      <c r="B442" s="2">
        <v>6030</v>
      </c>
      <c r="C442"/>
    </row>
    <row r="443" spans="1:3" x14ac:dyDescent="0.25">
      <c r="A443" s="99">
        <v>5540</v>
      </c>
      <c r="B443" s="2">
        <v>760</v>
      </c>
      <c r="C443"/>
    </row>
    <row r="444" spans="1:3" x14ac:dyDescent="0.25">
      <c r="A444" s="5" t="s">
        <v>343</v>
      </c>
      <c r="B444" s="2">
        <v>36189</v>
      </c>
      <c r="C444"/>
    </row>
    <row r="445" spans="1:3" x14ac:dyDescent="0.25">
      <c r="A445" s="6" t="s">
        <v>344</v>
      </c>
      <c r="B445" s="2">
        <v>36189</v>
      </c>
      <c r="C445"/>
    </row>
    <row r="446" spans="1:3" x14ac:dyDescent="0.25">
      <c r="A446" s="99">
        <v>5500</v>
      </c>
      <c r="B446" s="2">
        <v>1530</v>
      </c>
      <c r="C446"/>
    </row>
    <row r="447" spans="1:3" x14ac:dyDescent="0.25">
      <c r="A447" s="99">
        <v>5504</v>
      </c>
      <c r="B447" s="2">
        <v>800</v>
      </c>
      <c r="C447"/>
    </row>
    <row r="448" spans="1:3" x14ac:dyDescent="0.25">
      <c r="A448" s="99">
        <v>5511</v>
      </c>
      <c r="B448" s="2">
        <v>13980</v>
      </c>
      <c r="C448"/>
    </row>
    <row r="449" spans="1:3" x14ac:dyDescent="0.25">
      <c r="A449" s="99">
        <v>5513</v>
      </c>
      <c r="B449" s="2">
        <v>11308</v>
      </c>
      <c r="C449"/>
    </row>
    <row r="450" spans="1:3" x14ac:dyDescent="0.25">
      <c r="A450" s="99">
        <v>5514</v>
      </c>
      <c r="B450" s="2">
        <v>900</v>
      </c>
      <c r="C450"/>
    </row>
    <row r="451" spans="1:3" x14ac:dyDescent="0.25">
      <c r="A451" s="99">
        <v>5515</v>
      </c>
      <c r="B451" s="2">
        <v>500</v>
      </c>
      <c r="C451"/>
    </row>
    <row r="452" spans="1:3" x14ac:dyDescent="0.25">
      <c r="A452" s="99">
        <v>5521</v>
      </c>
      <c r="B452" s="2">
        <v>2275</v>
      </c>
      <c r="C452"/>
    </row>
    <row r="453" spans="1:3" x14ac:dyDescent="0.25">
      <c r="A453" s="99">
        <v>5522</v>
      </c>
      <c r="B453" s="2">
        <v>150</v>
      </c>
      <c r="C453"/>
    </row>
    <row r="454" spans="1:3" x14ac:dyDescent="0.25">
      <c r="A454" s="99">
        <v>5524</v>
      </c>
      <c r="B454" s="2">
        <v>3801</v>
      </c>
      <c r="C454"/>
    </row>
    <row r="455" spans="1:3" x14ac:dyDescent="0.25">
      <c r="A455" s="99">
        <v>5525</v>
      </c>
      <c r="B455" s="2">
        <v>945</v>
      </c>
      <c r="C455"/>
    </row>
    <row r="456" spans="1:3" x14ac:dyDescent="0.25">
      <c r="A456" s="5" t="s">
        <v>345</v>
      </c>
      <c r="B456" s="2">
        <v>448169</v>
      </c>
      <c r="C456"/>
    </row>
    <row r="457" spans="1:3" x14ac:dyDescent="0.25">
      <c r="A457" s="6" t="s">
        <v>346</v>
      </c>
      <c r="B457" s="2">
        <v>448169</v>
      </c>
      <c r="C457"/>
    </row>
    <row r="458" spans="1:3" x14ac:dyDescent="0.25">
      <c r="A458" s="99">
        <v>5500</v>
      </c>
      <c r="B458" s="2">
        <v>14480</v>
      </c>
      <c r="C458"/>
    </row>
    <row r="459" spans="1:3" x14ac:dyDescent="0.25">
      <c r="A459" s="99">
        <v>5504</v>
      </c>
      <c r="B459" s="2">
        <v>7836</v>
      </c>
      <c r="C459"/>
    </row>
    <row r="460" spans="1:3" x14ac:dyDescent="0.25">
      <c r="A460" s="99">
        <v>5511</v>
      </c>
      <c r="B460" s="2">
        <v>193157</v>
      </c>
      <c r="C460"/>
    </row>
    <row r="461" spans="1:3" x14ac:dyDescent="0.25">
      <c r="A461" s="99">
        <v>5513</v>
      </c>
      <c r="B461" s="2">
        <v>22500</v>
      </c>
      <c r="C461"/>
    </row>
    <row r="462" spans="1:3" x14ac:dyDescent="0.25">
      <c r="A462" s="99">
        <v>5514</v>
      </c>
      <c r="B462" s="2">
        <v>8000</v>
      </c>
      <c r="C462"/>
    </row>
    <row r="463" spans="1:3" x14ac:dyDescent="0.25">
      <c r="A463" s="99">
        <v>5515</v>
      </c>
      <c r="B463" s="2">
        <v>34000</v>
      </c>
      <c r="C463"/>
    </row>
    <row r="464" spans="1:3" x14ac:dyDescent="0.25">
      <c r="A464" s="99">
        <v>5521</v>
      </c>
      <c r="B464" s="2">
        <v>70525</v>
      </c>
      <c r="C464"/>
    </row>
    <row r="465" spans="1:3" x14ac:dyDescent="0.25">
      <c r="A465" s="99">
        <v>5522</v>
      </c>
      <c r="B465" s="2">
        <v>1500</v>
      </c>
      <c r="C465"/>
    </row>
    <row r="466" spans="1:3" x14ac:dyDescent="0.25">
      <c r="A466" s="99">
        <v>5524</v>
      </c>
      <c r="B466" s="2">
        <v>79671</v>
      </c>
      <c r="C466"/>
    </row>
    <row r="467" spans="1:3" x14ac:dyDescent="0.25">
      <c r="A467" s="99">
        <v>5525</v>
      </c>
      <c r="B467" s="2">
        <v>16500</v>
      </c>
      <c r="C467"/>
    </row>
    <row r="468" spans="1:3" x14ac:dyDescent="0.25">
      <c r="A468" s="5" t="s">
        <v>347</v>
      </c>
      <c r="B468" s="2">
        <v>87579</v>
      </c>
      <c r="C468"/>
    </row>
    <row r="469" spans="1:3" x14ac:dyDescent="0.25">
      <c r="A469" s="6" t="s">
        <v>339</v>
      </c>
      <c r="B469" s="2">
        <v>87579</v>
      </c>
      <c r="C469"/>
    </row>
    <row r="470" spans="1:3" x14ac:dyDescent="0.25">
      <c r="A470" s="99">
        <v>5524</v>
      </c>
      <c r="B470" s="2">
        <v>87579</v>
      </c>
      <c r="C470"/>
    </row>
    <row r="471" spans="1:3" x14ac:dyDescent="0.25">
      <c r="A471" s="5" t="s">
        <v>348</v>
      </c>
      <c r="B471" s="2">
        <v>40977</v>
      </c>
      <c r="C471"/>
    </row>
    <row r="472" spans="1:3" x14ac:dyDescent="0.25">
      <c r="A472" s="6" t="s">
        <v>349</v>
      </c>
      <c r="B472" s="2">
        <v>40977</v>
      </c>
      <c r="C472"/>
    </row>
    <row r="473" spans="1:3" x14ac:dyDescent="0.25">
      <c r="A473" s="99">
        <v>5500</v>
      </c>
      <c r="B473" s="2">
        <v>1200</v>
      </c>
      <c r="C473"/>
    </row>
    <row r="474" spans="1:3" x14ac:dyDescent="0.25">
      <c r="A474" s="99">
        <v>5504</v>
      </c>
      <c r="B474" s="2">
        <v>1500</v>
      </c>
      <c r="C474"/>
    </row>
    <row r="475" spans="1:3" x14ac:dyDescent="0.25">
      <c r="A475" s="99">
        <v>5511</v>
      </c>
      <c r="B475" s="2">
        <v>23700</v>
      </c>
      <c r="C475"/>
    </row>
    <row r="476" spans="1:3" x14ac:dyDescent="0.25">
      <c r="A476" s="99">
        <v>5513</v>
      </c>
      <c r="B476" s="2">
        <v>2850</v>
      </c>
      <c r="C476"/>
    </row>
    <row r="477" spans="1:3" x14ac:dyDescent="0.25">
      <c r="A477" s="99">
        <v>5514</v>
      </c>
      <c r="B477" s="2">
        <v>2500</v>
      </c>
      <c r="C477"/>
    </row>
    <row r="478" spans="1:3" x14ac:dyDescent="0.25">
      <c r="A478" s="99">
        <v>5515</v>
      </c>
      <c r="B478" s="2">
        <v>600</v>
      </c>
      <c r="C478"/>
    </row>
    <row r="479" spans="1:3" x14ac:dyDescent="0.25">
      <c r="A479" s="99">
        <v>5521</v>
      </c>
      <c r="B479" s="2">
        <v>5000</v>
      </c>
      <c r="C479"/>
    </row>
    <row r="480" spans="1:3" x14ac:dyDescent="0.25">
      <c r="A480" s="99">
        <v>5522</v>
      </c>
      <c r="B480" s="2">
        <v>100</v>
      </c>
      <c r="C480"/>
    </row>
    <row r="481" spans="1:3" x14ac:dyDescent="0.25">
      <c r="A481" s="99">
        <v>5524</v>
      </c>
      <c r="B481" s="2">
        <v>2527</v>
      </c>
      <c r="C481"/>
    </row>
    <row r="482" spans="1:3" x14ac:dyDescent="0.25">
      <c r="A482" s="99">
        <v>5525</v>
      </c>
      <c r="B482" s="2">
        <v>1000</v>
      </c>
      <c r="C482"/>
    </row>
    <row r="483" spans="1:3" x14ac:dyDescent="0.25">
      <c r="A483" s="5" t="s">
        <v>351</v>
      </c>
      <c r="B483" s="2">
        <v>64104.399999999994</v>
      </c>
      <c r="C483"/>
    </row>
    <row r="484" spans="1:3" x14ac:dyDescent="0.25">
      <c r="A484" s="6" t="s">
        <v>339</v>
      </c>
      <c r="B484" s="2">
        <v>64104.399999999994</v>
      </c>
      <c r="C484"/>
    </row>
    <row r="485" spans="1:3" x14ac:dyDescent="0.25">
      <c r="A485" s="99">
        <v>5524</v>
      </c>
      <c r="B485" s="2">
        <v>64104.399999999994</v>
      </c>
      <c r="C485"/>
    </row>
    <row r="486" spans="1:3" x14ac:dyDescent="0.25">
      <c r="A486" s="5" t="s">
        <v>51</v>
      </c>
      <c r="B486" s="2">
        <v>68120</v>
      </c>
      <c r="C486"/>
    </row>
    <row r="487" spans="1:3" x14ac:dyDescent="0.25">
      <c r="A487" s="6" t="s">
        <v>52</v>
      </c>
      <c r="B487" s="2">
        <v>68120</v>
      </c>
      <c r="C487"/>
    </row>
    <row r="488" spans="1:3" x14ac:dyDescent="0.25">
      <c r="A488" s="99">
        <v>5524</v>
      </c>
      <c r="B488" s="2">
        <v>35000</v>
      </c>
      <c r="C488"/>
    </row>
    <row r="489" spans="1:3" x14ac:dyDescent="0.25">
      <c r="A489" s="99">
        <v>5540</v>
      </c>
      <c r="B489" s="2">
        <v>33120</v>
      </c>
      <c r="C489"/>
    </row>
    <row r="490" spans="1:3" x14ac:dyDescent="0.25">
      <c r="A490" s="5" t="s">
        <v>53</v>
      </c>
      <c r="B490" s="2">
        <v>194072</v>
      </c>
      <c r="C490"/>
    </row>
    <row r="491" spans="1:3" x14ac:dyDescent="0.25">
      <c r="A491" s="6" t="s">
        <v>54</v>
      </c>
      <c r="B491" s="2">
        <v>194072</v>
      </c>
      <c r="C491"/>
    </row>
    <row r="492" spans="1:3" x14ac:dyDescent="0.25">
      <c r="A492" s="99">
        <v>4134</v>
      </c>
      <c r="B492" s="2">
        <v>123000</v>
      </c>
      <c r="C492"/>
    </row>
    <row r="493" spans="1:3" x14ac:dyDescent="0.25">
      <c r="A493" s="99">
        <v>5500</v>
      </c>
      <c r="B493" s="2">
        <v>120</v>
      </c>
      <c r="C493"/>
    </row>
    <row r="494" spans="1:3" x14ac:dyDescent="0.25">
      <c r="A494" s="99">
        <v>5513</v>
      </c>
      <c r="B494" s="2">
        <v>70252</v>
      </c>
      <c r="C494"/>
    </row>
    <row r="495" spans="1:3" x14ac:dyDescent="0.25">
      <c r="A495" s="99">
        <v>5515</v>
      </c>
      <c r="B495" s="2">
        <v>300</v>
      </c>
      <c r="C495"/>
    </row>
    <row r="496" spans="1:3" x14ac:dyDescent="0.25">
      <c r="A496" s="99">
        <v>5540</v>
      </c>
      <c r="B496" s="2">
        <v>400</v>
      </c>
      <c r="C496"/>
    </row>
    <row r="497" spans="1:3" x14ac:dyDescent="0.25">
      <c r="A497" s="5" t="s">
        <v>353</v>
      </c>
      <c r="B497" s="2">
        <v>11404</v>
      </c>
      <c r="C497"/>
    </row>
    <row r="498" spans="1:3" x14ac:dyDescent="0.25">
      <c r="A498" s="6" t="s">
        <v>354</v>
      </c>
      <c r="B498" s="2">
        <v>11404</v>
      </c>
      <c r="C498"/>
    </row>
    <row r="499" spans="1:3" x14ac:dyDescent="0.25">
      <c r="A499" s="99">
        <v>5500</v>
      </c>
      <c r="B499" s="2">
        <v>736</v>
      </c>
      <c r="C499"/>
    </row>
    <row r="500" spans="1:3" x14ac:dyDescent="0.25">
      <c r="A500" s="99">
        <v>5511</v>
      </c>
      <c r="B500" s="2">
        <v>4316</v>
      </c>
      <c r="C500"/>
    </row>
    <row r="501" spans="1:3" x14ac:dyDescent="0.25">
      <c r="A501" s="99">
        <v>5513</v>
      </c>
      <c r="B501" s="2">
        <v>352</v>
      </c>
      <c r="C501"/>
    </row>
    <row r="502" spans="1:3" x14ac:dyDescent="0.25">
      <c r="A502" s="99">
        <v>5515</v>
      </c>
      <c r="B502" s="2">
        <v>1550</v>
      </c>
      <c r="C502"/>
    </row>
    <row r="503" spans="1:3" x14ac:dyDescent="0.25">
      <c r="A503" s="99">
        <v>5521</v>
      </c>
      <c r="B503" s="2">
        <v>3600</v>
      </c>
      <c r="C503"/>
    </row>
    <row r="504" spans="1:3" x14ac:dyDescent="0.25">
      <c r="A504" s="99">
        <v>5522</v>
      </c>
      <c r="B504" s="2">
        <v>150</v>
      </c>
      <c r="C504"/>
    </row>
    <row r="505" spans="1:3" x14ac:dyDescent="0.25">
      <c r="A505" s="99">
        <v>5524</v>
      </c>
      <c r="B505" s="2">
        <v>300</v>
      </c>
      <c r="C505"/>
    </row>
    <row r="506" spans="1:3" x14ac:dyDescent="0.25">
      <c r="A506" s="99">
        <v>5525</v>
      </c>
      <c r="B506" s="2">
        <v>400</v>
      </c>
      <c r="C506"/>
    </row>
    <row r="507" spans="1:3" x14ac:dyDescent="0.25">
      <c r="A507" s="5" t="s">
        <v>357</v>
      </c>
      <c r="B507" s="2">
        <v>42600</v>
      </c>
      <c r="C507"/>
    </row>
    <row r="508" spans="1:3" x14ac:dyDescent="0.25">
      <c r="A508" s="6" t="s">
        <v>358</v>
      </c>
      <c r="B508" s="2">
        <v>42600</v>
      </c>
      <c r="C508"/>
    </row>
    <row r="509" spans="1:3" x14ac:dyDescent="0.25">
      <c r="A509" s="99">
        <v>5525</v>
      </c>
      <c r="B509" s="2">
        <v>42600</v>
      </c>
      <c r="C509"/>
    </row>
    <row r="510" spans="1:3" x14ac:dyDescent="0.25">
      <c r="A510" s="5" t="s">
        <v>359</v>
      </c>
      <c r="B510" s="2">
        <v>13140</v>
      </c>
      <c r="C510"/>
    </row>
    <row r="511" spans="1:3" x14ac:dyDescent="0.25">
      <c r="A511" s="6" t="s">
        <v>360</v>
      </c>
      <c r="B511" s="2">
        <v>13140</v>
      </c>
      <c r="C511"/>
    </row>
    <row r="512" spans="1:3" x14ac:dyDescent="0.25">
      <c r="A512" s="99">
        <v>5500</v>
      </c>
      <c r="B512" s="2">
        <v>540</v>
      </c>
      <c r="C512"/>
    </row>
    <row r="513" spans="1:3" x14ac:dyDescent="0.25">
      <c r="A513" s="99">
        <v>5504</v>
      </c>
      <c r="B513" s="2">
        <v>3000</v>
      </c>
      <c r="C513"/>
    </row>
    <row r="514" spans="1:3" x14ac:dyDescent="0.25">
      <c r="A514" s="99">
        <v>5513</v>
      </c>
      <c r="B514" s="2">
        <v>8300</v>
      </c>
      <c r="C514"/>
    </row>
    <row r="515" spans="1:3" x14ac:dyDescent="0.25">
      <c r="A515" s="99">
        <v>5515</v>
      </c>
      <c r="B515" s="2">
        <v>300</v>
      </c>
      <c r="C515"/>
    </row>
    <row r="516" spans="1:3" x14ac:dyDescent="0.25">
      <c r="A516" s="99">
        <v>5524</v>
      </c>
      <c r="B516" s="2">
        <v>1000</v>
      </c>
      <c r="C516"/>
    </row>
    <row r="517" spans="1:3" x14ac:dyDescent="0.25">
      <c r="A517" s="5" t="s">
        <v>1577</v>
      </c>
      <c r="B517" s="2">
        <v>20000</v>
      </c>
      <c r="C517"/>
    </row>
    <row r="518" spans="1:3" x14ac:dyDescent="0.25">
      <c r="A518" s="6" t="s">
        <v>1950</v>
      </c>
      <c r="B518" s="2">
        <v>20000</v>
      </c>
      <c r="C518"/>
    </row>
    <row r="519" spans="1:3" x14ac:dyDescent="0.25">
      <c r="A519" s="99">
        <v>5504</v>
      </c>
      <c r="B519" s="2">
        <v>20000</v>
      </c>
      <c r="C519"/>
    </row>
    <row r="520" spans="1:3" x14ac:dyDescent="0.25">
      <c r="A520" s="5" t="s">
        <v>721</v>
      </c>
      <c r="B520" s="2">
        <v>8250</v>
      </c>
      <c r="C520"/>
    </row>
    <row r="521" spans="1:3" x14ac:dyDescent="0.25">
      <c r="A521" s="6" t="s">
        <v>722</v>
      </c>
      <c r="B521" s="2">
        <v>8250</v>
      </c>
      <c r="C521"/>
    </row>
    <row r="522" spans="1:3" x14ac:dyDescent="0.25">
      <c r="A522" s="99">
        <v>4500</v>
      </c>
      <c r="B522" s="2">
        <v>8250</v>
      </c>
      <c r="C522"/>
    </row>
    <row r="523" spans="1:3" x14ac:dyDescent="0.25">
      <c r="A523" s="5" t="s">
        <v>55</v>
      </c>
      <c r="B523" s="2">
        <v>24900</v>
      </c>
      <c r="C523"/>
    </row>
    <row r="524" spans="1:3" x14ac:dyDescent="0.25">
      <c r="A524" s="6" t="s">
        <v>56</v>
      </c>
      <c r="B524" s="2">
        <v>24900</v>
      </c>
      <c r="C524"/>
    </row>
    <row r="525" spans="1:3" x14ac:dyDescent="0.25">
      <c r="A525" s="99">
        <v>500</v>
      </c>
      <c r="B525" s="2">
        <v>8368</v>
      </c>
      <c r="C525"/>
    </row>
    <row r="526" spans="1:3" x14ac:dyDescent="0.25">
      <c r="A526" s="99">
        <v>4500</v>
      </c>
      <c r="B526" s="2">
        <v>6300</v>
      </c>
      <c r="C526"/>
    </row>
    <row r="527" spans="1:3" x14ac:dyDescent="0.25">
      <c r="A527" s="99">
        <v>5513</v>
      </c>
      <c r="B527" s="2">
        <v>1632</v>
      </c>
      <c r="C527"/>
    </row>
    <row r="528" spans="1:3" x14ac:dyDescent="0.25">
      <c r="A528" s="99">
        <v>45028</v>
      </c>
      <c r="B528" s="2">
        <v>8600</v>
      </c>
      <c r="C528"/>
    </row>
    <row r="529" spans="1:3" x14ac:dyDescent="0.25">
      <c r="A529" s="5" t="s">
        <v>361</v>
      </c>
      <c r="B529" s="2">
        <v>11000</v>
      </c>
      <c r="C529"/>
    </row>
    <row r="530" spans="1:3" x14ac:dyDescent="0.25">
      <c r="A530" s="6" t="s">
        <v>735</v>
      </c>
      <c r="B530" s="2">
        <v>11000</v>
      </c>
      <c r="C530"/>
    </row>
    <row r="531" spans="1:3" x14ac:dyDescent="0.25">
      <c r="A531" s="99">
        <v>41337</v>
      </c>
      <c r="B531" s="2">
        <v>11000</v>
      </c>
      <c r="C531"/>
    </row>
    <row r="532" spans="1:3" x14ac:dyDescent="0.25">
      <c r="A532" s="5" t="s">
        <v>362</v>
      </c>
      <c r="B532" s="2">
        <v>45500</v>
      </c>
      <c r="C532"/>
    </row>
    <row r="533" spans="1:3" x14ac:dyDescent="0.25">
      <c r="A533" s="6" t="s">
        <v>363</v>
      </c>
      <c r="B533" s="2">
        <v>45500</v>
      </c>
      <c r="C533"/>
    </row>
    <row r="534" spans="1:3" x14ac:dyDescent="0.25">
      <c r="A534" s="99">
        <v>41339</v>
      </c>
      <c r="B534" s="2">
        <v>45500</v>
      </c>
      <c r="C534"/>
    </row>
    <row r="535" spans="1:3" x14ac:dyDescent="0.25">
      <c r="A535" s="5" t="s">
        <v>364</v>
      </c>
      <c r="B535" s="2">
        <v>161600</v>
      </c>
      <c r="C535"/>
    </row>
    <row r="536" spans="1:3" x14ac:dyDescent="0.25">
      <c r="A536" s="6" t="s">
        <v>365</v>
      </c>
      <c r="B536" s="2">
        <v>161600</v>
      </c>
      <c r="C536"/>
    </row>
    <row r="537" spans="1:3" x14ac:dyDescent="0.25">
      <c r="A537" s="99">
        <v>4137</v>
      </c>
      <c r="B537" s="2">
        <v>51600</v>
      </c>
      <c r="C537"/>
    </row>
    <row r="538" spans="1:3" x14ac:dyDescent="0.25">
      <c r="A538" s="99">
        <v>41332</v>
      </c>
      <c r="B538" s="2">
        <v>110000</v>
      </c>
      <c r="C538"/>
    </row>
    <row r="539" spans="1:3" x14ac:dyDescent="0.25">
      <c r="A539" s="5" t="s">
        <v>366</v>
      </c>
      <c r="B539" s="2">
        <v>21400</v>
      </c>
      <c r="C539"/>
    </row>
    <row r="540" spans="1:3" x14ac:dyDescent="0.25">
      <c r="A540" s="6" t="s">
        <v>732</v>
      </c>
      <c r="B540" s="2">
        <v>21400</v>
      </c>
      <c r="C540"/>
    </row>
    <row r="541" spans="1:3" x14ac:dyDescent="0.25">
      <c r="A541" s="99">
        <v>5511</v>
      </c>
      <c r="B541" s="2">
        <v>5000</v>
      </c>
      <c r="C541"/>
    </row>
    <row r="542" spans="1:3" x14ac:dyDescent="0.25">
      <c r="A542" s="99">
        <v>5526</v>
      </c>
      <c r="B542" s="2">
        <v>4800</v>
      </c>
      <c r="C542"/>
    </row>
    <row r="543" spans="1:3" x14ac:dyDescent="0.25">
      <c r="A543" s="99">
        <v>41339</v>
      </c>
      <c r="B543" s="2">
        <v>11600</v>
      </c>
      <c r="C543"/>
    </row>
    <row r="544" spans="1:3" x14ac:dyDescent="0.25">
      <c r="A544" s="5" t="s">
        <v>369</v>
      </c>
      <c r="B544" s="2">
        <v>3000</v>
      </c>
      <c r="C544"/>
    </row>
    <row r="545" spans="1:3" x14ac:dyDescent="0.25">
      <c r="A545" s="6" t="s">
        <v>738</v>
      </c>
      <c r="B545" s="2">
        <v>3000</v>
      </c>
      <c r="C545"/>
    </row>
    <row r="546" spans="1:3" x14ac:dyDescent="0.25">
      <c r="A546" s="99">
        <v>500</v>
      </c>
      <c r="B546" s="2">
        <v>3000</v>
      </c>
      <c r="C546"/>
    </row>
    <row r="547" spans="1:3" x14ac:dyDescent="0.25">
      <c r="A547" s="5" t="s">
        <v>370</v>
      </c>
      <c r="B547" s="2">
        <v>21383</v>
      </c>
      <c r="C547"/>
    </row>
    <row r="548" spans="1:3" x14ac:dyDescent="0.25">
      <c r="A548" s="6" t="s">
        <v>371</v>
      </c>
      <c r="B548" s="2">
        <v>21383</v>
      </c>
      <c r="C548"/>
    </row>
    <row r="549" spans="1:3" x14ac:dyDescent="0.25">
      <c r="A549" s="99">
        <v>500</v>
      </c>
      <c r="B549" s="2">
        <v>4270</v>
      </c>
      <c r="C549"/>
    </row>
    <row r="550" spans="1:3" x14ac:dyDescent="0.25">
      <c r="A550" s="99">
        <v>41332</v>
      </c>
      <c r="B550" s="2">
        <v>17113</v>
      </c>
      <c r="C550"/>
    </row>
    <row r="551" spans="1:3" x14ac:dyDescent="0.25">
      <c r="A551" s="5" t="s">
        <v>372</v>
      </c>
      <c r="B551" s="2">
        <v>50095</v>
      </c>
      <c r="C551"/>
    </row>
    <row r="552" spans="1:3" x14ac:dyDescent="0.25">
      <c r="A552" s="6" t="s">
        <v>373</v>
      </c>
      <c r="B552" s="2">
        <v>50095</v>
      </c>
      <c r="C552"/>
    </row>
    <row r="553" spans="1:3" x14ac:dyDescent="0.25">
      <c r="A553" s="99">
        <v>5500</v>
      </c>
      <c r="B553" s="2">
        <v>2400</v>
      </c>
      <c r="C553"/>
    </row>
    <row r="554" spans="1:3" x14ac:dyDescent="0.25">
      <c r="A554" s="99">
        <v>5504</v>
      </c>
      <c r="B554" s="2">
        <v>200</v>
      </c>
      <c r="C554"/>
    </row>
    <row r="555" spans="1:3" x14ac:dyDescent="0.25">
      <c r="A555" s="99">
        <v>5511</v>
      </c>
      <c r="B555" s="2">
        <v>18378</v>
      </c>
      <c r="C555"/>
    </row>
    <row r="556" spans="1:3" x14ac:dyDescent="0.25">
      <c r="A556" s="99">
        <v>5513</v>
      </c>
      <c r="B556" s="2">
        <v>1232</v>
      </c>
      <c r="C556"/>
    </row>
    <row r="557" spans="1:3" x14ac:dyDescent="0.25">
      <c r="A557" s="99">
        <v>5514</v>
      </c>
      <c r="B557" s="2">
        <v>1100</v>
      </c>
      <c r="C557"/>
    </row>
    <row r="558" spans="1:3" x14ac:dyDescent="0.25">
      <c r="A558" s="99">
        <v>5521</v>
      </c>
      <c r="B558" s="2">
        <v>19535</v>
      </c>
      <c r="C558"/>
    </row>
    <row r="559" spans="1:3" x14ac:dyDescent="0.25">
      <c r="A559" s="99">
        <v>5522</v>
      </c>
      <c r="B559" s="2">
        <v>5310</v>
      </c>
      <c r="C559"/>
    </row>
    <row r="560" spans="1:3" x14ac:dyDescent="0.25">
      <c r="A560" s="99">
        <v>5525</v>
      </c>
      <c r="B560" s="2">
        <v>1000</v>
      </c>
      <c r="C560"/>
    </row>
    <row r="561" spans="1:3" x14ac:dyDescent="0.25">
      <c r="A561" s="99">
        <v>5540</v>
      </c>
      <c r="B561" s="2">
        <v>940</v>
      </c>
      <c r="C561"/>
    </row>
    <row r="562" spans="1:3" x14ac:dyDescent="0.25">
      <c r="A562" s="5" t="s">
        <v>374</v>
      </c>
      <c r="B562" s="2">
        <v>-141238</v>
      </c>
      <c r="C562"/>
    </row>
    <row r="563" spans="1:3" x14ac:dyDescent="0.25">
      <c r="A563" s="6" t="s">
        <v>375</v>
      </c>
      <c r="B563" s="2">
        <v>-141238</v>
      </c>
      <c r="C563"/>
    </row>
    <row r="564" spans="1:3" x14ac:dyDescent="0.25">
      <c r="A564" s="99">
        <v>5500</v>
      </c>
      <c r="B564" s="2">
        <v>490</v>
      </c>
      <c r="C564"/>
    </row>
    <row r="565" spans="1:3" x14ac:dyDescent="0.25">
      <c r="A565" s="99">
        <v>5504</v>
      </c>
      <c r="B565" s="2">
        <v>650</v>
      </c>
      <c r="C565"/>
    </row>
    <row r="566" spans="1:3" x14ac:dyDescent="0.25">
      <c r="A566" s="99">
        <v>5511</v>
      </c>
      <c r="B566" s="2">
        <v>25480</v>
      </c>
      <c r="C566"/>
    </row>
    <row r="567" spans="1:3" x14ac:dyDescent="0.25">
      <c r="A567" s="99">
        <v>5513</v>
      </c>
      <c r="B567" s="2">
        <v>1650</v>
      </c>
      <c r="C567"/>
    </row>
    <row r="568" spans="1:3" x14ac:dyDescent="0.25">
      <c r="A568" s="99">
        <v>5514</v>
      </c>
      <c r="B568" s="2">
        <v>750</v>
      </c>
      <c r="C568"/>
    </row>
    <row r="569" spans="1:3" x14ac:dyDescent="0.25">
      <c r="A569" s="99">
        <v>5515</v>
      </c>
      <c r="B569" s="2">
        <v>2130</v>
      </c>
      <c r="C569"/>
    </row>
    <row r="570" spans="1:3" x14ac:dyDescent="0.25">
      <c r="A570" s="99">
        <v>5521</v>
      </c>
      <c r="B570" s="2">
        <v>24012</v>
      </c>
      <c r="C570"/>
    </row>
    <row r="571" spans="1:3" x14ac:dyDescent="0.25">
      <c r="A571" s="99">
        <v>5522</v>
      </c>
      <c r="B571" s="2">
        <v>200</v>
      </c>
      <c r="C571"/>
    </row>
    <row r="572" spans="1:3" x14ac:dyDescent="0.25">
      <c r="A572" s="99">
        <v>5525</v>
      </c>
      <c r="B572" s="2">
        <v>1600</v>
      </c>
      <c r="C572"/>
    </row>
    <row r="573" spans="1:3" x14ac:dyDescent="0.25">
      <c r="A573" s="99">
        <v>5526</v>
      </c>
      <c r="B573" s="2">
        <v>1300</v>
      </c>
      <c r="C573"/>
    </row>
    <row r="574" spans="1:3" x14ac:dyDescent="0.25">
      <c r="A574" s="99">
        <v>5532</v>
      </c>
      <c r="B574" s="2">
        <v>500</v>
      </c>
      <c r="C574"/>
    </row>
    <row r="575" spans="1:3" x14ac:dyDescent="0.25">
      <c r="A575" s="99">
        <v>20385</v>
      </c>
      <c r="B575" s="2">
        <v>-200000</v>
      </c>
      <c r="C575"/>
    </row>
    <row r="576" spans="1:3" x14ac:dyDescent="0.25">
      <c r="A576" s="5" t="s">
        <v>376</v>
      </c>
      <c r="B576" s="2">
        <v>70000</v>
      </c>
      <c r="C576"/>
    </row>
    <row r="577" spans="1:3" x14ac:dyDescent="0.25">
      <c r="A577" s="6" t="s">
        <v>377</v>
      </c>
      <c r="B577" s="2">
        <v>70000</v>
      </c>
      <c r="C577"/>
    </row>
    <row r="578" spans="1:3" x14ac:dyDescent="0.25">
      <c r="A578" s="99">
        <v>5526</v>
      </c>
      <c r="B578" s="2">
        <v>70000</v>
      </c>
      <c r="C578"/>
    </row>
    <row r="579" spans="1:3" x14ac:dyDescent="0.25">
      <c r="A579" s="5" t="s">
        <v>378</v>
      </c>
      <c r="B579" s="2">
        <v>4090</v>
      </c>
      <c r="C579"/>
    </row>
    <row r="580" spans="1:3" x14ac:dyDescent="0.25">
      <c r="A580" s="6" t="s">
        <v>379</v>
      </c>
      <c r="B580" s="2">
        <v>4090</v>
      </c>
      <c r="C580"/>
    </row>
    <row r="581" spans="1:3" x14ac:dyDescent="0.25">
      <c r="A581" s="99">
        <v>5500</v>
      </c>
      <c r="B581" s="2">
        <v>290</v>
      </c>
      <c r="C581"/>
    </row>
    <row r="582" spans="1:3" x14ac:dyDescent="0.25">
      <c r="A582" s="99">
        <v>5504</v>
      </c>
      <c r="B582" s="2">
        <v>50</v>
      </c>
      <c r="C582"/>
    </row>
    <row r="583" spans="1:3" x14ac:dyDescent="0.25">
      <c r="A583" s="99">
        <v>5511</v>
      </c>
      <c r="B583" s="2">
        <v>200</v>
      </c>
      <c r="C583"/>
    </row>
    <row r="584" spans="1:3" x14ac:dyDescent="0.25">
      <c r="A584" s="99">
        <v>5513</v>
      </c>
      <c r="B584" s="2">
        <v>760</v>
      </c>
      <c r="C584"/>
    </row>
    <row r="585" spans="1:3" x14ac:dyDescent="0.25">
      <c r="A585" s="99">
        <v>5525</v>
      </c>
      <c r="B585" s="2">
        <v>2790</v>
      </c>
      <c r="C585"/>
    </row>
    <row r="586" spans="1:3" x14ac:dyDescent="0.25">
      <c r="A586" s="5" t="s">
        <v>380</v>
      </c>
      <c r="B586" s="2">
        <v>2500</v>
      </c>
      <c r="C586"/>
    </row>
    <row r="587" spans="1:3" x14ac:dyDescent="0.25">
      <c r="A587" s="6" t="s">
        <v>365</v>
      </c>
      <c r="B587" s="2">
        <v>2500</v>
      </c>
      <c r="C587"/>
    </row>
    <row r="588" spans="1:3" x14ac:dyDescent="0.25">
      <c r="A588" s="99">
        <v>5504</v>
      </c>
      <c r="B588" s="2">
        <v>600</v>
      </c>
      <c r="C588"/>
    </row>
    <row r="589" spans="1:3" x14ac:dyDescent="0.25">
      <c r="A589" s="99">
        <v>5513</v>
      </c>
      <c r="B589" s="2">
        <v>1000</v>
      </c>
      <c r="C589"/>
    </row>
    <row r="590" spans="1:3" x14ac:dyDescent="0.25">
      <c r="A590" s="99">
        <v>5515</v>
      </c>
      <c r="B590" s="2">
        <v>900</v>
      </c>
      <c r="C590"/>
    </row>
    <row r="591" spans="1:3" x14ac:dyDescent="0.25">
      <c r="A591" s="5" t="s">
        <v>381</v>
      </c>
      <c r="B591" s="2">
        <v>35500</v>
      </c>
      <c r="C591"/>
    </row>
    <row r="592" spans="1:3" x14ac:dyDescent="0.25">
      <c r="A592" s="6" t="s">
        <v>687</v>
      </c>
      <c r="B592" s="2">
        <v>35500</v>
      </c>
      <c r="C592"/>
    </row>
    <row r="593" spans="1:3" x14ac:dyDescent="0.25">
      <c r="A593" s="99">
        <v>41380</v>
      </c>
      <c r="B593" s="2">
        <v>35500</v>
      </c>
      <c r="C593"/>
    </row>
    <row r="594" spans="1:3" x14ac:dyDescent="0.25">
      <c r="A594" s="5" t="s">
        <v>382</v>
      </c>
      <c r="B594" s="2">
        <v>9500</v>
      </c>
      <c r="C594"/>
    </row>
    <row r="595" spans="1:3" x14ac:dyDescent="0.25">
      <c r="A595" s="6" t="s">
        <v>383</v>
      </c>
      <c r="B595" s="2">
        <v>9500</v>
      </c>
      <c r="C595"/>
    </row>
    <row r="596" spans="1:3" x14ac:dyDescent="0.25">
      <c r="A596" s="99">
        <v>41380</v>
      </c>
      <c r="B596" s="2">
        <v>9500</v>
      </c>
      <c r="C596"/>
    </row>
    <row r="597" spans="1:3" x14ac:dyDescent="0.25">
      <c r="A597" s="5" t="s">
        <v>698</v>
      </c>
      <c r="B597" s="2">
        <v>3000</v>
      </c>
      <c r="C597"/>
    </row>
    <row r="598" spans="1:3" x14ac:dyDescent="0.25">
      <c r="A598" s="6" t="s">
        <v>699</v>
      </c>
      <c r="B598" s="2">
        <v>3000</v>
      </c>
      <c r="C598"/>
    </row>
    <row r="599" spans="1:3" x14ac:dyDescent="0.25">
      <c r="A599" s="99">
        <v>41380</v>
      </c>
      <c r="B599" s="2">
        <v>3000</v>
      </c>
      <c r="C599"/>
    </row>
    <row r="600" spans="1:3" x14ac:dyDescent="0.25">
      <c r="A600" s="5" t="s">
        <v>384</v>
      </c>
      <c r="B600" s="2">
        <v>120784.5600000001</v>
      </c>
      <c r="C600"/>
    </row>
    <row r="601" spans="1:3" x14ac:dyDescent="0.25">
      <c r="A601" s="6" t="s">
        <v>385</v>
      </c>
      <c r="B601" s="2">
        <v>120784.5600000001</v>
      </c>
      <c r="C601"/>
    </row>
    <row r="602" spans="1:3" x14ac:dyDescent="0.25">
      <c r="A602" s="99">
        <v>5500</v>
      </c>
      <c r="B602" s="2">
        <v>5800</v>
      </c>
      <c r="C602"/>
    </row>
    <row r="603" spans="1:3" x14ac:dyDescent="0.25">
      <c r="A603" s="99">
        <v>5504</v>
      </c>
      <c r="B603" s="2">
        <v>2500</v>
      </c>
      <c r="C603"/>
    </row>
    <row r="604" spans="1:3" x14ac:dyDescent="0.25">
      <c r="A604" s="99">
        <v>5511</v>
      </c>
      <c r="B604" s="2">
        <v>36175</v>
      </c>
      <c r="C604"/>
    </row>
    <row r="605" spans="1:3" x14ac:dyDescent="0.25">
      <c r="A605" s="99">
        <v>5513</v>
      </c>
      <c r="B605" s="2">
        <v>14000</v>
      </c>
      <c r="C605"/>
    </row>
    <row r="606" spans="1:3" x14ac:dyDescent="0.25">
      <c r="A606" s="99">
        <v>5515</v>
      </c>
      <c r="B606" s="2">
        <v>16920</v>
      </c>
      <c r="C606"/>
    </row>
    <row r="607" spans="1:3" x14ac:dyDescent="0.25">
      <c r="A607" s="99">
        <v>5521</v>
      </c>
      <c r="B607" s="2">
        <v>22429.5600000001</v>
      </c>
      <c r="C607"/>
    </row>
    <row r="608" spans="1:3" x14ac:dyDescent="0.25">
      <c r="A608" s="99">
        <v>5522</v>
      </c>
      <c r="B608" s="2">
        <v>7240</v>
      </c>
      <c r="C608"/>
    </row>
    <row r="609" spans="1:3" x14ac:dyDescent="0.25">
      <c r="A609" s="99">
        <v>5523</v>
      </c>
      <c r="B609" s="2">
        <v>5220</v>
      </c>
      <c r="C609"/>
    </row>
    <row r="610" spans="1:3" x14ac:dyDescent="0.25">
      <c r="A610" s="99">
        <v>5524</v>
      </c>
      <c r="B610" s="2">
        <v>960</v>
      </c>
      <c r="C610"/>
    </row>
    <row r="611" spans="1:3" x14ac:dyDescent="0.25">
      <c r="A611" s="99">
        <v>5525</v>
      </c>
      <c r="B611" s="2">
        <v>3240</v>
      </c>
      <c r="C611"/>
    </row>
    <row r="612" spans="1:3" x14ac:dyDescent="0.25">
      <c r="A612" s="99">
        <v>413899</v>
      </c>
      <c r="B612" s="2">
        <v>6300</v>
      </c>
      <c r="C612"/>
    </row>
    <row r="613" spans="1:3" x14ac:dyDescent="0.25">
      <c r="A613" s="5" t="s">
        <v>386</v>
      </c>
      <c r="B613" s="2">
        <v>160220</v>
      </c>
      <c r="C613"/>
    </row>
    <row r="614" spans="1:3" x14ac:dyDescent="0.25">
      <c r="A614" s="6" t="s">
        <v>377</v>
      </c>
      <c r="B614" s="2">
        <v>160220</v>
      </c>
      <c r="C614"/>
    </row>
    <row r="615" spans="1:3" x14ac:dyDescent="0.25">
      <c r="A615" s="99">
        <v>4500</v>
      </c>
      <c r="B615" s="2">
        <v>3000</v>
      </c>
      <c r="C615"/>
    </row>
    <row r="616" spans="1:3" x14ac:dyDescent="0.25">
      <c r="A616" s="99">
        <v>5526</v>
      </c>
      <c r="B616" s="2">
        <v>155420</v>
      </c>
      <c r="C616"/>
    </row>
    <row r="617" spans="1:3" x14ac:dyDescent="0.25">
      <c r="A617" s="99">
        <v>45008</v>
      </c>
      <c r="B617" s="2">
        <v>800</v>
      </c>
      <c r="C617"/>
    </row>
    <row r="618" spans="1:3" x14ac:dyDescent="0.25">
      <c r="A618" s="99">
        <v>413899</v>
      </c>
      <c r="B618" s="2">
        <v>1000</v>
      </c>
      <c r="C618"/>
    </row>
    <row r="619" spans="1:3" x14ac:dyDescent="0.25">
      <c r="A619" s="5" t="s">
        <v>387</v>
      </c>
      <c r="B619" s="2">
        <v>48524</v>
      </c>
      <c r="C619"/>
    </row>
    <row r="620" spans="1:3" x14ac:dyDescent="0.25">
      <c r="A620" s="6" t="s">
        <v>388</v>
      </c>
      <c r="B620" s="2">
        <v>48524</v>
      </c>
      <c r="C620"/>
    </row>
    <row r="621" spans="1:3" x14ac:dyDescent="0.25">
      <c r="A621" s="99">
        <v>41389</v>
      </c>
      <c r="B621" s="2">
        <v>48524</v>
      </c>
      <c r="C621"/>
    </row>
    <row r="622" spans="1:3" x14ac:dyDescent="0.25">
      <c r="A622" s="5" t="s">
        <v>389</v>
      </c>
      <c r="B622" s="2">
        <v>48100</v>
      </c>
      <c r="C622"/>
    </row>
    <row r="623" spans="1:3" x14ac:dyDescent="0.25">
      <c r="A623" s="6" t="s">
        <v>390</v>
      </c>
      <c r="B623" s="2">
        <v>48100</v>
      </c>
      <c r="C623"/>
    </row>
    <row r="624" spans="1:3" x14ac:dyDescent="0.25">
      <c r="A624" s="99">
        <v>41309</v>
      </c>
      <c r="B624" s="2">
        <v>48100</v>
      </c>
      <c r="C624"/>
    </row>
    <row r="625" spans="1:3" x14ac:dyDescent="0.25">
      <c r="A625" s="5" t="s">
        <v>391</v>
      </c>
      <c r="B625" s="2">
        <v>2500</v>
      </c>
      <c r="C625"/>
    </row>
    <row r="626" spans="1:3" x14ac:dyDescent="0.25">
      <c r="A626" s="6" t="s">
        <v>736</v>
      </c>
      <c r="B626" s="2">
        <v>2500</v>
      </c>
      <c r="C626"/>
    </row>
    <row r="627" spans="1:3" x14ac:dyDescent="0.25">
      <c r="A627" s="99">
        <v>41309</v>
      </c>
      <c r="B627" s="2">
        <v>2500</v>
      </c>
      <c r="C627"/>
    </row>
    <row r="628" spans="1:3" x14ac:dyDescent="0.25">
      <c r="A628" s="5" t="s">
        <v>392</v>
      </c>
      <c r="B628" s="2">
        <v>45600</v>
      </c>
      <c r="C628"/>
    </row>
    <row r="629" spans="1:3" x14ac:dyDescent="0.25">
      <c r="A629" s="6" t="s">
        <v>689</v>
      </c>
      <c r="B629" s="2">
        <v>45600</v>
      </c>
      <c r="C629"/>
    </row>
    <row r="630" spans="1:3" x14ac:dyDescent="0.25">
      <c r="A630" s="99">
        <v>41300</v>
      </c>
      <c r="B630" s="2">
        <v>40000</v>
      </c>
      <c r="C630"/>
    </row>
    <row r="631" spans="1:3" x14ac:dyDescent="0.25">
      <c r="A631" s="99">
        <v>41309</v>
      </c>
      <c r="B631" s="2">
        <v>5600</v>
      </c>
      <c r="C631"/>
    </row>
    <row r="632" spans="1:3" x14ac:dyDescent="0.25">
      <c r="A632" s="5" t="s">
        <v>393</v>
      </c>
      <c r="B632" s="2">
        <v>13600</v>
      </c>
      <c r="C632"/>
    </row>
    <row r="633" spans="1:3" x14ac:dyDescent="0.25">
      <c r="A633" s="6" t="s">
        <v>688</v>
      </c>
      <c r="B633" s="2">
        <v>13600</v>
      </c>
      <c r="C633"/>
    </row>
    <row r="634" spans="1:3" x14ac:dyDescent="0.25">
      <c r="A634" s="99">
        <v>41309</v>
      </c>
      <c r="B634" s="2">
        <v>13600</v>
      </c>
      <c r="C634"/>
    </row>
    <row r="635" spans="1:3" x14ac:dyDescent="0.25">
      <c r="A635" s="5" t="s">
        <v>394</v>
      </c>
      <c r="B635" s="2">
        <v>20360</v>
      </c>
      <c r="C635"/>
    </row>
    <row r="636" spans="1:3" x14ac:dyDescent="0.25">
      <c r="A636" s="6" t="s">
        <v>395</v>
      </c>
      <c r="B636" s="2">
        <v>20360</v>
      </c>
      <c r="C636"/>
    </row>
    <row r="637" spans="1:3" x14ac:dyDescent="0.25">
      <c r="A637" s="99">
        <v>4500</v>
      </c>
      <c r="B637" s="2">
        <v>600</v>
      </c>
      <c r="C637"/>
    </row>
    <row r="638" spans="1:3" x14ac:dyDescent="0.25">
      <c r="A638" s="99">
        <v>5525</v>
      </c>
      <c r="B638" s="2">
        <v>8000</v>
      </c>
      <c r="C638"/>
    </row>
    <row r="639" spans="1:3" x14ac:dyDescent="0.25">
      <c r="A639" s="99">
        <v>5526</v>
      </c>
      <c r="B639" s="2">
        <v>600</v>
      </c>
      <c r="C639"/>
    </row>
    <row r="640" spans="1:3" x14ac:dyDescent="0.25">
      <c r="A640" s="99">
        <v>41309</v>
      </c>
      <c r="B640" s="2">
        <v>11160</v>
      </c>
      <c r="C640"/>
    </row>
    <row r="641" spans="1:3" x14ac:dyDescent="0.25">
      <c r="A641" s="5" t="s">
        <v>57</v>
      </c>
      <c r="B641" s="2">
        <v>5400</v>
      </c>
      <c r="C641"/>
    </row>
    <row r="642" spans="1:3" x14ac:dyDescent="0.25">
      <c r="A642" s="6" t="s">
        <v>58</v>
      </c>
      <c r="B642" s="2">
        <v>5400</v>
      </c>
      <c r="C642"/>
    </row>
    <row r="643" spans="1:3" x14ac:dyDescent="0.25">
      <c r="A643" s="99">
        <v>41329</v>
      </c>
      <c r="B643" s="2">
        <v>5400</v>
      </c>
      <c r="C643"/>
    </row>
    <row r="644" spans="1:3" x14ac:dyDescent="0.25">
      <c r="A644" s="5" t="s">
        <v>59</v>
      </c>
      <c r="B644" s="2">
        <v>46000</v>
      </c>
      <c r="C644"/>
    </row>
    <row r="645" spans="1:3" x14ac:dyDescent="0.25">
      <c r="A645" s="6" t="s">
        <v>60</v>
      </c>
      <c r="B645" s="2">
        <v>46000</v>
      </c>
      <c r="C645"/>
    </row>
    <row r="646" spans="1:3" x14ac:dyDescent="0.25">
      <c r="A646" s="99">
        <v>5511</v>
      </c>
      <c r="B646" s="2">
        <v>30000</v>
      </c>
      <c r="C646"/>
    </row>
    <row r="647" spans="1:3" x14ac:dyDescent="0.25">
      <c r="A647" s="99">
        <v>413899</v>
      </c>
      <c r="B647" s="2">
        <v>16000</v>
      </c>
      <c r="C647"/>
    </row>
    <row r="648" spans="1:3" x14ac:dyDescent="0.25">
      <c r="A648" s="5" t="s">
        <v>61</v>
      </c>
      <c r="B648" s="2">
        <v>67609</v>
      </c>
      <c r="C648"/>
    </row>
    <row r="649" spans="1:3" x14ac:dyDescent="0.25">
      <c r="A649" s="6" t="s">
        <v>62</v>
      </c>
      <c r="B649" s="2">
        <v>67609</v>
      </c>
      <c r="C649"/>
    </row>
    <row r="650" spans="1:3" x14ac:dyDescent="0.25">
      <c r="A650" s="99">
        <v>4131</v>
      </c>
      <c r="B650" s="2">
        <v>67609</v>
      </c>
      <c r="C650"/>
    </row>
    <row r="651" spans="1:3" x14ac:dyDescent="0.25">
      <c r="A651" s="5" t="s">
        <v>63</v>
      </c>
      <c r="B651" s="2">
        <v>33240</v>
      </c>
      <c r="C651"/>
    </row>
    <row r="652" spans="1:3" x14ac:dyDescent="0.25">
      <c r="A652" s="6" t="s">
        <v>64</v>
      </c>
      <c r="B652" s="2">
        <v>33240</v>
      </c>
      <c r="C652"/>
    </row>
    <row r="653" spans="1:3" x14ac:dyDescent="0.25">
      <c r="A653" s="99">
        <v>413899</v>
      </c>
      <c r="B653" s="2">
        <v>33240</v>
      </c>
      <c r="C653"/>
    </row>
    <row r="654" spans="1:3" x14ac:dyDescent="0.25">
      <c r="A654" s="5" t="s">
        <v>65</v>
      </c>
      <c r="B654" s="2">
        <v>27016</v>
      </c>
      <c r="C654"/>
    </row>
    <row r="655" spans="1:3" x14ac:dyDescent="0.25">
      <c r="A655" s="6" t="s">
        <v>66</v>
      </c>
      <c r="B655" s="2">
        <v>27016</v>
      </c>
      <c r="C655"/>
    </row>
    <row r="656" spans="1:3" x14ac:dyDescent="0.25">
      <c r="A656" s="99">
        <v>601</v>
      </c>
      <c r="B656" s="2">
        <v>1000</v>
      </c>
      <c r="C656"/>
    </row>
    <row r="657" spans="1:3" x14ac:dyDescent="0.25">
      <c r="A657" s="99">
        <v>4500</v>
      </c>
      <c r="B657" s="2">
        <v>2000</v>
      </c>
      <c r="C657"/>
    </row>
    <row r="658" spans="1:3" x14ac:dyDescent="0.25">
      <c r="A658" s="99">
        <v>5500</v>
      </c>
      <c r="B658" s="2">
        <v>1816</v>
      </c>
      <c r="C658"/>
    </row>
    <row r="659" spans="1:3" x14ac:dyDescent="0.25">
      <c r="A659" s="99">
        <v>5504</v>
      </c>
      <c r="B659" s="2">
        <v>1500</v>
      </c>
      <c r="C659"/>
    </row>
    <row r="660" spans="1:3" x14ac:dyDescent="0.25">
      <c r="A660" s="99">
        <v>5513</v>
      </c>
      <c r="B660" s="2">
        <v>18500</v>
      </c>
      <c r="C660"/>
    </row>
    <row r="661" spans="1:3" x14ac:dyDescent="0.25">
      <c r="A661" s="99">
        <v>5514</v>
      </c>
      <c r="B661" s="2">
        <v>300</v>
      </c>
      <c r="C661"/>
    </row>
    <row r="662" spans="1:3" x14ac:dyDescent="0.25">
      <c r="A662" s="99">
        <v>5515</v>
      </c>
      <c r="B662" s="2">
        <v>300</v>
      </c>
      <c r="C662"/>
    </row>
    <row r="663" spans="1:3" x14ac:dyDescent="0.25">
      <c r="A663" s="99">
        <v>5540</v>
      </c>
      <c r="B663" s="2">
        <v>1600</v>
      </c>
      <c r="C663"/>
    </row>
    <row r="664" spans="1:3" x14ac:dyDescent="0.25">
      <c r="A664" s="5" t="s">
        <v>367</v>
      </c>
      <c r="B664" s="2">
        <v>840</v>
      </c>
      <c r="C664"/>
    </row>
    <row r="665" spans="1:3" x14ac:dyDescent="0.25">
      <c r="A665" s="6" t="s">
        <v>368</v>
      </c>
      <c r="B665" s="2">
        <v>840</v>
      </c>
      <c r="C665"/>
    </row>
    <row r="666" spans="1:3" x14ac:dyDescent="0.25">
      <c r="A666" s="99">
        <v>5526</v>
      </c>
      <c r="B666" s="2">
        <v>840</v>
      </c>
      <c r="C666"/>
    </row>
    <row r="667" spans="1:3" x14ac:dyDescent="0.25">
      <c r="A667" s="5" t="s">
        <v>397</v>
      </c>
      <c r="B667" s="2">
        <v>2857983.8575789998</v>
      </c>
      <c r="C667"/>
    </row>
    <row r="668" spans="1:3" x14ac:dyDescent="0.25">
      <c r="C668"/>
    </row>
    <row r="669" spans="1:3" x14ac:dyDescent="0.25">
      <c r="C669"/>
    </row>
    <row r="670" spans="1:3" x14ac:dyDescent="0.25">
      <c r="C670"/>
    </row>
    <row r="671" spans="1:3" x14ac:dyDescent="0.25">
      <c r="C671"/>
    </row>
    <row r="672" spans="1:3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  <row r="720" spans="3:3" x14ac:dyDescent="0.25">
      <c r="C720"/>
    </row>
    <row r="721" spans="3:3" x14ac:dyDescent="0.25">
      <c r="C721"/>
    </row>
    <row r="722" spans="3:3" x14ac:dyDescent="0.25">
      <c r="C722"/>
    </row>
    <row r="723" spans="3:3" x14ac:dyDescent="0.25">
      <c r="C723"/>
    </row>
    <row r="724" spans="3:3" x14ac:dyDescent="0.25">
      <c r="C724"/>
    </row>
    <row r="725" spans="3:3" x14ac:dyDescent="0.25">
      <c r="C725"/>
    </row>
    <row r="726" spans="3:3" x14ac:dyDescent="0.25">
      <c r="C726"/>
    </row>
    <row r="727" spans="3:3" x14ac:dyDescent="0.25">
      <c r="C727"/>
    </row>
    <row r="728" spans="3:3" x14ac:dyDescent="0.25">
      <c r="C728"/>
    </row>
    <row r="729" spans="3:3" x14ac:dyDescent="0.25">
      <c r="C729"/>
    </row>
    <row r="730" spans="3:3" x14ac:dyDescent="0.25">
      <c r="C730"/>
    </row>
    <row r="731" spans="3:3" x14ac:dyDescent="0.25">
      <c r="C731"/>
    </row>
    <row r="732" spans="3:3" x14ac:dyDescent="0.25">
      <c r="C732"/>
    </row>
    <row r="733" spans="3:3" x14ac:dyDescent="0.25">
      <c r="C733"/>
    </row>
    <row r="734" spans="3:3" x14ac:dyDescent="0.25">
      <c r="C734"/>
    </row>
    <row r="735" spans="3:3" x14ac:dyDescent="0.25">
      <c r="C735"/>
    </row>
    <row r="736" spans="3:3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</sheetData>
  <pageMargins left="0.7" right="0.7" top="0.75" bottom="0.75" header="0.3" footer="0.3"/>
  <pageSetup orientation="portrait" verticalDpi="0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2"/>
  <sheetViews>
    <sheetView workbookViewId="0">
      <selection activeCell="G12" sqref="G12"/>
    </sheetView>
  </sheetViews>
  <sheetFormatPr defaultRowHeight="15" x14ac:dyDescent="0.25"/>
  <cols>
    <col min="1" max="1" width="18" bestFit="1" customWidth="1"/>
    <col min="2" max="2" width="15.42578125" customWidth="1"/>
    <col min="3" max="3" width="9.140625" customWidth="1"/>
    <col min="5" max="5" width="18" bestFit="1" customWidth="1"/>
    <col min="6" max="7" width="11" customWidth="1"/>
    <col min="8" max="8" width="11.7109375" customWidth="1"/>
  </cols>
  <sheetData>
    <row r="3" spans="1:8" x14ac:dyDescent="0.25">
      <c r="A3" s="4" t="s">
        <v>396</v>
      </c>
      <c r="B3" t="s">
        <v>399</v>
      </c>
    </row>
    <row r="4" spans="1:8" x14ac:dyDescent="0.25">
      <c r="A4" s="5" t="s">
        <v>339</v>
      </c>
      <c r="B4" s="7">
        <v>46249.440000000002</v>
      </c>
      <c r="C4">
        <v>0</v>
      </c>
      <c r="D4" s="7">
        <f>SUM(B4:C4)</f>
        <v>46249.440000000002</v>
      </c>
      <c r="E4" t="s">
        <v>791</v>
      </c>
      <c r="F4" t="s">
        <v>2223</v>
      </c>
      <c r="G4" t="s">
        <v>2224</v>
      </c>
      <c r="H4" t="s">
        <v>2225</v>
      </c>
    </row>
    <row r="5" spans="1:8" x14ac:dyDescent="0.25">
      <c r="A5" s="5" t="s">
        <v>330</v>
      </c>
      <c r="B5" s="7">
        <v>23595</v>
      </c>
      <c r="C5" s="7">
        <f>VLOOKUP(A5,Table45[],4,FALSE)</f>
        <v>149920.22560559999</v>
      </c>
      <c r="D5" s="7">
        <f t="shared" ref="D5:D11" si="0">SUM(B5:C5)</f>
        <v>173515.22560559999</v>
      </c>
      <c r="E5" t="s">
        <v>330</v>
      </c>
      <c r="F5">
        <v>112048.0012</v>
      </c>
      <c r="G5">
        <v>37872.224405599998</v>
      </c>
      <c r="H5">
        <f>SUM(Table45[[#This Row],[Column2]:[Column3]])</f>
        <v>149920.22560559999</v>
      </c>
    </row>
    <row r="6" spans="1:8" x14ac:dyDescent="0.25">
      <c r="A6" s="5" t="s">
        <v>336</v>
      </c>
      <c r="B6" s="7">
        <v>39330</v>
      </c>
      <c r="C6" s="7">
        <f>VLOOKUP(A6,Table45[],4,FALSE)</f>
        <v>151299.70199999999</v>
      </c>
      <c r="D6" s="7">
        <f t="shared" si="0"/>
        <v>190629.70199999999</v>
      </c>
      <c r="E6" t="s">
        <v>336</v>
      </c>
      <c r="F6">
        <v>113079</v>
      </c>
      <c r="G6">
        <v>38220.701999999997</v>
      </c>
      <c r="H6">
        <f>SUM(Table45[[#This Row],[Column2]:[Column3]])</f>
        <v>151299.70199999999</v>
      </c>
    </row>
    <row r="7" spans="1:8" x14ac:dyDescent="0.25">
      <c r="A7" s="5" t="s">
        <v>328</v>
      </c>
      <c r="B7" s="7">
        <v>114985</v>
      </c>
      <c r="C7" s="7">
        <f>VLOOKUP(A7,Table45[],4,FALSE)</f>
        <v>213214.34062620002</v>
      </c>
      <c r="D7" s="7">
        <f t="shared" si="0"/>
        <v>328199.34062620002</v>
      </c>
      <c r="E7" t="s">
        <v>328</v>
      </c>
      <c r="F7">
        <v>159353.01990000001</v>
      </c>
      <c r="G7">
        <v>53861.3207262</v>
      </c>
      <c r="H7">
        <f>SUM(Table45[[#This Row],[Column2]:[Column3]])</f>
        <v>213214.34062620002</v>
      </c>
    </row>
    <row r="8" spans="1:8" x14ac:dyDescent="0.25">
      <c r="A8" s="5" t="s">
        <v>337</v>
      </c>
      <c r="B8" s="7">
        <v>8530</v>
      </c>
      <c r="C8" s="7">
        <f>VLOOKUP(A8,Table45[],4,FALSE)</f>
        <v>106531.56</v>
      </c>
      <c r="D8" s="7">
        <f t="shared" si="0"/>
        <v>115061.56</v>
      </c>
      <c r="E8" t="s">
        <v>337</v>
      </c>
      <c r="F8">
        <v>79620</v>
      </c>
      <c r="G8">
        <v>26911.56</v>
      </c>
      <c r="H8">
        <f>SUM(Table45[[#This Row],[Column2]:[Column3]])</f>
        <v>106531.56</v>
      </c>
    </row>
    <row r="9" spans="1:8" x14ac:dyDescent="0.25">
      <c r="A9" s="5" t="s">
        <v>332</v>
      </c>
      <c r="B9" s="7">
        <v>5423</v>
      </c>
      <c r="C9" s="7">
        <f>VLOOKUP(A9,Table45[],4,FALSE)</f>
        <v>51517.092974112005</v>
      </c>
      <c r="D9" s="7">
        <f t="shared" si="0"/>
        <v>56940.092974112005</v>
      </c>
      <c r="E9" t="s">
        <v>332</v>
      </c>
      <c r="F9">
        <v>38503.059024000002</v>
      </c>
      <c r="G9">
        <v>13014.033950112</v>
      </c>
      <c r="H9">
        <f>SUM(Table45[[#This Row],[Column2]:[Column3]])</f>
        <v>51517.092974112005</v>
      </c>
    </row>
    <row r="10" spans="1:8" x14ac:dyDescent="0.25">
      <c r="A10" s="5" t="s">
        <v>334</v>
      </c>
      <c r="B10" s="7">
        <v>32700</v>
      </c>
      <c r="C10" s="7">
        <f>VLOOKUP(A10,Table45[],4,FALSE)</f>
        <v>112344.2334</v>
      </c>
      <c r="D10" s="7">
        <f t="shared" si="0"/>
        <v>145044.2334</v>
      </c>
      <c r="E10" t="s">
        <v>334</v>
      </c>
      <c r="F10">
        <v>83964.3</v>
      </c>
      <c r="G10">
        <v>28379.933400000002</v>
      </c>
      <c r="H10">
        <f>SUM(Table45[[#This Row],[Column2]:[Column3]])</f>
        <v>112344.2334</v>
      </c>
    </row>
    <row r="11" spans="1:8" x14ac:dyDescent="0.25">
      <c r="A11" s="5" t="s">
        <v>326</v>
      </c>
      <c r="B11" s="7">
        <v>88218</v>
      </c>
      <c r="C11" s="7">
        <f>VLOOKUP(A11,Table45[],4,FALSE)</f>
        <v>441590.41584000003</v>
      </c>
      <c r="D11" s="7">
        <f t="shared" si="0"/>
        <v>529808.41584000003</v>
      </c>
      <c r="E11" t="s">
        <v>326</v>
      </c>
      <c r="F11">
        <v>330037.68</v>
      </c>
      <c r="G11">
        <v>111552.73584000001</v>
      </c>
      <c r="H11">
        <f>SUM(Table45[[#This Row],[Column2]:[Column3]])</f>
        <v>441590.41584000003</v>
      </c>
    </row>
    <row r="12" spans="1:8" x14ac:dyDescent="0.25">
      <c r="A12" s="5" t="s">
        <v>397</v>
      </c>
      <c r="B12" s="7">
        <v>359030.44</v>
      </c>
      <c r="D12" s="7">
        <f>SUM(D4:D11)</f>
        <v>1585448.0104459119</v>
      </c>
      <c r="E12" t="s">
        <v>2184</v>
      </c>
      <c r="H12" s="2">
        <f>SUBTOTAL(109,Table45[Column4])</f>
        <v>1226417.570445912</v>
      </c>
    </row>
  </sheetData>
  <pageMargins left="0.7" right="0.7" top="0.75" bottom="0.75" header="0.3" footer="0.3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18" sqref="E18:F18"/>
    </sheetView>
  </sheetViews>
  <sheetFormatPr defaultRowHeight="15" x14ac:dyDescent="0.25"/>
  <cols>
    <col min="1" max="1" width="44.28515625" customWidth="1"/>
    <col min="2" max="2" width="17.85546875" customWidth="1"/>
    <col min="4" max="4" width="21.7109375" customWidth="1"/>
    <col min="5" max="5" width="15.42578125" bestFit="1" customWidth="1"/>
    <col min="6" max="6" width="14.7109375" bestFit="1" customWidth="1"/>
  </cols>
  <sheetData>
    <row r="1" spans="1:6" x14ac:dyDescent="0.25">
      <c r="A1" s="4" t="s">
        <v>135</v>
      </c>
      <c r="B1" t="s">
        <v>2028</v>
      </c>
    </row>
    <row r="3" spans="1:6" x14ac:dyDescent="0.25">
      <c r="A3" s="4" t="s">
        <v>396</v>
      </c>
      <c r="B3" t="s">
        <v>399</v>
      </c>
      <c r="D3" s="4" t="s">
        <v>396</v>
      </c>
      <c r="E3" t="s">
        <v>399</v>
      </c>
      <c r="F3" t="s">
        <v>1395</v>
      </c>
    </row>
    <row r="4" spans="1:6" x14ac:dyDescent="0.25">
      <c r="A4" s="5" t="s">
        <v>340</v>
      </c>
      <c r="B4" s="7">
        <v>375445</v>
      </c>
      <c r="D4" s="5" t="s">
        <v>325</v>
      </c>
      <c r="E4" s="7">
        <v>340840.68</v>
      </c>
      <c r="F4" s="7">
        <v>115204.14984000001</v>
      </c>
    </row>
    <row r="5" spans="1:6" x14ac:dyDescent="0.25">
      <c r="A5" s="6" t="s">
        <v>2169</v>
      </c>
      <c r="B5" s="7">
        <v>375445</v>
      </c>
      <c r="D5" s="6" t="s">
        <v>326</v>
      </c>
      <c r="E5" s="7">
        <v>340840.68</v>
      </c>
      <c r="F5" s="7">
        <v>115204.14984000001</v>
      </c>
    </row>
    <row r="6" spans="1:6" x14ac:dyDescent="0.25">
      <c r="A6" s="5" t="s">
        <v>341</v>
      </c>
      <c r="B6" s="7">
        <v>65655</v>
      </c>
      <c r="D6" s="5" t="s">
        <v>327</v>
      </c>
      <c r="E6" s="7">
        <v>163225.38500000001</v>
      </c>
      <c r="F6" s="7">
        <v>55170.180130000008</v>
      </c>
    </row>
    <row r="7" spans="1:6" x14ac:dyDescent="0.25">
      <c r="A7" s="6" t="s">
        <v>2170</v>
      </c>
      <c r="B7" s="7">
        <v>65655</v>
      </c>
      <c r="D7" s="6" t="s">
        <v>328</v>
      </c>
      <c r="E7" s="7">
        <v>163225.38500000001</v>
      </c>
      <c r="F7" s="7">
        <v>55170.180130000008</v>
      </c>
    </row>
    <row r="8" spans="1:6" x14ac:dyDescent="0.25">
      <c r="A8" s="5" t="s">
        <v>247</v>
      </c>
      <c r="B8" s="7">
        <v>194644.4</v>
      </c>
      <c r="D8" s="5" t="s">
        <v>329</v>
      </c>
      <c r="E8" s="7">
        <v>115108</v>
      </c>
      <c r="F8" s="7">
        <v>38906.504000000001</v>
      </c>
    </row>
    <row r="9" spans="1:6" x14ac:dyDescent="0.25">
      <c r="A9" s="6" t="s">
        <v>342</v>
      </c>
      <c r="B9" s="7">
        <v>194644.4</v>
      </c>
      <c r="D9" s="6" t="s">
        <v>330</v>
      </c>
      <c r="E9" s="7">
        <v>115108</v>
      </c>
      <c r="F9" s="7">
        <v>38906.504000000001</v>
      </c>
    </row>
    <row r="10" spans="1:6" x14ac:dyDescent="0.25">
      <c r="A10" s="5" t="s">
        <v>343</v>
      </c>
      <c r="B10" s="7">
        <v>87189</v>
      </c>
      <c r="D10" s="5" t="s">
        <v>331</v>
      </c>
      <c r="E10" s="7">
        <v>39969.930144000005</v>
      </c>
      <c r="F10" s="7">
        <v>13509.836388672002</v>
      </c>
    </row>
    <row r="11" spans="1:6" x14ac:dyDescent="0.25">
      <c r="A11" s="6" t="s">
        <v>344</v>
      </c>
      <c r="B11" s="7">
        <v>87189</v>
      </c>
      <c r="D11" s="6" t="s">
        <v>332</v>
      </c>
      <c r="E11" s="7">
        <v>39969.930144000005</v>
      </c>
      <c r="F11" s="7">
        <v>13509.836388672002</v>
      </c>
    </row>
    <row r="12" spans="1:6" x14ac:dyDescent="0.25">
      <c r="A12" s="5" t="s">
        <v>345</v>
      </c>
      <c r="B12" s="7">
        <v>508169</v>
      </c>
      <c r="D12" s="5" t="s">
        <v>333</v>
      </c>
      <c r="E12" s="7">
        <v>86772.3</v>
      </c>
      <c r="F12" s="7">
        <v>29329.037400000001</v>
      </c>
    </row>
    <row r="13" spans="1:6" x14ac:dyDescent="0.25">
      <c r="A13" s="6" t="s">
        <v>346</v>
      </c>
      <c r="B13" s="7">
        <v>508169</v>
      </c>
      <c r="D13" s="6" t="s">
        <v>334</v>
      </c>
      <c r="E13" s="7">
        <v>86772.3</v>
      </c>
      <c r="F13" s="7">
        <v>29329.037400000001</v>
      </c>
    </row>
    <row r="14" spans="1:6" x14ac:dyDescent="0.25">
      <c r="A14" s="5" t="s">
        <v>347</v>
      </c>
      <c r="B14" s="7">
        <v>87579</v>
      </c>
      <c r="D14" s="5" t="s">
        <v>335</v>
      </c>
      <c r="E14" s="7">
        <v>116842.5</v>
      </c>
      <c r="F14" s="7">
        <v>39492.765000000007</v>
      </c>
    </row>
    <row r="15" spans="1:6" x14ac:dyDescent="0.25">
      <c r="A15" s="6" t="s">
        <v>339</v>
      </c>
      <c r="B15" s="7">
        <v>87579</v>
      </c>
      <c r="D15" s="6" t="s">
        <v>336</v>
      </c>
      <c r="E15" s="7">
        <v>116842.5</v>
      </c>
      <c r="F15" s="7">
        <v>39492.765000000007</v>
      </c>
    </row>
    <row r="16" spans="1:6" x14ac:dyDescent="0.25">
      <c r="A16" s="5" t="s">
        <v>348</v>
      </c>
      <c r="B16" s="7">
        <v>40977</v>
      </c>
      <c r="D16" s="5" t="s">
        <v>245</v>
      </c>
      <c r="E16" s="7">
        <v>82693.200000000012</v>
      </c>
      <c r="F16" s="7">
        <v>27950.301599999999</v>
      </c>
    </row>
    <row r="17" spans="1:6" x14ac:dyDescent="0.25">
      <c r="A17" s="6" t="s">
        <v>349</v>
      </c>
      <c r="B17" s="7">
        <v>40977</v>
      </c>
      <c r="D17" s="6" t="s">
        <v>337</v>
      </c>
      <c r="E17" s="7">
        <v>82693.200000000012</v>
      </c>
      <c r="F17" s="7">
        <v>27950.301599999999</v>
      </c>
    </row>
    <row r="18" spans="1:6" x14ac:dyDescent="0.25">
      <c r="A18" s="5" t="s">
        <v>397</v>
      </c>
      <c r="B18" s="7">
        <v>1359658.4</v>
      </c>
      <c r="D18" s="5" t="s">
        <v>397</v>
      </c>
      <c r="E18" s="7">
        <v>945451.99514400004</v>
      </c>
      <c r="F18" s="7">
        <v>319562.77435867203</v>
      </c>
    </row>
  </sheetData>
  <pageMargins left="0.7" right="0.7" top="0.75" bottom="0.75" header="0.3" footer="0.3"/>
  <pageSetup orientation="portrait" verticalDpi="0"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7"/>
  <sheetViews>
    <sheetView topLeftCell="A208" zoomScale="85" zoomScaleNormal="85" workbookViewId="0">
      <selection activeCell="K18" sqref="K18"/>
    </sheetView>
  </sheetViews>
  <sheetFormatPr defaultRowHeight="15" x14ac:dyDescent="0.25"/>
  <cols>
    <col min="1" max="1" width="52.28515625" customWidth="1"/>
    <col min="2" max="2" width="20.28515625" customWidth="1"/>
    <col min="3" max="3" width="18.28515625" customWidth="1"/>
    <col min="4" max="4" width="22.140625" customWidth="1"/>
    <col min="5" max="5" width="17" customWidth="1"/>
    <col min="6" max="6" width="11.7109375" customWidth="1"/>
    <col min="7" max="7" width="11.28515625" customWidth="1"/>
    <col min="8" max="8" width="11.42578125" bestFit="1" customWidth="1"/>
  </cols>
  <sheetData>
    <row r="3" spans="1:7" x14ac:dyDescent="0.25">
      <c r="A3" s="168" t="s">
        <v>399</v>
      </c>
      <c r="B3" s="168" t="s">
        <v>2247</v>
      </c>
    </row>
    <row r="4" spans="1:7" ht="45" x14ac:dyDescent="0.25">
      <c r="A4" s="168" t="s">
        <v>396</v>
      </c>
      <c r="B4" s="169" t="s">
        <v>545</v>
      </c>
      <c r="C4" s="169" t="s">
        <v>546</v>
      </c>
      <c r="D4" s="169" t="s">
        <v>155</v>
      </c>
      <c r="E4" s="169" t="s">
        <v>549</v>
      </c>
      <c r="F4" s="169" t="s">
        <v>550</v>
      </c>
      <c r="G4" s="170" t="s">
        <v>1516</v>
      </c>
    </row>
    <row r="5" spans="1:7" x14ac:dyDescent="0.25">
      <c r="A5" s="5" t="s">
        <v>798</v>
      </c>
      <c r="B5" s="7"/>
      <c r="C5" s="7"/>
      <c r="D5" s="7">
        <v>28698</v>
      </c>
      <c r="E5" s="7">
        <v>269654.40000000002</v>
      </c>
      <c r="F5" s="7">
        <v>57769.017578999999</v>
      </c>
      <c r="G5" s="7">
        <v>356121.417579</v>
      </c>
    </row>
    <row r="6" spans="1:7" x14ac:dyDescent="0.25">
      <c r="A6" s="6" t="s">
        <v>13</v>
      </c>
      <c r="B6" s="7"/>
      <c r="C6" s="7"/>
      <c r="D6" s="7"/>
      <c r="E6" s="7">
        <v>13050</v>
      </c>
      <c r="F6" s="7"/>
      <c r="G6" s="7">
        <v>13050</v>
      </c>
    </row>
    <row r="7" spans="1:7" x14ac:dyDescent="0.25">
      <c r="A7" s="99" t="s">
        <v>14</v>
      </c>
      <c r="B7" s="7"/>
      <c r="C7" s="7"/>
      <c r="D7" s="7"/>
      <c r="E7" s="7">
        <v>13050</v>
      </c>
      <c r="F7" s="7"/>
      <c r="G7" s="7">
        <v>13050</v>
      </c>
    </row>
    <row r="8" spans="1:7" x14ac:dyDescent="0.25">
      <c r="A8" s="6" t="s">
        <v>15</v>
      </c>
      <c r="B8" s="7"/>
      <c r="C8" s="7"/>
      <c r="D8" s="7">
        <v>150</v>
      </c>
      <c r="E8" s="7">
        <v>256604.40000000002</v>
      </c>
      <c r="F8" s="7"/>
      <c r="G8" s="7">
        <v>256754.40000000002</v>
      </c>
    </row>
    <row r="9" spans="1:7" x14ac:dyDescent="0.25">
      <c r="A9" s="99" t="s">
        <v>16</v>
      </c>
      <c r="B9" s="7"/>
      <c r="C9" s="7"/>
      <c r="D9" s="7">
        <v>150</v>
      </c>
      <c r="E9" s="7">
        <v>256604.40000000002</v>
      </c>
      <c r="F9" s="7"/>
      <c r="G9" s="7">
        <v>256754.40000000002</v>
      </c>
    </row>
    <row r="10" spans="1:7" x14ac:dyDescent="0.25">
      <c r="A10" s="6" t="s">
        <v>17</v>
      </c>
      <c r="B10" s="7"/>
      <c r="C10" s="7"/>
      <c r="D10" s="7"/>
      <c r="E10" s="7"/>
      <c r="F10" s="7">
        <v>57769.017578999999</v>
      </c>
      <c r="G10" s="7">
        <v>57769.017578999999</v>
      </c>
    </row>
    <row r="11" spans="1:7" x14ac:dyDescent="0.25">
      <c r="A11" s="99" t="s">
        <v>18</v>
      </c>
      <c r="B11" s="7"/>
      <c r="C11" s="7"/>
      <c r="D11" s="7"/>
      <c r="E11" s="7"/>
      <c r="F11" s="7">
        <v>57769.017578999999</v>
      </c>
      <c r="G11" s="7">
        <v>57769.017578999999</v>
      </c>
    </row>
    <row r="12" spans="1:7" x14ac:dyDescent="0.25">
      <c r="A12" s="6" t="s">
        <v>23</v>
      </c>
      <c r="B12" s="7"/>
      <c r="C12" s="7"/>
      <c r="D12" s="7">
        <v>28548</v>
      </c>
      <c r="E12" s="7"/>
      <c r="F12" s="7"/>
      <c r="G12" s="7">
        <v>28548</v>
      </c>
    </row>
    <row r="13" spans="1:7" x14ac:dyDescent="0.25">
      <c r="A13" s="99" t="s">
        <v>24</v>
      </c>
      <c r="B13" s="7"/>
      <c r="C13" s="7"/>
      <c r="D13" s="7">
        <v>28548</v>
      </c>
      <c r="E13" s="7"/>
      <c r="F13" s="7"/>
      <c r="G13" s="7">
        <v>28548</v>
      </c>
    </row>
    <row r="14" spans="1:7" x14ac:dyDescent="0.25">
      <c r="A14" s="5" t="s">
        <v>2242</v>
      </c>
      <c r="B14" s="7"/>
      <c r="C14" s="7"/>
      <c r="D14" s="7"/>
      <c r="E14" s="7">
        <v>1000</v>
      </c>
      <c r="F14" s="7"/>
      <c r="G14" s="7">
        <v>1000</v>
      </c>
    </row>
    <row r="15" spans="1:7" x14ac:dyDescent="0.25">
      <c r="A15" s="6" t="s">
        <v>25</v>
      </c>
      <c r="B15" s="7"/>
      <c r="C15" s="7"/>
      <c r="D15" s="7"/>
      <c r="E15" s="7">
        <v>1000</v>
      </c>
      <c r="F15" s="7"/>
      <c r="G15" s="7">
        <v>1000</v>
      </c>
    </row>
    <row r="16" spans="1:7" x14ac:dyDescent="0.25">
      <c r="A16" s="99" t="s">
        <v>26</v>
      </c>
      <c r="B16" s="7"/>
      <c r="C16" s="7"/>
      <c r="D16" s="7"/>
      <c r="E16" s="7">
        <v>1000</v>
      </c>
      <c r="F16" s="7"/>
      <c r="G16" s="7">
        <v>1000</v>
      </c>
    </row>
    <row r="17" spans="1:7" x14ac:dyDescent="0.25">
      <c r="A17" s="5" t="s">
        <v>1102</v>
      </c>
      <c r="B17" s="7"/>
      <c r="C17" s="7">
        <v>15250</v>
      </c>
      <c r="D17" s="7"/>
      <c r="E17" s="7">
        <v>1600</v>
      </c>
      <c r="F17" s="7"/>
      <c r="G17" s="7">
        <v>16850</v>
      </c>
    </row>
    <row r="18" spans="1:7" x14ac:dyDescent="0.25">
      <c r="A18" s="6" t="s">
        <v>27</v>
      </c>
      <c r="B18" s="7"/>
      <c r="C18" s="7">
        <v>15250</v>
      </c>
      <c r="D18" s="7"/>
      <c r="E18" s="7">
        <v>1600</v>
      </c>
      <c r="F18" s="7"/>
      <c r="G18" s="7">
        <v>16850</v>
      </c>
    </row>
    <row r="19" spans="1:7" x14ac:dyDescent="0.25">
      <c r="A19" s="99" t="s">
        <v>28</v>
      </c>
      <c r="B19" s="7"/>
      <c r="C19" s="7">
        <v>15250</v>
      </c>
      <c r="D19" s="7"/>
      <c r="E19" s="7">
        <v>1600</v>
      </c>
      <c r="F19" s="7"/>
      <c r="G19" s="7">
        <v>16850</v>
      </c>
    </row>
    <row r="20" spans="1:7" x14ac:dyDescent="0.25">
      <c r="A20" s="5" t="s">
        <v>824</v>
      </c>
      <c r="B20" s="7"/>
      <c r="C20" s="7">
        <v>1500</v>
      </c>
      <c r="D20" s="7"/>
      <c r="E20" s="7">
        <v>547622.54</v>
      </c>
      <c r="F20" s="7">
        <v>250</v>
      </c>
      <c r="G20" s="7">
        <v>549372.54</v>
      </c>
    </row>
    <row r="21" spans="1:7" x14ac:dyDescent="0.25">
      <c r="A21" s="6" t="s">
        <v>31</v>
      </c>
      <c r="B21" s="7"/>
      <c r="C21" s="7"/>
      <c r="D21" s="7"/>
      <c r="E21" s="7">
        <v>486305</v>
      </c>
      <c r="F21" s="7"/>
      <c r="G21" s="7">
        <v>486305</v>
      </c>
    </row>
    <row r="22" spans="1:7" x14ac:dyDescent="0.25">
      <c r="A22" s="99" t="s">
        <v>853</v>
      </c>
      <c r="B22" s="7"/>
      <c r="C22" s="7"/>
      <c r="D22" s="7"/>
      <c r="E22" s="7">
        <v>486305</v>
      </c>
      <c r="F22" s="7"/>
      <c r="G22" s="7">
        <v>486305</v>
      </c>
    </row>
    <row r="23" spans="1:7" x14ac:dyDescent="0.25">
      <c r="A23" s="6" t="s">
        <v>32</v>
      </c>
      <c r="B23" s="7"/>
      <c r="C23" s="7"/>
      <c r="D23" s="7"/>
      <c r="E23" s="7">
        <v>41798.639999999999</v>
      </c>
      <c r="F23" s="7"/>
      <c r="G23" s="7">
        <v>41798.639999999999</v>
      </c>
    </row>
    <row r="24" spans="1:7" x14ac:dyDescent="0.25">
      <c r="A24" s="99" t="s">
        <v>33</v>
      </c>
      <c r="B24" s="7"/>
      <c r="C24" s="7"/>
      <c r="D24" s="7"/>
      <c r="E24" s="7">
        <v>41798.639999999999</v>
      </c>
      <c r="F24" s="7"/>
      <c r="G24" s="7">
        <v>41798.639999999999</v>
      </c>
    </row>
    <row r="25" spans="1:7" x14ac:dyDescent="0.25">
      <c r="A25" s="6" t="s">
        <v>34</v>
      </c>
      <c r="B25" s="7"/>
      <c r="C25" s="7">
        <v>1500</v>
      </c>
      <c r="D25" s="7"/>
      <c r="E25" s="7">
        <v>19518.900000000001</v>
      </c>
      <c r="F25" s="7">
        <v>250</v>
      </c>
      <c r="G25" s="7">
        <v>21268.9</v>
      </c>
    </row>
    <row r="26" spans="1:7" x14ac:dyDescent="0.25">
      <c r="A26" s="99" t="s">
        <v>35</v>
      </c>
      <c r="B26" s="7"/>
      <c r="C26" s="7">
        <v>1500</v>
      </c>
      <c r="D26" s="7"/>
      <c r="E26" s="7">
        <v>19518.900000000001</v>
      </c>
      <c r="F26" s="7">
        <v>250</v>
      </c>
      <c r="G26" s="7">
        <v>21268.9</v>
      </c>
    </row>
    <row r="27" spans="1:7" x14ac:dyDescent="0.25">
      <c r="A27" s="5" t="s">
        <v>2241</v>
      </c>
      <c r="B27" s="7"/>
      <c r="C27" s="7"/>
      <c r="D27" s="7"/>
      <c r="E27" s="7">
        <v>13000</v>
      </c>
      <c r="F27" s="7"/>
      <c r="G27" s="7">
        <v>13000</v>
      </c>
    </row>
    <row r="28" spans="1:7" x14ac:dyDescent="0.25">
      <c r="A28" s="6" t="s">
        <v>36</v>
      </c>
      <c r="B28" s="7"/>
      <c r="C28" s="7"/>
      <c r="D28" s="7"/>
      <c r="E28" s="7">
        <v>2446.4</v>
      </c>
      <c r="F28" s="7"/>
      <c r="G28" s="7">
        <v>2446.4</v>
      </c>
    </row>
    <row r="29" spans="1:7" x14ac:dyDescent="0.25">
      <c r="A29" s="99" t="s">
        <v>37</v>
      </c>
      <c r="B29" s="7"/>
      <c r="C29" s="7"/>
      <c r="D29" s="7"/>
      <c r="E29" s="7">
        <v>2446.4</v>
      </c>
      <c r="F29" s="7"/>
      <c r="G29" s="7">
        <v>2446.4</v>
      </c>
    </row>
    <row r="30" spans="1:7" x14ac:dyDescent="0.25">
      <c r="A30" s="6" t="s">
        <v>38</v>
      </c>
      <c r="B30" s="7"/>
      <c r="C30" s="7"/>
      <c r="D30" s="7"/>
      <c r="E30" s="7">
        <v>10553.6</v>
      </c>
      <c r="F30" s="7"/>
      <c r="G30" s="7">
        <v>10553.6</v>
      </c>
    </row>
    <row r="31" spans="1:7" x14ac:dyDescent="0.25">
      <c r="A31" s="99" t="s">
        <v>1109</v>
      </c>
      <c r="B31" s="7"/>
      <c r="C31" s="7"/>
      <c r="D31" s="7"/>
      <c r="E31" s="7">
        <v>10553.6</v>
      </c>
      <c r="F31" s="7"/>
      <c r="G31" s="7">
        <v>10553.6</v>
      </c>
    </row>
    <row r="32" spans="1:7" x14ac:dyDescent="0.25">
      <c r="A32" s="5" t="s">
        <v>1103</v>
      </c>
      <c r="B32" s="7"/>
      <c r="C32" s="7"/>
      <c r="D32" s="7"/>
      <c r="E32" s="7">
        <v>488266.88</v>
      </c>
      <c r="F32" s="7"/>
      <c r="G32" s="7">
        <v>488266.88</v>
      </c>
    </row>
    <row r="33" spans="1:7" x14ac:dyDescent="0.25">
      <c r="A33" s="6" t="s">
        <v>40</v>
      </c>
      <c r="B33" s="7"/>
      <c r="C33" s="7"/>
      <c r="D33" s="7"/>
      <c r="E33" s="7">
        <v>53000</v>
      </c>
      <c r="F33" s="7"/>
      <c r="G33" s="7">
        <v>53000</v>
      </c>
    </row>
    <row r="34" spans="1:7" x14ac:dyDescent="0.25">
      <c r="A34" s="99" t="s">
        <v>572</v>
      </c>
      <c r="B34" s="7"/>
      <c r="C34" s="7"/>
      <c r="D34" s="7"/>
      <c r="E34" s="7">
        <v>53000</v>
      </c>
      <c r="F34" s="7"/>
      <c r="G34" s="7">
        <v>53000</v>
      </c>
    </row>
    <row r="35" spans="1:7" x14ac:dyDescent="0.25">
      <c r="A35" s="6" t="s">
        <v>254</v>
      </c>
      <c r="B35" s="7"/>
      <c r="C35" s="7"/>
      <c r="D35" s="7"/>
      <c r="E35" s="7">
        <v>99464</v>
      </c>
      <c r="F35" s="7"/>
      <c r="G35" s="7">
        <v>99464</v>
      </c>
    </row>
    <row r="36" spans="1:7" x14ac:dyDescent="0.25">
      <c r="A36" s="99" t="s">
        <v>2038</v>
      </c>
      <c r="B36" s="7"/>
      <c r="C36" s="7"/>
      <c r="D36" s="7"/>
      <c r="E36" s="7">
        <v>99464</v>
      </c>
      <c r="F36" s="7"/>
      <c r="G36" s="7">
        <v>99464</v>
      </c>
    </row>
    <row r="37" spans="1:7" x14ac:dyDescent="0.25">
      <c r="A37" s="6" t="s">
        <v>255</v>
      </c>
      <c r="B37" s="7"/>
      <c r="C37" s="7"/>
      <c r="D37" s="7"/>
      <c r="E37" s="7">
        <v>40358</v>
      </c>
      <c r="F37" s="7"/>
      <c r="G37" s="7">
        <v>40358</v>
      </c>
    </row>
    <row r="38" spans="1:7" x14ac:dyDescent="0.25">
      <c r="A38" s="99" t="s">
        <v>256</v>
      </c>
      <c r="B38" s="7"/>
      <c r="C38" s="7"/>
      <c r="D38" s="7"/>
      <c r="E38" s="7">
        <v>40358</v>
      </c>
      <c r="F38" s="7"/>
      <c r="G38" s="7">
        <v>40358</v>
      </c>
    </row>
    <row r="39" spans="1:7" x14ac:dyDescent="0.25">
      <c r="A39" s="6" t="s">
        <v>257</v>
      </c>
      <c r="B39" s="7"/>
      <c r="C39" s="7"/>
      <c r="D39" s="7"/>
      <c r="E39" s="7">
        <v>43065</v>
      </c>
      <c r="F39" s="7"/>
      <c r="G39" s="7">
        <v>43065</v>
      </c>
    </row>
    <row r="40" spans="1:7" x14ac:dyDescent="0.25">
      <c r="A40" s="99" t="s">
        <v>258</v>
      </c>
      <c r="B40" s="7"/>
      <c r="C40" s="7"/>
      <c r="D40" s="7"/>
      <c r="E40" s="7">
        <v>43065</v>
      </c>
      <c r="F40" s="7"/>
      <c r="G40" s="7">
        <v>43065</v>
      </c>
    </row>
    <row r="41" spans="1:7" x14ac:dyDescent="0.25">
      <c r="A41" s="6" t="s">
        <v>259</v>
      </c>
      <c r="B41" s="7"/>
      <c r="C41" s="7"/>
      <c r="D41" s="7"/>
      <c r="E41" s="7">
        <v>31380</v>
      </c>
      <c r="F41" s="7"/>
      <c r="G41" s="7">
        <v>31380</v>
      </c>
    </row>
    <row r="42" spans="1:7" x14ac:dyDescent="0.25">
      <c r="A42" s="99" t="s">
        <v>260</v>
      </c>
      <c r="B42" s="7"/>
      <c r="C42" s="7"/>
      <c r="D42" s="7"/>
      <c r="E42" s="7">
        <v>31380</v>
      </c>
      <c r="F42" s="7"/>
      <c r="G42" s="7">
        <v>31380</v>
      </c>
    </row>
    <row r="43" spans="1:7" x14ac:dyDescent="0.25">
      <c r="A43" s="6" t="s">
        <v>261</v>
      </c>
      <c r="B43" s="7"/>
      <c r="C43" s="7"/>
      <c r="D43" s="7"/>
      <c r="E43" s="7">
        <v>57668.12</v>
      </c>
      <c r="F43" s="7"/>
      <c r="G43" s="7">
        <v>57668.12</v>
      </c>
    </row>
    <row r="44" spans="1:7" x14ac:dyDescent="0.25">
      <c r="A44" s="99" t="s">
        <v>262</v>
      </c>
      <c r="B44" s="7"/>
      <c r="C44" s="7"/>
      <c r="D44" s="7"/>
      <c r="E44" s="7">
        <v>57668.12</v>
      </c>
      <c r="F44" s="7"/>
      <c r="G44" s="7">
        <v>57668.12</v>
      </c>
    </row>
    <row r="45" spans="1:7" x14ac:dyDescent="0.25">
      <c r="A45" s="6" t="s">
        <v>263</v>
      </c>
      <c r="B45" s="7"/>
      <c r="C45" s="7"/>
      <c r="D45" s="7"/>
      <c r="E45" s="7">
        <v>101380.28</v>
      </c>
      <c r="F45" s="7"/>
      <c r="G45" s="7">
        <v>101380.28</v>
      </c>
    </row>
    <row r="46" spans="1:7" x14ac:dyDescent="0.25">
      <c r="A46" s="99" t="s">
        <v>264</v>
      </c>
      <c r="B46" s="7"/>
      <c r="C46" s="7"/>
      <c r="D46" s="7"/>
      <c r="E46" s="7">
        <v>101380.28</v>
      </c>
      <c r="F46" s="7"/>
      <c r="G46" s="7">
        <v>101380.28</v>
      </c>
    </row>
    <row r="47" spans="1:7" x14ac:dyDescent="0.25">
      <c r="A47" s="6" t="s">
        <v>265</v>
      </c>
      <c r="B47" s="7"/>
      <c r="C47" s="7"/>
      <c r="D47" s="7"/>
      <c r="E47" s="7">
        <v>16460</v>
      </c>
      <c r="F47" s="7"/>
      <c r="G47" s="7">
        <v>16460</v>
      </c>
    </row>
    <row r="48" spans="1:7" x14ac:dyDescent="0.25">
      <c r="A48" s="99" t="s">
        <v>266</v>
      </c>
      <c r="B48" s="7"/>
      <c r="C48" s="7"/>
      <c r="D48" s="7"/>
      <c r="E48" s="7">
        <v>16460</v>
      </c>
      <c r="F48" s="7"/>
      <c r="G48" s="7">
        <v>16460</v>
      </c>
    </row>
    <row r="49" spans="1:7" x14ac:dyDescent="0.25">
      <c r="A49" s="6" t="s">
        <v>267</v>
      </c>
      <c r="B49" s="7"/>
      <c r="C49" s="7"/>
      <c r="D49" s="7"/>
      <c r="E49" s="7">
        <v>34991.479999999996</v>
      </c>
      <c r="F49" s="7"/>
      <c r="G49" s="7">
        <v>34991.479999999996</v>
      </c>
    </row>
    <row r="50" spans="1:7" x14ac:dyDescent="0.25">
      <c r="A50" s="99" t="s">
        <v>268</v>
      </c>
      <c r="B50" s="7"/>
      <c r="C50" s="7"/>
      <c r="D50" s="7"/>
      <c r="E50" s="7">
        <v>34991.479999999996</v>
      </c>
      <c r="F50" s="7"/>
      <c r="G50" s="7">
        <v>34991.479999999996</v>
      </c>
    </row>
    <row r="51" spans="1:7" x14ac:dyDescent="0.25">
      <c r="A51" s="6" t="s">
        <v>269</v>
      </c>
      <c r="B51" s="7"/>
      <c r="C51" s="7"/>
      <c r="D51" s="7"/>
      <c r="E51" s="7">
        <v>10500</v>
      </c>
      <c r="F51" s="7"/>
      <c r="G51" s="7">
        <v>10500</v>
      </c>
    </row>
    <row r="52" spans="1:7" x14ac:dyDescent="0.25">
      <c r="A52" s="99" t="s">
        <v>270</v>
      </c>
      <c r="B52" s="7"/>
      <c r="C52" s="7"/>
      <c r="D52" s="7"/>
      <c r="E52" s="7">
        <v>10500</v>
      </c>
      <c r="F52" s="7"/>
      <c r="G52" s="7">
        <v>10500</v>
      </c>
    </row>
    <row r="53" spans="1:7" x14ac:dyDescent="0.25">
      <c r="A53" s="5" t="s">
        <v>2243</v>
      </c>
      <c r="B53" s="7"/>
      <c r="C53" s="7"/>
      <c r="D53" s="7">
        <v>2500</v>
      </c>
      <c r="E53" s="7">
        <v>8000</v>
      </c>
      <c r="F53" s="7"/>
      <c r="G53" s="7">
        <v>10500</v>
      </c>
    </row>
    <row r="54" spans="1:7" x14ac:dyDescent="0.25">
      <c r="A54" s="6" t="s">
        <v>41</v>
      </c>
      <c r="B54" s="7"/>
      <c r="C54" s="7"/>
      <c r="D54" s="7">
        <v>2500</v>
      </c>
      <c r="E54" s="7">
        <v>8000</v>
      </c>
      <c r="F54" s="7"/>
      <c r="G54" s="7">
        <v>10500</v>
      </c>
    </row>
    <row r="55" spans="1:7" x14ac:dyDescent="0.25">
      <c r="A55" s="99" t="s">
        <v>42</v>
      </c>
      <c r="B55" s="7"/>
      <c r="C55" s="7"/>
      <c r="D55" s="7">
        <v>2500</v>
      </c>
      <c r="E55" s="7">
        <v>8000</v>
      </c>
      <c r="F55" s="7"/>
      <c r="G55" s="7">
        <v>10500</v>
      </c>
    </row>
    <row r="56" spans="1:7" x14ac:dyDescent="0.25">
      <c r="A56" s="5" t="s">
        <v>799</v>
      </c>
      <c r="B56" s="7"/>
      <c r="C56" s="7">
        <v>268212</v>
      </c>
      <c r="D56" s="7"/>
      <c r="E56" s="7">
        <v>397655.76</v>
      </c>
      <c r="F56" s="7"/>
      <c r="G56" s="7">
        <v>665867.76</v>
      </c>
    </row>
    <row r="57" spans="1:7" x14ac:dyDescent="0.25">
      <c r="A57" s="6" t="s">
        <v>271</v>
      </c>
      <c r="B57" s="7"/>
      <c r="C57" s="7">
        <v>120000</v>
      </c>
      <c r="D57" s="7"/>
      <c r="E57" s="7"/>
      <c r="F57" s="7"/>
      <c r="G57" s="7">
        <v>120000</v>
      </c>
    </row>
    <row r="58" spans="1:7" x14ac:dyDescent="0.25">
      <c r="A58" s="99" t="s">
        <v>272</v>
      </c>
      <c r="B58" s="7"/>
      <c r="C58" s="7">
        <v>120000</v>
      </c>
      <c r="D58" s="7"/>
      <c r="E58" s="7"/>
      <c r="F58" s="7"/>
      <c r="G58" s="7">
        <v>120000</v>
      </c>
    </row>
    <row r="59" spans="1:7" x14ac:dyDescent="0.25">
      <c r="A59" s="6" t="s">
        <v>273</v>
      </c>
      <c r="B59" s="7"/>
      <c r="C59" s="7"/>
      <c r="D59" s="7"/>
      <c r="E59" s="7">
        <v>17511.400000000001</v>
      </c>
      <c r="F59" s="7"/>
      <c r="G59" s="7">
        <v>17511.400000000001</v>
      </c>
    </row>
    <row r="60" spans="1:7" x14ac:dyDescent="0.25">
      <c r="A60" s="99" t="s">
        <v>274</v>
      </c>
      <c r="B60" s="7"/>
      <c r="C60" s="7"/>
      <c r="D60" s="7"/>
      <c r="E60" s="7">
        <v>17511.400000000001</v>
      </c>
      <c r="F60" s="7"/>
      <c r="G60" s="7">
        <v>17511.400000000001</v>
      </c>
    </row>
    <row r="61" spans="1:7" x14ac:dyDescent="0.25">
      <c r="A61" s="6" t="s">
        <v>275</v>
      </c>
      <c r="B61" s="7"/>
      <c r="C61" s="7"/>
      <c r="D61" s="7"/>
      <c r="E61" s="7">
        <v>5600</v>
      </c>
      <c r="F61" s="7"/>
      <c r="G61" s="7">
        <v>5600</v>
      </c>
    </row>
    <row r="62" spans="1:7" x14ac:dyDescent="0.25">
      <c r="A62" s="99" t="s">
        <v>276</v>
      </c>
      <c r="B62" s="7"/>
      <c r="C62" s="7"/>
      <c r="D62" s="7"/>
      <c r="E62" s="7">
        <v>5600</v>
      </c>
      <c r="F62" s="7"/>
      <c r="G62" s="7">
        <v>5600</v>
      </c>
    </row>
    <row r="63" spans="1:7" x14ac:dyDescent="0.25">
      <c r="A63" s="6" t="s">
        <v>277</v>
      </c>
      <c r="B63" s="7"/>
      <c r="C63" s="7">
        <v>8000</v>
      </c>
      <c r="D63" s="7"/>
      <c r="E63" s="7"/>
      <c r="F63" s="7"/>
      <c r="G63" s="7">
        <v>8000</v>
      </c>
    </row>
    <row r="64" spans="1:7" x14ac:dyDescent="0.25">
      <c r="A64" s="99" t="s">
        <v>781</v>
      </c>
      <c r="B64" s="7"/>
      <c r="C64" s="7">
        <v>8000</v>
      </c>
      <c r="D64" s="7"/>
      <c r="E64" s="7"/>
      <c r="F64" s="7"/>
      <c r="G64" s="7">
        <v>8000</v>
      </c>
    </row>
    <row r="65" spans="1:7" x14ac:dyDescent="0.25">
      <c r="A65" s="6" t="s">
        <v>278</v>
      </c>
      <c r="B65" s="7"/>
      <c r="C65" s="7"/>
      <c r="D65" s="7"/>
      <c r="E65" s="7">
        <v>5800</v>
      </c>
      <c r="F65" s="7"/>
      <c r="G65" s="7">
        <v>5800</v>
      </c>
    </row>
    <row r="66" spans="1:7" x14ac:dyDescent="0.25">
      <c r="A66" s="99" t="s">
        <v>358</v>
      </c>
      <c r="B66" s="7"/>
      <c r="C66" s="7"/>
      <c r="D66" s="7"/>
      <c r="E66" s="7">
        <v>5800</v>
      </c>
      <c r="F66" s="7"/>
      <c r="G66" s="7">
        <v>5800</v>
      </c>
    </row>
    <row r="67" spans="1:7" x14ac:dyDescent="0.25">
      <c r="A67" s="6" t="s">
        <v>279</v>
      </c>
      <c r="B67" s="7"/>
      <c r="C67" s="7"/>
      <c r="D67" s="7"/>
      <c r="E67" s="7">
        <v>49000</v>
      </c>
      <c r="F67" s="7"/>
      <c r="G67" s="7">
        <v>49000</v>
      </c>
    </row>
    <row r="68" spans="1:7" x14ac:dyDescent="0.25">
      <c r="A68" s="99" t="s">
        <v>280</v>
      </c>
      <c r="B68" s="7"/>
      <c r="C68" s="7"/>
      <c r="D68" s="7"/>
      <c r="E68" s="7">
        <v>49000</v>
      </c>
      <c r="F68" s="7"/>
      <c r="G68" s="7">
        <v>49000</v>
      </c>
    </row>
    <row r="69" spans="1:7" x14ac:dyDescent="0.25">
      <c r="A69" s="6" t="s">
        <v>776</v>
      </c>
      <c r="B69" s="7"/>
      <c r="C69" s="7">
        <v>26350</v>
      </c>
      <c r="D69" s="7"/>
      <c r="E69" s="7"/>
      <c r="F69" s="7"/>
      <c r="G69" s="7">
        <v>26350</v>
      </c>
    </row>
    <row r="70" spans="1:7" x14ac:dyDescent="0.25">
      <c r="A70" s="99" t="s">
        <v>779</v>
      </c>
      <c r="B70" s="7"/>
      <c r="C70" s="7">
        <v>26350</v>
      </c>
      <c r="D70" s="7"/>
      <c r="E70" s="7"/>
      <c r="F70" s="7"/>
      <c r="G70" s="7">
        <v>26350</v>
      </c>
    </row>
    <row r="71" spans="1:7" x14ac:dyDescent="0.25">
      <c r="A71" s="6" t="s">
        <v>281</v>
      </c>
      <c r="B71" s="7"/>
      <c r="C71" s="7"/>
      <c r="D71" s="7"/>
      <c r="E71" s="7">
        <v>7005</v>
      </c>
      <c r="F71" s="7"/>
      <c r="G71" s="7">
        <v>7005</v>
      </c>
    </row>
    <row r="72" spans="1:7" x14ac:dyDescent="0.25">
      <c r="A72" s="99" t="s">
        <v>780</v>
      </c>
      <c r="B72" s="7"/>
      <c r="C72" s="7"/>
      <c r="D72" s="7"/>
      <c r="E72" s="7">
        <v>7005</v>
      </c>
      <c r="F72" s="7"/>
      <c r="G72" s="7">
        <v>7005</v>
      </c>
    </row>
    <row r="73" spans="1:7" x14ac:dyDescent="0.25">
      <c r="A73" s="6" t="s">
        <v>284</v>
      </c>
      <c r="B73" s="7"/>
      <c r="C73" s="7">
        <v>4000</v>
      </c>
      <c r="D73" s="7"/>
      <c r="E73" s="7"/>
      <c r="F73" s="7"/>
      <c r="G73" s="7">
        <v>4000</v>
      </c>
    </row>
    <row r="74" spans="1:7" x14ac:dyDescent="0.25">
      <c r="A74" s="99" t="s">
        <v>285</v>
      </c>
      <c r="B74" s="7"/>
      <c r="C74" s="7">
        <v>4000</v>
      </c>
      <c r="D74" s="7"/>
      <c r="E74" s="7"/>
      <c r="F74" s="7"/>
      <c r="G74" s="7">
        <v>4000</v>
      </c>
    </row>
    <row r="75" spans="1:7" x14ac:dyDescent="0.25">
      <c r="A75" s="6" t="s">
        <v>642</v>
      </c>
      <c r="B75" s="7"/>
      <c r="C75" s="7"/>
      <c r="D75" s="7"/>
      <c r="E75" s="7">
        <v>2200</v>
      </c>
      <c r="F75" s="7"/>
      <c r="G75" s="7">
        <v>2200</v>
      </c>
    </row>
    <row r="76" spans="1:7" x14ac:dyDescent="0.25">
      <c r="A76" s="99" t="s">
        <v>778</v>
      </c>
      <c r="B76" s="7"/>
      <c r="C76" s="7"/>
      <c r="D76" s="7"/>
      <c r="E76" s="7">
        <v>2200</v>
      </c>
      <c r="F76" s="7"/>
      <c r="G76" s="7">
        <v>2200</v>
      </c>
    </row>
    <row r="77" spans="1:7" x14ac:dyDescent="0.25">
      <c r="A77" s="6" t="s">
        <v>773</v>
      </c>
      <c r="B77" s="7"/>
      <c r="C77" s="7">
        <v>87252</v>
      </c>
      <c r="D77" s="7"/>
      <c r="E77" s="7"/>
      <c r="F77" s="7"/>
      <c r="G77" s="7">
        <v>87252</v>
      </c>
    </row>
    <row r="78" spans="1:7" x14ac:dyDescent="0.25">
      <c r="A78" s="99" t="s">
        <v>777</v>
      </c>
      <c r="B78" s="7"/>
      <c r="C78" s="7">
        <v>87252</v>
      </c>
      <c r="D78" s="7"/>
      <c r="E78" s="7"/>
      <c r="F78" s="7"/>
      <c r="G78" s="7">
        <v>87252</v>
      </c>
    </row>
    <row r="79" spans="1:7" x14ac:dyDescent="0.25">
      <c r="A79" s="6" t="s">
        <v>286</v>
      </c>
      <c r="B79" s="7"/>
      <c r="C79" s="7"/>
      <c r="D79" s="7"/>
      <c r="E79" s="7">
        <v>32000</v>
      </c>
      <c r="F79" s="7"/>
      <c r="G79" s="7">
        <v>32000</v>
      </c>
    </row>
    <row r="80" spans="1:7" x14ac:dyDescent="0.25">
      <c r="A80" s="99" t="s">
        <v>287</v>
      </c>
      <c r="B80" s="7"/>
      <c r="C80" s="7"/>
      <c r="D80" s="7"/>
      <c r="E80" s="7">
        <v>32000</v>
      </c>
      <c r="F80" s="7"/>
      <c r="G80" s="7">
        <v>32000</v>
      </c>
    </row>
    <row r="81" spans="1:7" x14ac:dyDescent="0.25">
      <c r="A81" s="6" t="s">
        <v>288</v>
      </c>
      <c r="B81" s="7"/>
      <c r="C81" s="7">
        <v>13610</v>
      </c>
      <c r="D81" s="7"/>
      <c r="E81" s="7"/>
      <c r="F81" s="7"/>
      <c r="G81" s="7">
        <v>13610</v>
      </c>
    </row>
    <row r="82" spans="1:7" x14ac:dyDescent="0.25">
      <c r="A82" s="99" t="s">
        <v>289</v>
      </c>
      <c r="B82" s="7"/>
      <c r="C82" s="7">
        <v>13610</v>
      </c>
      <c r="D82" s="7"/>
      <c r="E82" s="7"/>
      <c r="F82" s="7"/>
      <c r="G82" s="7">
        <v>13610</v>
      </c>
    </row>
    <row r="83" spans="1:7" x14ac:dyDescent="0.25">
      <c r="A83" s="6" t="s">
        <v>290</v>
      </c>
      <c r="B83" s="7"/>
      <c r="C83" s="7"/>
      <c r="D83" s="7"/>
      <c r="E83" s="7">
        <v>4500</v>
      </c>
      <c r="F83" s="7"/>
      <c r="G83" s="7">
        <v>4500</v>
      </c>
    </row>
    <row r="84" spans="1:7" x14ac:dyDescent="0.25">
      <c r="A84" s="99" t="s">
        <v>291</v>
      </c>
      <c r="B84" s="7"/>
      <c r="C84" s="7"/>
      <c r="D84" s="7"/>
      <c r="E84" s="7">
        <v>4500</v>
      </c>
      <c r="F84" s="7"/>
      <c r="G84" s="7">
        <v>4500</v>
      </c>
    </row>
    <row r="85" spans="1:7" x14ac:dyDescent="0.25">
      <c r="A85" s="6" t="s">
        <v>294</v>
      </c>
      <c r="B85" s="7"/>
      <c r="C85" s="7">
        <v>1000</v>
      </c>
      <c r="D85" s="7"/>
      <c r="E85" s="7">
        <v>1000</v>
      </c>
      <c r="F85" s="7"/>
      <c r="G85" s="7">
        <v>2000</v>
      </c>
    </row>
    <row r="86" spans="1:7" x14ac:dyDescent="0.25">
      <c r="A86" s="99" t="s">
        <v>295</v>
      </c>
      <c r="B86" s="7"/>
      <c r="C86" s="7">
        <v>1000</v>
      </c>
      <c r="D86" s="7"/>
      <c r="E86" s="7">
        <v>1000</v>
      </c>
      <c r="F86" s="7"/>
      <c r="G86" s="7">
        <v>2000</v>
      </c>
    </row>
    <row r="87" spans="1:7" x14ac:dyDescent="0.25">
      <c r="A87" s="6" t="s">
        <v>2107</v>
      </c>
      <c r="B87" s="7"/>
      <c r="C87" s="7">
        <v>8000</v>
      </c>
      <c r="D87" s="7"/>
      <c r="E87" s="7"/>
      <c r="F87" s="7"/>
      <c r="G87" s="7">
        <v>8000</v>
      </c>
    </row>
    <row r="88" spans="1:7" x14ac:dyDescent="0.25">
      <c r="A88" s="99" t="s">
        <v>2108</v>
      </c>
      <c r="B88" s="7"/>
      <c r="C88" s="7">
        <v>8000</v>
      </c>
      <c r="D88" s="7"/>
      <c r="E88" s="7"/>
      <c r="F88" s="7"/>
      <c r="G88" s="7">
        <v>8000</v>
      </c>
    </row>
    <row r="89" spans="1:7" x14ac:dyDescent="0.25">
      <c r="A89" s="6" t="s">
        <v>296</v>
      </c>
      <c r="B89" s="7"/>
      <c r="C89" s="7"/>
      <c r="D89" s="7"/>
      <c r="E89" s="7">
        <v>31174.91</v>
      </c>
      <c r="F89" s="7"/>
      <c r="G89" s="7">
        <v>31174.91</v>
      </c>
    </row>
    <row r="90" spans="1:7" x14ac:dyDescent="0.25">
      <c r="A90" s="99" t="s">
        <v>297</v>
      </c>
      <c r="B90" s="7"/>
      <c r="C90" s="7"/>
      <c r="D90" s="7"/>
      <c r="E90" s="7">
        <v>31174.91</v>
      </c>
      <c r="F90" s="7"/>
      <c r="G90" s="7">
        <v>31174.91</v>
      </c>
    </row>
    <row r="91" spans="1:7" x14ac:dyDescent="0.25">
      <c r="A91" s="6" t="s">
        <v>298</v>
      </c>
      <c r="B91" s="7"/>
      <c r="C91" s="7"/>
      <c r="D91" s="7"/>
      <c r="E91" s="7">
        <v>4550</v>
      </c>
      <c r="F91" s="7"/>
      <c r="G91" s="7">
        <v>4550</v>
      </c>
    </row>
    <row r="92" spans="1:7" x14ac:dyDescent="0.25">
      <c r="A92" s="99" t="s">
        <v>299</v>
      </c>
      <c r="B92" s="7"/>
      <c r="C92" s="7"/>
      <c r="D92" s="7"/>
      <c r="E92" s="7">
        <v>4550</v>
      </c>
      <c r="F92" s="7"/>
      <c r="G92" s="7">
        <v>4550</v>
      </c>
    </row>
    <row r="93" spans="1:7" x14ac:dyDescent="0.25">
      <c r="A93" s="6" t="s">
        <v>300</v>
      </c>
      <c r="B93" s="7"/>
      <c r="C93" s="7"/>
      <c r="D93" s="7"/>
      <c r="E93" s="7">
        <v>7200</v>
      </c>
      <c r="F93" s="7"/>
      <c r="G93" s="7">
        <v>7200</v>
      </c>
    </row>
    <row r="94" spans="1:7" x14ac:dyDescent="0.25">
      <c r="A94" s="99" t="s">
        <v>301</v>
      </c>
      <c r="B94" s="7"/>
      <c r="C94" s="7"/>
      <c r="D94" s="7"/>
      <c r="E94" s="7">
        <v>7200</v>
      </c>
      <c r="F94" s="7"/>
      <c r="G94" s="7">
        <v>7200</v>
      </c>
    </row>
    <row r="95" spans="1:7" x14ac:dyDescent="0.25">
      <c r="A95" s="6" t="s">
        <v>302</v>
      </c>
      <c r="B95" s="7"/>
      <c r="C95" s="7"/>
      <c r="D95" s="7"/>
      <c r="E95" s="7">
        <v>4165</v>
      </c>
      <c r="F95" s="7"/>
      <c r="G95" s="7">
        <v>4165</v>
      </c>
    </row>
    <row r="96" spans="1:7" x14ac:dyDescent="0.25">
      <c r="A96" s="99" t="s">
        <v>303</v>
      </c>
      <c r="B96" s="7"/>
      <c r="C96" s="7"/>
      <c r="D96" s="7"/>
      <c r="E96" s="7">
        <v>4165</v>
      </c>
      <c r="F96" s="7"/>
      <c r="G96" s="7">
        <v>4165</v>
      </c>
    </row>
    <row r="97" spans="1:7" x14ac:dyDescent="0.25">
      <c r="A97" s="6" t="s">
        <v>304</v>
      </c>
      <c r="B97" s="7"/>
      <c r="C97" s="7"/>
      <c r="D97" s="7"/>
      <c r="E97" s="7">
        <v>7880</v>
      </c>
      <c r="F97" s="7"/>
      <c r="G97" s="7">
        <v>7880</v>
      </c>
    </row>
    <row r="98" spans="1:7" x14ac:dyDescent="0.25">
      <c r="A98" s="99" t="s">
        <v>305</v>
      </c>
      <c r="B98" s="7"/>
      <c r="C98" s="7"/>
      <c r="D98" s="7"/>
      <c r="E98" s="7">
        <v>7880</v>
      </c>
      <c r="F98" s="7"/>
      <c r="G98" s="7">
        <v>7880</v>
      </c>
    </row>
    <row r="99" spans="1:7" x14ac:dyDescent="0.25">
      <c r="A99" s="6" t="s">
        <v>306</v>
      </c>
      <c r="B99" s="7"/>
      <c r="C99" s="7"/>
      <c r="D99" s="7"/>
      <c r="E99" s="7">
        <v>15219</v>
      </c>
      <c r="F99" s="7"/>
      <c r="G99" s="7">
        <v>15219</v>
      </c>
    </row>
    <row r="100" spans="1:7" x14ac:dyDescent="0.25">
      <c r="A100" s="99" t="s">
        <v>307</v>
      </c>
      <c r="B100" s="7"/>
      <c r="C100" s="7"/>
      <c r="D100" s="7"/>
      <c r="E100" s="7">
        <v>15219</v>
      </c>
      <c r="F100" s="7"/>
      <c r="G100" s="7">
        <v>15219</v>
      </c>
    </row>
    <row r="101" spans="1:7" x14ac:dyDescent="0.25">
      <c r="A101" s="6" t="s">
        <v>308</v>
      </c>
      <c r="B101" s="7"/>
      <c r="C101" s="7"/>
      <c r="D101" s="7"/>
      <c r="E101" s="7">
        <v>9250</v>
      </c>
      <c r="F101" s="7"/>
      <c r="G101" s="7">
        <v>9250</v>
      </c>
    </row>
    <row r="102" spans="1:7" x14ac:dyDescent="0.25">
      <c r="A102" s="99" t="s">
        <v>309</v>
      </c>
      <c r="B102" s="7"/>
      <c r="C102" s="7"/>
      <c r="D102" s="7"/>
      <c r="E102" s="7">
        <v>9250</v>
      </c>
      <c r="F102" s="7"/>
      <c r="G102" s="7">
        <v>9250</v>
      </c>
    </row>
    <row r="103" spans="1:7" x14ac:dyDescent="0.25">
      <c r="A103" s="6" t="s">
        <v>310</v>
      </c>
      <c r="B103" s="7"/>
      <c r="C103" s="7"/>
      <c r="D103" s="7"/>
      <c r="E103" s="7">
        <v>4850</v>
      </c>
      <c r="F103" s="7"/>
      <c r="G103" s="7">
        <v>4850</v>
      </c>
    </row>
    <row r="104" spans="1:7" x14ac:dyDescent="0.25">
      <c r="A104" s="99" t="s">
        <v>311</v>
      </c>
      <c r="B104" s="7"/>
      <c r="C104" s="7"/>
      <c r="D104" s="7"/>
      <c r="E104" s="7">
        <v>4850</v>
      </c>
      <c r="F104" s="7"/>
      <c r="G104" s="7">
        <v>4850</v>
      </c>
    </row>
    <row r="105" spans="1:7" x14ac:dyDescent="0.25">
      <c r="A105" s="6" t="s">
        <v>312</v>
      </c>
      <c r="B105" s="7"/>
      <c r="C105" s="7"/>
      <c r="D105" s="7"/>
      <c r="E105" s="7">
        <v>5357.4</v>
      </c>
      <c r="F105" s="7"/>
      <c r="G105" s="7">
        <v>5357.4</v>
      </c>
    </row>
    <row r="106" spans="1:7" x14ac:dyDescent="0.25">
      <c r="A106" s="99" t="s">
        <v>313</v>
      </c>
      <c r="B106" s="7"/>
      <c r="C106" s="7"/>
      <c r="D106" s="7"/>
      <c r="E106" s="7">
        <v>5357.4</v>
      </c>
      <c r="F106" s="7"/>
      <c r="G106" s="7">
        <v>5357.4</v>
      </c>
    </row>
    <row r="107" spans="1:7" x14ac:dyDescent="0.25">
      <c r="A107" s="6" t="s">
        <v>314</v>
      </c>
      <c r="B107" s="7"/>
      <c r="C107" s="7"/>
      <c r="D107" s="7"/>
      <c r="E107" s="7">
        <v>26840.05</v>
      </c>
      <c r="F107" s="7"/>
      <c r="G107" s="7">
        <v>26840.05</v>
      </c>
    </row>
    <row r="108" spans="1:7" x14ac:dyDescent="0.25">
      <c r="A108" s="99" t="s">
        <v>315</v>
      </c>
      <c r="B108" s="7"/>
      <c r="C108" s="7"/>
      <c r="D108" s="7"/>
      <c r="E108" s="7">
        <v>26840.05</v>
      </c>
      <c r="F108" s="7"/>
      <c r="G108" s="7">
        <v>26840.05</v>
      </c>
    </row>
    <row r="109" spans="1:7" x14ac:dyDescent="0.25">
      <c r="A109" s="6" t="s">
        <v>316</v>
      </c>
      <c r="B109" s="7"/>
      <c r="C109" s="7"/>
      <c r="D109" s="7"/>
      <c r="E109" s="7">
        <v>39301</v>
      </c>
      <c r="F109" s="7"/>
      <c r="G109" s="7">
        <v>39301</v>
      </c>
    </row>
    <row r="110" spans="1:7" x14ac:dyDescent="0.25">
      <c r="A110" s="99" t="s">
        <v>317</v>
      </c>
      <c r="B110" s="7"/>
      <c r="C110" s="7"/>
      <c r="D110" s="7"/>
      <c r="E110" s="7">
        <v>39301</v>
      </c>
      <c r="F110" s="7"/>
      <c r="G110" s="7">
        <v>39301</v>
      </c>
    </row>
    <row r="111" spans="1:7" x14ac:dyDescent="0.25">
      <c r="A111" s="6" t="s">
        <v>320</v>
      </c>
      <c r="B111" s="7"/>
      <c r="C111" s="7"/>
      <c r="D111" s="7"/>
      <c r="E111" s="7">
        <v>50052</v>
      </c>
      <c r="F111" s="7"/>
      <c r="G111" s="7">
        <v>50052</v>
      </c>
    </row>
    <row r="112" spans="1:7" x14ac:dyDescent="0.25">
      <c r="A112" s="99" t="s">
        <v>2054</v>
      </c>
      <c r="B112" s="7"/>
      <c r="C112" s="7"/>
      <c r="D112" s="7"/>
      <c r="E112" s="7">
        <v>50052</v>
      </c>
      <c r="F112" s="7"/>
      <c r="G112" s="7">
        <v>50052</v>
      </c>
    </row>
    <row r="113" spans="1:7" x14ac:dyDescent="0.25">
      <c r="A113" s="6" t="s">
        <v>321</v>
      </c>
      <c r="B113" s="7"/>
      <c r="C113" s="7"/>
      <c r="D113" s="7"/>
      <c r="E113" s="7">
        <v>12450</v>
      </c>
      <c r="F113" s="7"/>
      <c r="G113" s="7">
        <v>12450</v>
      </c>
    </row>
    <row r="114" spans="1:7" x14ac:dyDescent="0.25">
      <c r="A114" s="99" t="s">
        <v>322</v>
      </c>
      <c r="B114" s="7"/>
      <c r="C114" s="7"/>
      <c r="D114" s="7"/>
      <c r="E114" s="7">
        <v>12450</v>
      </c>
      <c r="F114" s="7"/>
      <c r="G114" s="7">
        <v>12450</v>
      </c>
    </row>
    <row r="115" spans="1:7" x14ac:dyDescent="0.25">
      <c r="A115" s="6" t="s">
        <v>323</v>
      </c>
      <c r="B115" s="7"/>
      <c r="C115" s="7"/>
      <c r="D115" s="7"/>
      <c r="E115" s="7">
        <v>22540</v>
      </c>
      <c r="F115" s="7"/>
      <c r="G115" s="7">
        <v>22540</v>
      </c>
    </row>
    <row r="116" spans="1:7" x14ac:dyDescent="0.25">
      <c r="A116" s="99" t="s">
        <v>324</v>
      </c>
      <c r="B116" s="7"/>
      <c r="C116" s="7"/>
      <c r="D116" s="7"/>
      <c r="E116" s="7">
        <v>22540</v>
      </c>
      <c r="F116" s="7"/>
      <c r="G116" s="7">
        <v>22540</v>
      </c>
    </row>
    <row r="117" spans="1:7" x14ac:dyDescent="0.25">
      <c r="A117" s="6" t="s">
        <v>2076</v>
      </c>
      <c r="B117" s="7"/>
      <c r="C117" s="7"/>
      <c r="D117" s="7"/>
      <c r="E117" s="7">
        <v>15940</v>
      </c>
      <c r="F117" s="7"/>
      <c r="G117" s="7">
        <v>15940</v>
      </c>
    </row>
    <row r="118" spans="1:7" x14ac:dyDescent="0.25">
      <c r="A118" s="99" t="s">
        <v>2078</v>
      </c>
      <c r="B118" s="7"/>
      <c r="C118" s="7"/>
      <c r="D118" s="7"/>
      <c r="E118" s="7">
        <v>15940</v>
      </c>
      <c r="F118" s="7"/>
      <c r="G118" s="7">
        <v>15940</v>
      </c>
    </row>
    <row r="119" spans="1:7" x14ac:dyDescent="0.25">
      <c r="A119" s="6" t="s">
        <v>45</v>
      </c>
      <c r="B119" s="7"/>
      <c r="C119" s="7"/>
      <c r="D119" s="7"/>
      <c r="E119" s="7">
        <v>14000</v>
      </c>
      <c r="F119" s="7"/>
      <c r="G119" s="7">
        <v>14000</v>
      </c>
    </row>
    <row r="120" spans="1:7" x14ac:dyDescent="0.25">
      <c r="A120" s="99" t="s">
        <v>46</v>
      </c>
      <c r="B120" s="7"/>
      <c r="C120" s="7"/>
      <c r="D120" s="7"/>
      <c r="E120" s="7">
        <v>14000</v>
      </c>
      <c r="F120" s="7"/>
      <c r="G120" s="7">
        <v>14000</v>
      </c>
    </row>
    <row r="121" spans="1:7" x14ac:dyDescent="0.25">
      <c r="A121" s="6" t="s">
        <v>47</v>
      </c>
      <c r="B121" s="7"/>
      <c r="C121" s="7"/>
      <c r="D121" s="7"/>
      <c r="E121" s="7">
        <v>2270</v>
      </c>
      <c r="F121" s="7"/>
      <c r="G121" s="7">
        <v>2270</v>
      </c>
    </row>
    <row r="122" spans="1:7" x14ac:dyDescent="0.25">
      <c r="A122" s="99" t="s">
        <v>48</v>
      </c>
      <c r="B122" s="7"/>
      <c r="C122" s="7"/>
      <c r="D122" s="7"/>
      <c r="E122" s="7">
        <v>2270</v>
      </c>
      <c r="F122" s="7"/>
      <c r="G122" s="7">
        <v>2270</v>
      </c>
    </row>
    <row r="123" spans="1:7" x14ac:dyDescent="0.25">
      <c r="A123" s="5" t="s">
        <v>800</v>
      </c>
      <c r="B123" s="7">
        <v>123000</v>
      </c>
      <c r="C123" s="7"/>
      <c r="D123" s="7"/>
      <c r="E123" s="7">
        <v>1433129.2399999998</v>
      </c>
      <c r="F123" s="7"/>
      <c r="G123" s="7">
        <v>1556129.2399999998</v>
      </c>
    </row>
    <row r="124" spans="1:7" x14ac:dyDescent="0.25">
      <c r="A124" s="6" t="s">
        <v>325</v>
      </c>
      <c r="B124" s="7"/>
      <c r="C124" s="7"/>
      <c r="D124" s="7"/>
      <c r="E124" s="7">
        <v>88218</v>
      </c>
      <c r="F124" s="7"/>
      <c r="G124" s="7">
        <v>88218</v>
      </c>
    </row>
    <row r="125" spans="1:7" x14ac:dyDescent="0.25">
      <c r="A125" s="99" t="s">
        <v>326</v>
      </c>
      <c r="B125" s="7"/>
      <c r="C125" s="7"/>
      <c r="D125" s="7"/>
      <c r="E125" s="7">
        <v>88218</v>
      </c>
      <c r="F125" s="7"/>
      <c r="G125" s="7">
        <v>88218</v>
      </c>
    </row>
    <row r="126" spans="1:7" x14ac:dyDescent="0.25">
      <c r="A126" s="6" t="s">
        <v>327</v>
      </c>
      <c r="B126" s="7"/>
      <c r="C126" s="7"/>
      <c r="D126" s="7"/>
      <c r="E126" s="7">
        <v>34985</v>
      </c>
      <c r="F126" s="7"/>
      <c r="G126" s="7">
        <v>34985</v>
      </c>
    </row>
    <row r="127" spans="1:7" x14ac:dyDescent="0.25">
      <c r="A127" s="99" t="s">
        <v>328</v>
      </c>
      <c r="B127" s="7"/>
      <c r="C127" s="7"/>
      <c r="D127" s="7"/>
      <c r="E127" s="7">
        <v>34985</v>
      </c>
      <c r="F127" s="7"/>
      <c r="G127" s="7">
        <v>34985</v>
      </c>
    </row>
    <row r="128" spans="1:7" x14ac:dyDescent="0.25">
      <c r="A128" s="6" t="s">
        <v>329</v>
      </c>
      <c r="B128" s="7"/>
      <c r="C128" s="7"/>
      <c r="D128" s="7"/>
      <c r="E128" s="7">
        <v>23595</v>
      </c>
      <c r="F128" s="7"/>
      <c r="G128" s="7">
        <v>23595</v>
      </c>
    </row>
    <row r="129" spans="1:7" x14ac:dyDescent="0.25">
      <c r="A129" s="99" t="s">
        <v>330</v>
      </c>
      <c r="B129" s="7"/>
      <c r="C129" s="7"/>
      <c r="D129" s="7"/>
      <c r="E129" s="7">
        <v>23595</v>
      </c>
      <c r="F129" s="7"/>
      <c r="G129" s="7">
        <v>23595</v>
      </c>
    </row>
    <row r="130" spans="1:7" x14ac:dyDescent="0.25">
      <c r="A130" s="6" t="s">
        <v>331</v>
      </c>
      <c r="B130" s="7"/>
      <c r="C130" s="7"/>
      <c r="D130" s="7"/>
      <c r="E130" s="7">
        <v>5423</v>
      </c>
      <c r="F130" s="7"/>
      <c r="G130" s="7">
        <v>5423</v>
      </c>
    </row>
    <row r="131" spans="1:7" x14ac:dyDescent="0.25">
      <c r="A131" s="99" t="s">
        <v>332</v>
      </c>
      <c r="B131" s="7"/>
      <c r="C131" s="7"/>
      <c r="D131" s="7"/>
      <c r="E131" s="7">
        <v>5423</v>
      </c>
      <c r="F131" s="7"/>
      <c r="G131" s="7">
        <v>5423</v>
      </c>
    </row>
    <row r="132" spans="1:7" x14ac:dyDescent="0.25">
      <c r="A132" s="6" t="s">
        <v>333</v>
      </c>
      <c r="B132" s="7"/>
      <c r="C132" s="7"/>
      <c r="D132" s="7"/>
      <c r="E132" s="7">
        <v>32700</v>
      </c>
      <c r="F132" s="7"/>
      <c r="G132" s="7">
        <v>32700</v>
      </c>
    </row>
    <row r="133" spans="1:7" x14ac:dyDescent="0.25">
      <c r="A133" s="99" t="s">
        <v>334</v>
      </c>
      <c r="B133" s="7"/>
      <c r="C133" s="7"/>
      <c r="D133" s="7"/>
      <c r="E133" s="7">
        <v>32700</v>
      </c>
      <c r="F133" s="7"/>
      <c r="G133" s="7">
        <v>32700</v>
      </c>
    </row>
    <row r="134" spans="1:7" x14ac:dyDescent="0.25">
      <c r="A134" s="6" t="s">
        <v>335</v>
      </c>
      <c r="B134" s="7"/>
      <c r="C134" s="7"/>
      <c r="D134" s="7"/>
      <c r="E134" s="7">
        <v>39330</v>
      </c>
      <c r="F134" s="7"/>
      <c r="G134" s="7">
        <v>39330</v>
      </c>
    </row>
    <row r="135" spans="1:7" x14ac:dyDescent="0.25">
      <c r="A135" s="99" t="s">
        <v>336</v>
      </c>
      <c r="B135" s="7"/>
      <c r="C135" s="7"/>
      <c r="D135" s="7"/>
      <c r="E135" s="7">
        <v>39330</v>
      </c>
      <c r="F135" s="7"/>
      <c r="G135" s="7">
        <v>39330</v>
      </c>
    </row>
    <row r="136" spans="1:7" x14ac:dyDescent="0.25">
      <c r="A136" s="6" t="s">
        <v>245</v>
      </c>
      <c r="B136" s="7"/>
      <c r="C136" s="7"/>
      <c r="D136" s="7"/>
      <c r="E136" s="7">
        <v>8530</v>
      </c>
      <c r="F136" s="7"/>
      <c r="G136" s="7">
        <v>8530</v>
      </c>
    </row>
    <row r="137" spans="1:7" x14ac:dyDescent="0.25">
      <c r="A137" s="99" t="s">
        <v>337</v>
      </c>
      <c r="B137" s="7"/>
      <c r="C137" s="7"/>
      <c r="D137" s="7"/>
      <c r="E137" s="7">
        <v>8530</v>
      </c>
      <c r="F137" s="7"/>
      <c r="G137" s="7">
        <v>8530</v>
      </c>
    </row>
    <row r="138" spans="1:7" x14ac:dyDescent="0.25">
      <c r="A138" s="6" t="s">
        <v>338</v>
      </c>
      <c r="B138" s="7"/>
      <c r="C138" s="7"/>
      <c r="D138" s="7"/>
      <c r="E138" s="7">
        <v>46249.440000000002</v>
      </c>
      <c r="F138" s="7"/>
      <c r="G138" s="7">
        <v>46249.440000000002</v>
      </c>
    </row>
    <row r="139" spans="1:7" x14ac:dyDescent="0.25">
      <c r="A139" s="99" t="s">
        <v>339</v>
      </c>
      <c r="B139" s="7"/>
      <c r="C139" s="7"/>
      <c r="D139" s="7"/>
      <c r="E139" s="7">
        <v>46249.440000000002</v>
      </c>
      <c r="F139" s="7"/>
      <c r="G139" s="7">
        <v>46249.440000000002</v>
      </c>
    </row>
    <row r="140" spans="1:7" x14ac:dyDescent="0.25">
      <c r="A140" s="6" t="s">
        <v>340</v>
      </c>
      <c r="B140" s="7"/>
      <c r="C140" s="7"/>
      <c r="D140" s="7"/>
      <c r="E140" s="7">
        <v>85445</v>
      </c>
      <c r="F140" s="7"/>
      <c r="G140" s="7">
        <v>85445</v>
      </c>
    </row>
    <row r="141" spans="1:7" x14ac:dyDescent="0.25">
      <c r="A141" s="99" t="s">
        <v>2169</v>
      </c>
      <c r="B141" s="7"/>
      <c r="C141" s="7"/>
      <c r="D141" s="7"/>
      <c r="E141" s="7">
        <v>85445</v>
      </c>
      <c r="F141" s="7"/>
      <c r="G141" s="7">
        <v>85445</v>
      </c>
    </row>
    <row r="142" spans="1:7" x14ac:dyDescent="0.25">
      <c r="A142" s="6" t="s">
        <v>341</v>
      </c>
      <c r="B142" s="7"/>
      <c r="C142" s="7"/>
      <c r="D142" s="7"/>
      <c r="E142" s="7">
        <v>65655</v>
      </c>
      <c r="F142" s="7"/>
      <c r="G142" s="7">
        <v>65655</v>
      </c>
    </row>
    <row r="143" spans="1:7" x14ac:dyDescent="0.25">
      <c r="A143" s="99" t="s">
        <v>2170</v>
      </c>
      <c r="B143" s="7"/>
      <c r="C143" s="7"/>
      <c r="D143" s="7"/>
      <c r="E143" s="7">
        <v>65655</v>
      </c>
      <c r="F143" s="7"/>
      <c r="G143" s="7">
        <v>65655</v>
      </c>
    </row>
    <row r="144" spans="1:7" x14ac:dyDescent="0.25">
      <c r="A144" s="6" t="s">
        <v>247</v>
      </c>
      <c r="B144" s="7"/>
      <c r="C144" s="7"/>
      <c r="D144" s="7"/>
      <c r="E144" s="7">
        <v>99644.4</v>
      </c>
      <c r="F144" s="7"/>
      <c r="G144" s="7">
        <v>99644.4</v>
      </c>
    </row>
    <row r="145" spans="1:7" x14ac:dyDescent="0.25">
      <c r="A145" s="99" t="s">
        <v>342</v>
      </c>
      <c r="B145" s="7"/>
      <c r="C145" s="7"/>
      <c r="D145" s="7"/>
      <c r="E145" s="7">
        <v>99644.4</v>
      </c>
      <c r="F145" s="7"/>
      <c r="G145" s="7">
        <v>99644.4</v>
      </c>
    </row>
    <row r="146" spans="1:7" x14ac:dyDescent="0.25">
      <c r="A146" s="6" t="s">
        <v>343</v>
      </c>
      <c r="B146" s="7"/>
      <c r="C146" s="7"/>
      <c r="D146" s="7"/>
      <c r="E146" s="7">
        <v>36189</v>
      </c>
      <c r="F146" s="7"/>
      <c r="G146" s="7">
        <v>36189</v>
      </c>
    </row>
    <row r="147" spans="1:7" x14ac:dyDescent="0.25">
      <c r="A147" s="99" t="s">
        <v>344</v>
      </c>
      <c r="B147" s="7"/>
      <c r="C147" s="7"/>
      <c r="D147" s="7"/>
      <c r="E147" s="7">
        <v>36189</v>
      </c>
      <c r="F147" s="7"/>
      <c r="G147" s="7">
        <v>36189</v>
      </c>
    </row>
    <row r="148" spans="1:7" x14ac:dyDescent="0.25">
      <c r="A148" s="6" t="s">
        <v>345</v>
      </c>
      <c r="B148" s="7"/>
      <c r="C148" s="7"/>
      <c r="D148" s="7"/>
      <c r="E148" s="7">
        <v>448169</v>
      </c>
      <c r="F148" s="7"/>
      <c r="G148" s="7">
        <v>448169</v>
      </c>
    </row>
    <row r="149" spans="1:7" x14ac:dyDescent="0.25">
      <c r="A149" s="99" t="s">
        <v>346</v>
      </c>
      <c r="B149" s="7"/>
      <c r="C149" s="7"/>
      <c r="D149" s="7"/>
      <c r="E149" s="7">
        <v>448169</v>
      </c>
      <c r="F149" s="7"/>
      <c r="G149" s="7">
        <v>448169</v>
      </c>
    </row>
    <row r="150" spans="1:7" x14ac:dyDescent="0.25">
      <c r="A150" s="6" t="s">
        <v>347</v>
      </c>
      <c r="B150" s="7"/>
      <c r="C150" s="7"/>
      <c r="D150" s="7"/>
      <c r="E150" s="7">
        <v>87579</v>
      </c>
      <c r="F150" s="7"/>
      <c r="G150" s="7">
        <v>87579</v>
      </c>
    </row>
    <row r="151" spans="1:7" x14ac:dyDescent="0.25">
      <c r="A151" s="99" t="s">
        <v>339</v>
      </c>
      <c r="B151" s="7"/>
      <c r="C151" s="7"/>
      <c r="D151" s="7"/>
      <c r="E151" s="7">
        <v>87579</v>
      </c>
      <c r="F151" s="7"/>
      <c r="G151" s="7">
        <v>87579</v>
      </c>
    </row>
    <row r="152" spans="1:7" x14ac:dyDescent="0.25">
      <c r="A152" s="6" t="s">
        <v>348</v>
      </c>
      <c r="B152" s="7"/>
      <c r="C152" s="7"/>
      <c r="D152" s="7"/>
      <c r="E152" s="7">
        <v>40977</v>
      </c>
      <c r="F152" s="7"/>
      <c r="G152" s="7">
        <v>40977</v>
      </c>
    </row>
    <row r="153" spans="1:7" x14ac:dyDescent="0.25">
      <c r="A153" s="99" t="s">
        <v>349</v>
      </c>
      <c r="B153" s="7"/>
      <c r="C153" s="7"/>
      <c r="D153" s="7"/>
      <c r="E153" s="7">
        <v>40977</v>
      </c>
      <c r="F153" s="7"/>
      <c r="G153" s="7">
        <v>40977</v>
      </c>
    </row>
    <row r="154" spans="1:7" x14ac:dyDescent="0.25">
      <c r="A154" s="6" t="s">
        <v>351</v>
      </c>
      <c r="B154" s="7"/>
      <c r="C154" s="7"/>
      <c r="D154" s="7"/>
      <c r="E154" s="7">
        <v>64104.399999999994</v>
      </c>
      <c r="F154" s="7"/>
      <c r="G154" s="7">
        <v>64104.399999999994</v>
      </c>
    </row>
    <row r="155" spans="1:7" x14ac:dyDescent="0.25">
      <c r="A155" s="99" t="s">
        <v>339</v>
      </c>
      <c r="B155" s="7"/>
      <c r="C155" s="7"/>
      <c r="D155" s="7"/>
      <c r="E155" s="7">
        <v>64104.399999999994</v>
      </c>
      <c r="F155" s="7"/>
      <c r="G155" s="7">
        <v>64104.399999999994</v>
      </c>
    </row>
    <row r="156" spans="1:7" x14ac:dyDescent="0.25">
      <c r="A156" s="6" t="s">
        <v>51</v>
      </c>
      <c r="B156" s="7"/>
      <c r="C156" s="7"/>
      <c r="D156" s="7"/>
      <c r="E156" s="7">
        <v>68120</v>
      </c>
      <c r="F156" s="7"/>
      <c r="G156" s="7">
        <v>68120</v>
      </c>
    </row>
    <row r="157" spans="1:7" x14ac:dyDescent="0.25">
      <c r="A157" s="99" t="s">
        <v>52</v>
      </c>
      <c r="B157" s="7"/>
      <c r="C157" s="7"/>
      <c r="D157" s="7"/>
      <c r="E157" s="7">
        <v>68120</v>
      </c>
      <c r="F157" s="7"/>
      <c r="G157" s="7">
        <v>68120</v>
      </c>
    </row>
    <row r="158" spans="1:7" x14ac:dyDescent="0.25">
      <c r="A158" s="6" t="s">
        <v>53</v>
      </c>
      <c r="B158" s="7">
        <v>123000</v>
      </c>
      <c r="C158" s="7"/>
      <c r="D158" s="7"/>
      <c r="E158" s="7">
        <v>71072</v>
      </c>
      <c r="F158" s="7"/>
      <c r="G158" s="7">
        <v>194072</v>
      </c>
    </row>
    <row r="159" spans="1:7" x14ac:dyDescent="0.25">
      <c r="A159" s="99" t="s">
        <v>54</v>
      </c>
      <c r="B159" s="7">
        <v>123000</v>
      </c>
      <c r="C159" s="7"/>
      <c r="D159" s="7"/>
      <c r="E159" s="7">
        <v>71072</v>
      </c>
      <c r="F159" s="7"/>
      <c r="G159" s="7">
        <v>194072</v>
      </c>
    </row>
    <row r="160" spans="1:7" x14ac:dyDescent="0.25">
      <c r="A160" s="6" t="s">
        <v>353</v>
      </c>
      <c r="B160" s="7"/>
      <c r="C160" s="7"/>
      <c r="D160" s="7"/>
      <c r="E160" s="7">
        <v>11404</v>
      </c>
      <c r="F160" s="7"/>
      <c r="G160" s="7">
        <v>11404</v>
      </c>
    </row>
    <row r="161" spans="1:7" x14ac:dyDescent="0.25">
      <c r="A161" s="99" t="s">
        <v>354</v>
      </c>
      <c r="B161" s="7"/>
      <c r="C161" s="7"/>
      <c r="D161" s="7"/>
      <c r="E161" s="7">
        <v>11404</v>
      </c>
      <c r="F161" s="7"/>
      <c r="G161" s="7">
        <v>11404</v>
      </c>
    </row>
    <row r="162" spans="1:7" x14ac:dyDescent="0.25">
      <c r="A162" s="6" t="s">
        <v>357</v>
      </c>
      <c r="B162" s="7"/>
      <c r="C162" s="7"/>
      <c r="D162" s="7"/>
      <c r="E162" s="7">
        <v>42600</v>
      </c>
      <c r="F162" s="7"/>
      <c r="G162" s="7">
        <v>42600</v>
      </c>
    </row>
    <row r="163" spans="1:7" x14ac:dyDescent="0.25">
      <c r="A163" s="99" t="s">
        <v>358</v>
      </c>
      <c r="B163" s="7"/>
      <c r="C163" s="7"/>
      <c r="D163" s="7"/>
      <c r="E163" s="7">
        <v>42600</v>
      </c>
      <c r="F163" s="7"/>
      <c r="G163" s="7">
        <v>42600</v>
      </c>
    </row>
    <row r="164" spans="1:7" x14ac:dyDescent="0.25">
      <c r="A164" s="6" t="s">
        <v>359</v>
      </c>
      <c r="B164" s="7"/>
      <c r="C164" s="7"/>
      <c r="D164" s="7"/>
      <c r="E164" s="7">
        <v>13140</v>
      </c>
      <c r="F164" s="7"/>
      <c r="G164" s="7">
        <v>13140</v>
      </c>
    </row>
    <row r="165" spans="1:7" x14ac:dyDescent="0.25">
      <c r="A165" s="99" t="s">
        <v>360</v>
      </c>
      <c r="B165" s="7"/>
      <c r="C165" s="7"/>
      <c r="D165" s="7"/>
      <c r="E165" s="7">
        <v>13140</v>
      </c>
      <c r="F165" s="7"/>
      <c r="G165" s="7">
        <v>13140</v>
      </c>
    </row>
    <row r="166" spans="1:7" x14ac:dyDescent="0.25">
      <c r="A166" s="6" t="s">
        <v>1577</v>
      </c>
      <c r="B166" s="7"/>
      <c r="C166" s="7"/>
      <c r="D166" s="7"/>
      <c r="E166" s="7">
        <v>20000</v>
      </c>
      <c r="F166" s="7"/>
      <c r="G166" s="7">
        <v>20000</v>
      </c>
    </row>
    <row r="167" spans="1:7" x14ac:dyDescent="0.25">
      <c r="A167" s="99" t="s">
        <v>1950</v>
      </c>
      <c r="B167" s="7"/>
      <c r="C167" s="7"/>
      <c r="D167" s="7"/>
      <c r="E167" s="7">
        <v>20000</v>
      </c>
      <c r="F167" s="7"/>
      <c r="G167" s="7">
        <v>20000</v>
      </c>
    </row>
    <row r="168" spans="1:7" x14ac:dyDescent="0.25">
      <c r="A168" s="5" t="s">
        <v>801</v>
      </c>
      <c r="B168" s="7">
        <v>593846</v>
      </c>
      <c r="C168" s="7">
        <v>20950</v>
      </c>
      <c r="D168" s="7"/>
      <c r="E168" s="7">
        <v>530239.56000000006</v>
      </c>
      <c r="F168" s="7">
        <v>1000</v>
      </c>
      <c r="G168" s="7">
        <v>1146035.56</v>
      </c>
    </row>
    <row r="169" spans="1:7" x14ac:dyDescent="0.25">
      <c r="A169" s="6" t="s">
        <v>721</v>
      </c>
      <c r="B169" s="7"/>
      <c r="C169" s="7">
        <v>8250</v>
      </c>
      <c r="D169" s="7"/>
      <c r="E169" s="7"/>
      <c r="F169" s="7"/>
      <c r="G169" s="7">
        <v>8250</v>
      </c>
    </row>
    <row r="170" spans="1:7" x14ac:dyDescent="0.25">
      <c r="A170" s="99" t="s">
        <v>722</v>
      </c>
      <c r="B170" s="7"/>
      <c r="C170" s="7">
        <v>8250</v>
      </c>
      <c r="D170" s="7"/>
      <c r="E170" s="7"/>
      <c r="F170" s="7"/>
      <c r="G170" s="7">
        <v>8250</v>
      </c>
    </row>
    <row r="171" spans="1:7" x14ac:dyDescent="0.25">
      <c r="A171" s="6" t="s">
        <v>55</v>
      </c>
      <c r="B171" s="7"/>
      <c r="C171" s="7">
        <v>6300</v>
      </c>
      <c r="D171" s="7"/>
      <c r="E171" s="7">
        <v>1632</v>
      </c>
      <c r="F171" s="7"/>
      <c r="G171" s="7">
        <v>7932</v>
      </c>
    </row>
    <row r="172" spans="1:7" x14ac:dyDescent="0.25">
      <c r="A172" s="99" t="s">
        <v>56</v>
      </c>
      <c r="B172" s="7"/>
      <c r="C172" s="7">
        <v>6300</v>
      </c>
      <c r="D172" s="7"/>
      <c r="E172" s="7">
        <v>1632</v>
      </c>
      <c r="F172" s="7"/>
      <c r="G172" s="7">
        <v>7932</v>
      </c>
    </row>
    <row r="173" spans="1:7" x14ac:dyDescent="0.25">
      <c r="A173" s="6" t="s">
        <v>361</v>
      </c>
      <c r="B173" s="7">
        <v>11000</v>
      </c>
      <c r="C173" s="7"/>
      <c r="D173" s="7"/>
      <c r="E173" s="7"/>
      <c r="F173" s="7"/>
      <c r="G173" s="7">
        <v>11000</v>
      </c>
    </row>
    <row r="174" spans="1:7" x14ac:dyDescent="0.25">
      <c r="A174" s="99" t="s">
        <v>735</v>
      </c>
      <c r="B174" s="7">
        <v>11000</v>
      </c>
      <c r="C174" s="7"/>
      <c r="D174" s="7"/>
      <c r="E174" s="7"/>
      <c r="F174" s="7"/>
      <c r="G174" s="7">
        <v>11000</v>
      </c>
    </row>
    <row r="175" spans="1:7" x14ac:dyDescent="0.25">
      <c r="A175" s="6" t="s">
        <v>362</v>
      </c>
      <c r="B175" s="7">
        <v>45500</v>
      </c>
      <c r="C175" s="7"/>
      <c r="D175" s="7"/>
      <c r="E175" s="7"/>
      <c r="F175" s="7"/>
      <c r="G175" s="7">
        <v>45500</v>
      </c>
    </row>
    <row r="176" spans="1:7" x14ac:dyDescent="0.25">
      <c r="A176" s="99" t="s">
        <v>363</v>
      </c>
      <c r="B176" s="7">
        <v>45500</v>
      </c>
      <c r="C176" s="7"/>
      <c r="D176" s="7"/>
      <c r="E176" s="7"/>
      <c r="F176" s="7"/>
      <c r="G176" s="7">
        <v>45500</v>
      </c>
    </row>
    <row r="177" spans="1:7" x14ac:dyDescent="0.25">
      <c r="A177" s="6" t="s">
        <v>364</v>
      </c>
      <c r="B177" s="7">
        <v>161600</v>
      </c>
      <c r="C177" s="7"/>
      <c r="D177" s="7"/>
      <c r="E177" s="7"/>
      <c r="F177" s="7"/>
      <c r="G177" s="7">
        <v>161600</v>
      </c>
    </row>
    <row r="178" spans="1:7" x14ac:dyDescent="0.25">
      <c r="A178" s="99" t="s">
        <v>365</v>
      </c>
      <c r="B178" s="7">
        <v>161600</v>
      </c>
      <c r="C178" s="7"/>
      <c r="D178" s="7"/>
      <c r="E178" s="7"/>
      <c r="F178" s="7"/>
      <c r="G178" s="7">
        <v>161600</v>
      </c>
    </row>
    <row r="179" spans="1:7" x14ac:dyDescent="0.25">
      <c r="A179" s="6" t="s">
        <v>366</v>
      </c>
      <c r="B179" s="7">
        <v>11600</v>
      </c>
      <c r="C179" s="7"/>
      <c r="D179" s="7"/>
      <c r="E179" s="7">
        <v>9800</v>
      </c>
      <c r="F179" s="7"/>
      <c r="G179" s="7">
        <v>21400</v>
      </c>
    </row>
    <row r="180" spans="1:7" x14ac:dyDescent="0.25">
      <c r="A180" s="99" t="s">
        <v>732</v>
      </c>
      <c r="B180" s="7">
        <v>11600</v>
      </c>
      <c r="C180" s="7"/>
      <c r="D180" s="7"/>
      <c r="E180" s="7">
        <v>9800</v>
      </c>
      <c r="F180" s="7"/>
      <c r="G180" s="7">
        <v>21400</v>
      </c>
    </row>
    <row r="181" spans="1:7" x14ac:dyDescent="0.25">
      <c r="A181" s="6" t="s">
        <v>367</v>
      </c>
      <c r="B181" s="7"/>
      <c r="C181" s="7"/>
      <c r="D181" s="7"/>
      <c r="E181" s="7">
        <v>840</v>
      </c>
      <c r="F181" s="7"/>
      <c r="G181" s="7">
        <v>840</v>
      </c>
    </row>
    <row r="182" spans="1:7" x14ac:dyDescent="0.25">
      <c r="A182" s="99" t="s">
        <v>368</v>
      </c>
      <c r="B182" s="7"/>
      <c r="C182" s="7"/>
      <c r="D182" s="7"/>
      <c r="E182" s="7">
        <v>840</v>
      </c>
      <c r="F182" s="7"/>
      <c r="G182" s="7">
        <v>840</v>
      </c>
    </row>
    <row r="183" spans="1:7" x14ac:dyDescent="0.25">
      <c r="A183" s="6" t="s">
        <v>370</v>
      </c>
      <c r="B183" s="7">
        <v>17113</v>
      </c>
      <c r="C183" s="7"/>
      <c r="D183" s="7"/>
      <c r="E183" s="7"/>
      <c r="F183" s="7"/>
      <c r="G183" s="7">
        <v>17113</v>
      </c>
    </row>
    <row r="184" spans="1:7" x14ac:dyDescent="0.25">
      <c r="A184" s="99" t="s">
        <v>371</v>
      </c>
      <c r="B184" s="7">
        <v>17113</v>
      </c>
      <c r="C184" s="7"/>
      <c r="D184" s="7"/>
      <c r="E184" s="7"/>
      <c r="F184" s="7"/>
      <c r="G184" s="7">
        <v>17113</v>
      </c>
    </row>
    <row r="185" spans="1:7" x14ac:dyDescent="0.25">
      <c r="A185" s="6" t="s">
        <v>372</v>
      </c>
      <c r="B185" s="7"/>
      <c r="C185" s="7"/>
      <c r="D185" s="7"/>
      <c r="E185" s="7">
        <v>50095</v>
      </c>
      <c r="F185" s="7"/>
      <c r="G185" s="7">
        <v>50095</v>
      </c>
    </row>
    <row r="186" spans="1:7" x14ac:dyDescent="0.25">
      <c r="A186" s="99" t="s">
        <v>373</v>
      </c>
      <c r="B186" s="7"/>
      <c r="C186" s="7"/>
      <c r="D186" s="7"/>
      <c r="E186" s="7">
        <v>50095</v>
      </c>
      <c r="F186" s="7"/>
      <c r="G186" s="7">
        <v>50095</v>
      </c>
    </row>
    <row r="187" spans="1:7" x14ac:dyDescent="0.25">
      <c r="A187" s="6" t="s">
        <v>374</v>
      </c>
      <c r="B187" s="7"/>
      <c r="C187" s="7"/>
      <c r="D187" s="7"/>
      <c r="E187" s="7">
        <v>58762</v>
      </c>
      <c r="F187" s="7"/>
      <c r="G187" s="7">
        <v>58762</v>
      </c>
    </row>
    <row r="188" spans="1:7" x14ac:dyDescent="0.25">
      <c r="A188" s="99" t="s">
        <v>375</v>
      </c>
      <c r="B188" s="7"/>
      <c r="C188" s="7"/>
      <c r="D188" s="7"/>
      <c r="E188" s="7">
        <v>58762</v>
      </c>
      <c r="F188" s="7"/>
      <c r="G188" s="7">
        <v>58762</v>
      </c>
    </row>
    <row r="189" spans="1:7" x14ac:dyDescent="0.25">
      <c r="A189" s="6" t="s">
        <v>376</v>
      </c>
      <c r="B189" s="7"/>
      <c r="C189" s="7"/>
      <c r="D189" s="7"/>
      <c r="E189" s="7">
        <v>70000</v>
      </c>
      <c r="F189" s="7"/>
      <c r="G189" s="7">
        <v>70000</v>
      </c>
    </row>
    <row r="190" spans="1:7" x14ac:dyDescent="0.25">
      <c r="A190" s="99" t="s">
        <v>377</v>
      </c>
      <c r="B190" s="7"/>
      <c r="C190" s="7"/>
      <c r="D190" s="7"/>
      <c r="E190" s="7">
        <v>70000</v>
      </c>
      <c r="F190" s="7"/>
      <c r="G190" s="7">
        <v>70000</v>
      </c>
    </row>
    <row r="191" spans="1:7" x14ac:dyDescent="0.25">
      <c r="A191" s="6" t="s">
        <v>378</v>
      </c>
      <c r="B191" s="7"/>
      <c r="C191" s="7"/>
      <c r="D191" s="7"/>
      <c r="E191" s="7">
        <v>4090</v>
      </c>
      <c r="F191" s="7"/>
      <c r="G191" s="7">
        <v>4090</v>
      </c>
    </row>
    <row r="192" spans="1:7" x14ac:dyDescent="0.25">
      <c r="A192" s="99" t="s">
        <v>379</v>
      </c>
      <c r="B192" s="7"/>
      <c r="C192" s="7"/>
      <c r="D192" s="7"/>
      <c r="E192" s="7">
        <v>4090</v>
      </c>
      <c r="F192" s="7"/>
      <c r="G192" s="7">
        <v>4090</v>
      </c>
    </row>
    <row r="193" spans="1:7" x14ac:dyDescent="0.25">
      <c r="A193" s="6" t="s">
        <v>380</v>
      </c>
      <c r="B193" s="7"/>
      <c r="C193" s="7"/>
      <c r="D193" s="7"/>
      <c r="E193" s="7">
        <v>2500</v>
      </c>
      <c r="F193" s="7"/>
      <c r="G193" s="7">
        <v>2500</v>
      </c>
    </row>
    <row r="194" spans="1:7" x14ac:dyDescent="0.25">
      <c r="A194" s="99" t="s">
        <v>365</v>
      </c>
      <c r="B194" s="7"/>
      <c r="C194" s="7"/>
      <c r="D194" s="7"/>
      <c r="E194" s="7">
        <v>2500</v>
      </c>
      <c r="F194" s="7"/>
      <c r="G194" s="7">
        <v>2500</v>
      </c>
    </row>
    <row r="195" spans="1:7" x14ac:dyDescent="0.25">
      <c r="A195" s="6" t="s">
        <v>381</v>
      </c>
      <c r="B195" s="7">
        <v>35500</v>
      </c>
      <c r="C195" s="7"/>
      <c r="D195" s="7"/>
      <c r="E195" s="7"/>
      <c r="F195" s="7"/>
      <c r="G195" s="7">
        <v>35500</v>
      </c>
    </row>
    <row r="196" spans="1:7" x14ac:dyDescent="0.25">
      <c r="A196" s="99" t="s">
        <v>687</v>
      </c>
      <c r="B196" s="7">
        <v>35500</v>
      </c>
      <c r="C196" s="7"/>
      <c r="D196" s="7"/>
      <c r="E196" s="7"/>
      <c r="F196" s="7"/>
      <c r="G196" s="7">
        <v>35500</v>
      </c>
    </row>
    <row r="197" spans="1:7" x14ac:dyDescent="0.25">
      <c r="A197" s="6" t="s">
        <v>382</v>
      </c>
      <c r="B197" s="7">
        <v>9500</v>
      </c>
      <c r="C197" s="7"/>
      <c r="D197" s="7"/>
      <c r="E197" s="7"/>
      <c r="F197" s="7"/>
      <c r="G197" s="7">
        <v>9500</v>
      </c>
    </row>
    <row r="198" spans="1:7" x14ac:dyDescent="0.25">
      <c r="A198" s="99" t="s">
        <v>383</v>
      </c>
      <c r="B198" s="7">
        <v>9500</v>
      </c>
      <c r="C198" s="7"/>
      <c r="D198" s="7"/>
      <c r="E198" s="7"/>
      <c r="F198" s="7"/>
      <c r="G198" s="7">
        <v>9500</v>
      </c>
    </row>
    <row r="199" spans="1:7" x14ac:dyDescent="0.25">
      <c r="A199" s="6" t="s">
        <v>698</v>
      </c>
      <c r="B199" s="7">
        <v>3000</v>
      </c>
      <c r="C199" s="7"/>
      <c r="D199" s="7"/>
      <c r="E199" s="7"/>
      <c r="F199" s="7"/>
      <c r="G199" s="7">
        <v>3000</v>
      </c>
    </row>
    <row r="200" spans="1:7" x14ac:dyDescent="0.25">
      <c r="A200" s="99" t="s">
        <v>699</v>
      </c>
      <c r="B200" s="7">
        <v>3000</v>
      </c>
      <c r="C200" s="7"/>
      <c r="D200" s="7"/>
      <c r="E200" s="7"/>
      <c r="F200" s="7"/>
      <c r="G200" s="7">
        <v>3000</v>
      </c>
    </row>
    <row r="201" spans="1:7" x14ac:dyDescent="0.25">
      <c r="A201" s="6" t="s">
        <v>384</v>
      </c>
      <c r="B201" s="7">
        <v>6300</v>
      </c>
      <c r="C201" s="7"/>
      <c r="D201" s="7"/>
      <c r="E201" s="7">
        <v>114484.5600000001</v>
      </c>
      <c r="F201" s="7"/>
      <c r="G201" s="7">
        <v>120784.5600000001</v>
      </c>
    </row>
    <row r="202" spans="1:7" x14ac:dyDescent="0.25">
      <c r="A202" s="99" t="s">
        <v>385</v>
      </c>
      <c r="B202" s="7">
        <v>6300</v>
      </c>
      <c r="C202" s="7"/>
      <c r="D202" s="7"/>
      <c r="E202" s="7">
        <v>114484.5600000001</v>
      </c>
      <c r="F202" s="7"/>
      <c r="G202" s="7">
        <v>120784.5600000001</v>
      </c>
    </row>
    <row r="203" spans="1:7" x14ac:dyDescent="0.25">
      <c r="A203" s="6" t="s">
        <v>386</v>
      </c>
      <c r="B203" s="7">
        <v>1000</v>
      </c>
      <c r="C203" s="7">
        <v>3800</v>
      </c>
      <c r="D203" s="7"/>
      <c r="E203" s="7">
        <v>155420</v>
      </c>
      <c r="F203" s="7"/>
      <c r="G203" s="7">
        <v>160220</v>
      </c>
    </row>
    <row r="204" spans="1:7" x14ac:dyDescent="0.25">
      <c r="A204" s="99" t="s">
        <v>377</v>
      </c>
      <c r="B204" s="7">
        <v>1000</v>
      </c>
      <c r="C204" s="7">
        <v>3800</v>
      </c>
      <c r="D204" s="7"/>
      <c r="E204" s="7">
        <v>155420</v>
      </c>
      <c r="F204" s="7"/>
      <c r="G204" s="7">
        <v>160220</v>
      </c>
    </row>
    <row r="205" spans="1:7" x14ac:dyDescent="0.25">
      <c r="A205" s="6" t="s">
        <v>387</v>
      </c>
      <c r="B205" s="7">
        <v>48524</v>
      </c>
      <c r="C205" s="7"/>
      <c r="D205" s="7"/>
      <c r="E205" s="7"/>
      <c r="F205" s="7"/>
      <c r="G205" s="7">
        <v>48524</v>
      </c>
    </row>
    <row r="206" spans="1:7" x14ac:dyDescent="0.25">
      <c r="A206" s="99" t="s">
        <v>388</v>
      </c>
      <c r="B206" s="7">
        <v>48524</v>
      </c>
      <c r="C206" s="7"/>
      <c r="D206" s="7"/>
      <c r="E206" s="7"/>
      <c r="F206" s="7"/>
      <c r="G206" s="7">
        <v>48524</v>
      </c>
    </row>
    <row r="207" spans="1:7" x14ac:dyDescent="0.25">
      <c r="A207" s="6" t="s">
        <v>389</v>
      </c>
      <c r="B207" s="7">
        <v>48100</v>
      </c>
      <c r="C207" s="7"/>
      <c r="D207" s="7"/>
      <c r="E207" s="7"/>
      <c r="F207" s="7"/>
      <c r="G207" s="7">
        <v>48100</v>
      </c>
    </row>
    <row r="208" spans="1:7" x14ac:dyDescent="0.25">
      <c r="A208" s="99" t="s">
        <v>390</v>
      </c>
      <c r="B208" s="7">
        <v>48100</v>
      </c>
      <c r="C208" s="7"/>
      <c r="D208" s="7"/>
      <c r="E208" s="7"/>
      <c r="F208" s="7"/>
      <c r="G208" s="7">
        <v>48100</v>
      </c>
    </row>
    <row r="209" spans="1:7" x14ac:dyDescent="0.25">
      <c r="A209" s="6" t="s">
        <v>391</v>
      </c>
      <c r="B209" s="7">
        <v>2500</v>
      </c>
      <c r="C209" s="7"/>
      <c r="D209" s="7"/>
      <c r="E209" s="7"/>
      <c r="F209" s="7"/>
      <c r="G209" s="7">
        <v>2500</v>
      </c>
    </row>
    <row r="210" spans="1:7" x14ac:dyDescent="0.25">
      <c r="A210" s="99" t="s">
        <v>736</v>
      </c>
      <c r="B210" s="7">
        <v>2500</v>
      </c>
      <c r="C210" s="7"/>
      <c r="D210" s="7"/>
      <c r="E210" s="7"/>
      <c r="F210" s="7"/>
      <c r="G210" s="7">
        <v>2500</v>
      </c>
    </row>
    <row r="211" spans="1:7" x14ac:dyDescent="0.25">
      <c r="A211" s="6" t="s">
        <v>392</v>
      </c>
      <c r="B211" s="7">
        <v>45600</v>
      </c>
      <c r="C211" s="7"/>
      <c r="D211" s="7"/>
      <c r="E211" s="7"/>
      <c r="F211" s="7"/>
      <c r="G211" s="7">
        <v>45600</v>
      </c>
    </row>
    <row r="212" spans="1:7" x14ac:dyDescent="0.25">
      <c r="A212" s="99" t="s">
        <v>689</v>
      </c>
      <c r="B212" s="7">
        <v>45600</v>
      </c>
      <c r="C212" s="7"/>
      <c r="D212" s="7"/>
      <c r="E212" s="7"/>
      <c r="F212" s="7"/>
      <c r="G212" s="7">
        <v>45600</v>
      </c>
    </row>
    <row r="213" spans="1:7" x14ac:dyDescent="0.25">
      <c r="A213" s="6" t="s">
        <v>393</v>
      </c>
      <c r="B213" s="7">
        <v>13600</v>
      </c>
      <c r="C213" s="7"/>
      <c r="D213" s="7"/>
      <c r="E213" s="7"/>
      <c r="F213" s="7"/>
      <c r="G213" s="7">
        <v>13600</v>
      </c>
    </row>
    <row r="214" spans="1:7" x14ac:dyDescent="0.25">
      <c r="A214" s="99" t="s">
        <v>688</v>
      </c>
      <c r="B214" s="7">
        <v>13600</v>
      </c>
      <c r="C214" s="7"/>
      <c r="D214" s="7"/>
      <c r="E214" s="7"/>
      <c r="F214" s="7"/>
      <c r="G214" s="7">
        <v>13600</v>
      </c>
    </row>
    <row r="215" spans="1:7" x14ac:dyDescent="0.25">
      <c r="A215" s="6" t="s">
        <v>394</v>
      </c>
      <c r="B215" s="7">
        <v>11160</v>
      </c>
      <c r="C215" s="7">
        <v>600</v>
      </c>
      <c r="D215" s="7"/>
      <c r="E215" s="7">
        <v>8600</v>
      </c>
      <c r="F215" s="7"/>
      <c r="G215" s="7">
        <v>20360</v>
      </c>
    </row>
    <row r="216" spans="1:7" x14ac:dyDescent="0.25">
      <c r="A216" s="99" t="s">
        <v>395</v>
      </c>
      <c r="B216" s="7">
        <v>11160</v>
      </c>
      <c r="C216" s="7">
        <v>600</v>
      </c>
      <c r="D216" s="7"/>
      <c r="E216" s="7">
        <v>8600</v>
      </c>
      <c r="F216" s="7"/>
      <c r="G216" s="7">
        <v>20360</v>
      </c>
    </row>
    <row r="217" spans="1:7" x14ac:dyDescent="0.25">
      <c r="A217" s="6" t="s">
        <v>57</v>
      </c>
      <c r="B217" s="7">
        <v>5400</v>
      </c>
      <c r="C217" s="7"/>
      <c r="D217" s="7"/>
      <c r="E217" s="7"/>
      <c r="F217" s="7"/>
      <c r="G217" s="7">
        <v>5400</v>
      </c>
    </row>
    <row r="218" spans="1:7" x14ac:dyDescent="0.25">
      <c r="A218" s="99" t="s">
        <v>58</v>
      </c>
      <c r="B218" s="7">
        <v>5400</v>
      </c>
      <c r="C218" s="7"/>
      <c r="D218" s="7"/>
      <c r="E218" s="7"/>
      <c r="F218" s="7"/>
      <c r="G218" s="7">
        <v>5400</v>
      </c>
    </row>
    <row r="219" spans="1:7" x14ac:dyDescent="0.25">
      <c r="A219" s="6" t="s">
        <v>59</v>
      </c>
      <c r="B219" s="7">
        <v>16000</v>
      </c>
      <c r="C219" s="7"/>
      <c r="D219" s="7"/>
      <c r="E219" s="7">
        <v>30000</v>
      </c>
      <c r="F219" s="7"/>
      <c r="G219" s="7">
        <v>46000</v>
      </c>
    </row>
    <row r="220" spans="1:7" x14ac:dyDescent="0.25">
      <c r="A220" s="99" t="s">
        <v>60</v>
      </c>
      <c r="B220" s="7">
        <v>16000</v>
      </c>
      <c r="C220" s="7"/>
      <c r="D220" s="7"/>
      <c r="E220" s="7">
        <v>30000</v>
      </c>
      <c r="F220" s="7"/>
      <c r="G220" s="7">
        <v>46000</v>
      </c>
    </row>
    <row r="221" spans="1:7" x14ac:dyDescent="0.25">
      <c r="A221" s="6" t="s">
        <v>61</v>
      </c>
      <c r="B221" s="7">
        <v>67609</v>
      </c>
      <c r="C221" s="7"/>
      <c r="D221" s="7"/>
      <c r="E221" s="7"/>
      <c r="F221" s="7"/>
      <c r="G221" s="7">
        <v>67609</v>
      </c>
    </row>
    <row r="222" spans="1:7" x14ac:dyDescent="0.25">
      <c r="A222" s="99" t="s">
        <v>62</v>
      </c>
      <c r="B222" s="7">
        <v>67609</v>
      </c>
      <c r="C222" s="7"/>
      <c r="D222" s="7"/>
      <c r="E222" s="7"/>
      <c r="F222" s="7"/>
      <c r="G222" s="7">
        <v>67609</v>
      </c>
    </row>
    <row r="223" spans="1:7" x14ac:dyDescent="0.25">
      <c r="A223" s="6" t="s">
        <v>63</v>
      </c>
      <c r="B223" s="7">
        <v>33240</v>
      </c>
      <c r="C223" s="7"/>
      <c r="D223" s="7"/>
      <c r="E223" s="7"/>
      <c r="F223" s="7"/>
      <c r="G223" s="7">
        <v>33240</v>
      </c>
    </row>
    <row r="224" spans="1:7" x14ac:dyDescent="0.25">
      <c r="A224" s="99" t="s">
        <v>64</v>
      </c>
      <c r="B224" s="7">
        <v>33240</v>
      </c>
      <c r="C224" s="7"/>
      <c r="D224" s="7"/>
      <c r="E224" s="7"/>
      <c r="F224" s="7"/>
      <c r="G224" s="7">
        <v>33240</v>
      </c>
    </row>
    <row r="225" spans="1:7" x14ac:dyDescent="0.25">
      <c r="A225" s="6" t="s">
        <v>65</v>
      </c>
      <c r="B225" s="7"/>
      <c r="C225" s="7">
        <v>2000</v>
      </c>
      <c r="D225" s="7"/>
      <c r="E225" s="7">
        <v>24016</v>
      </c>
      <c r="F225" s="7">
        <v>1000</v>
      </c>
      <c r="G225" s="7">
        <v>27016</v>
      </c>
    </row>
    <row r="226" spans="1:7" x14ac:dyDescent="0.25">
      <c r="A226" s="99" t="s">
        <v>66</v>
      </c>
      <c r="B226" s="7"/>
      <c r="C226" s="7">
        <v>2000</v>
      </c>
      <c r="D226" s="7"/>
      <c r="E226" s="7">
        <v>24016</v>
      </c>
      <c r="F226" s="7">
        <v>1000</v>
      </c>
      <c r="G226" s="7">
        <v>27016</v>
      </c>
    </row>
    <row r="227" spans="1:7" x14ac:dyDescent="0.25">
      <c r="A227" s="5" t="s">
        <v>1516</v>
      </c>
      <c r="B227" s="7">
        <v>716846</v>
      </c>
      <c r="C227" s="7">
        <v>305912</v>
      </c>
      <c r="D227" s="7">
        <v>31198</v>
      </c>
      <c r="E227" s="7">
        <v>3690168.3799999994</v>
      </c>
      <c r="F227" s="7">
        <v>59019.017578999999</v>
      </c>
      <c r="G227" s="7">
        <v>4803143.3975789994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8"/>
  <sheetViews>
    <sheetView topLeftCell="F1" zoomScale="85" zoomScaleNormal="85" workbookViewId="0">
      <selection activeCell="G21" sqref="G21"/>
    </sheetView>
  </sheetViews>
  <sheetFormatPr defaultRowHeight="15" x14ac:dyDescent="0.25"/>
  <cols>
    <col min="1" max="1" width="10.85546875" customWidth="1"/>
    <col min="2" max="2" width="12.5703125" customWidth="1"/>
    <col min="3" max="3" width="20.85546875" customWidth="1"/>
    <col min="4" max="4" width="22.28515625" customWidth="1"/>
    <col min="5" max="5" width="24.85546875" customWidth="1"/>
    <col min="6" max="6" width="21.140625" customWidth="1"/>
    <col min="7" max="7" width="147.42578125" bestFit="1" customWidth="1"/>
    <col min="8" max="8" width="11.7109375" bestFit="1" customWidth="1"/>
    <col min="9" max="9" width="11.42578125" customWidth="1"/>
    <col min="11" max="11" width="15.28515625" customWidth="1"/>
    <col min="12" max="12" width="15.140625" customWidth="1"/>
    <col min="13" max="13" width="13.28515625" customWidth="1"/>
    <col min="14" max="14" width="22.28515625" customWidth="1"/>
    <col min="15" max="16" width="19.85546875" customWidth="1"/>
  </cols>
  <sheetData>
    <row r="1" spans="1:16" x14ac:dyDescent="0.25">
      <c r="A1" s="12" t="s">
        <v>7</v>
      </c>
      <c r="B1" s="12" t="s">
        <v>1</v>
      </c>
      <c r="C1" s="12" t="s">
        <v>246</v>
      </c>
      <c r="D1" s="12" t="s">
        <v>490</v>
      </c>
      <c r="E1" s="12" t="s">
        <v>67</v>
      </c>
      <c r="F1" s="12" t="s">
        <v>5</v>
      </c>
      <c r="G1" s="12" t="s">
        <v>6</v>
      </c>
      <c r="H1" s="13" t="s">
        <v>398</v>
      </c>
      <c r="I1" s="13" t="s">
        <v>165</v>
      </c>
      <c r="J1" s="12" t="s">
        <v>2</v>
      </c>
      <c r="K1" s="12" t="s">
        <v>91</v>
      </c>
      <c r="L1" s="12" t="s">
        <v>77</v>
      </c>
      <c r="M1" s="12" t="s">
        <v>9</v>
      </c>
      <c r="N1" s="12" t="s">
        <v>160</v>
      </c>
      <c r="O1" s="12" t="s">
        <v>2009</v>
      </c>
      <c r="P1" s="12" t="s">
        <v>135</v>
      </c>
    </row>
    <row r="2" spans="1:16" x14ac:dyDescent="0.25">
      <c r="A2" s="139" t="s">
        <v>798</v>
      </c>
      <c r="B2" s="139" t="s">
        <v>13</v>
      </c>
      <c r="C2" s="140" t="s">
        <v>14</v>
      </c>
      <c r="D2" s="140" t="s">
        <v>559</v>
      </c>
      <c r="E2" s="140" t="s">
        <v>68</v>
      </c>
      <c r="F2" s="139" t="s">
        <v>828</v>
      </c>
      <c r="G2" s="139" t="s">
        <v>831</v>
      </c>
      <c r="H2" s="141">
        <v>100</v>
      </c>
      <c r="I2" s="142"/>
      <c r="J2" s="139">
        <v>5500</v>
      </c>
      <c r="K2" s="140" t="s">
        <v>100</v>
      </c>
      <c r="L2" s="139">
        <v>55</v>
      </c>
      <c r="M2" s="139" t="s">
        <v>2219</v>
      </c>
      <c r="N2" s="140" t="s">
        <v>131</v>
      </c>
      <c r="O2" s="140" t="s">
        <v>549</v>
      </c>
      <c r="P2" s="140" t="s">
        <v>85</v>
      </c>
    </row>
    <row r="3" spans="1:16" x14ac:dyDescent="0.25">
      <c r="A3" s="10" t="s">
        <v>798</v>
      </c>
      <c r="B3" s="10" t="s">
        <v>13</v>
      </c>
      <c r="C3" s="136" t="s">
        <v>14</v>
      </c>
      <c r="D3" s="136" t="s">
        <v>559</v>
      </c>
      <c r="E3" s="136" t="s">
        <v>68</v>
      </c>
      <c r="F3" s="10" t="s">
        <v>828</v>
      </c>
      <c r="G3" s="10" t="s">
        <v>832</v>
      </c>
      <c r="H3" s="137">
        <v>50</v>
      </c>
      <c r="I3" s="138"/>
      <c r="J3" s="10">
        <v>5500</v>
      </c>
      <c r="K3" s="136" t="s">
        <v>100</v>
      </c>
      <c r="L3" s="10">
        <v>55</v>
      </c>
      <c r="M3" s="10" t="s">
        <v>2219</v>
      </c>
      <c r="N3" s="136" t="s">
        <v>131</v>
      </c>
      <c r="O3" s="136" t="s">
        <v>549</v>
      </c>
      <c r="P3" s="136" t="s">
        <v>85</v>
      </c>
    </row>
    <row r="4" spans="1:16" x14ac:dyDescent="0.25">
      <c r="A4" s="139" t="s">
        <v>798</v>
      </c>
      <c r="B4" s="139" t="s">
        <v>13</v>
      </c>
      <c r="C4" s="140" t="s">
        <v>14</v>
      </c>
      <c r="D4" s="140" t="s">
        <v>559</v>
      </c>
      <c r="E4" s="140" t="s">
        <v>68</v>
      </c>
      <c r="F4" s="139" t="s">
        <v>828</v>
      </c>
      <c r="G4" s="139" t="s">
        <v>833</v>
      </c>
      <c r="H4" s="141">
        <v>500</v>
      </c>
      <c r="I4" s="142"/>
      <c r="J4" s="139">
        <v>5540</v>
      </c>
      <c r="K4" s="140" t="s">
        <v>121</v>
      </c>
      <c r="L4" s="139">
        <v>55</v>
      </c>
      <c r="M4" s="139" t="s">
        <v>2219</v>
      </c>
      <c r="N4" s="140" t="s">
        <v>131</v>
      </c>
      <c r="O4" s="140" t="s">
        <v>549</v>
      </c>
      <c r="P4" s="140" t="s">
        <v>85</v>
      </c>
    </row>
    <row r="5" spans="1:16" x14ac:dyDescent="0.25">
      <c r="A5" s="10" t="s">
        <v>798</v>
      </c>
      <c r="B5" s="10" t="s">
        <v>13</v>
      </c>
      <c r="C5" s="136" t="s">
        <v>14</v>
      </c>
      <c r="D5" s="136" t="s">
        <v>559</v>
      </c>
      <c r="E5" s="136" t="s">
        <v>68</v>
      </c>
      <c r="F5" s="10" t="s">
        <v>828</v>
      </c>
      <c r="G5" s="10" t="s">
        <v>834</v>
      </c>
      <c r="H5" s="137">
        <v>1250</v>
      </c>
      <c r="I5" s="138"/>
      <c r="J5" s="10">
        <v>5500</v>
      </c>
      <c r="K5" s="136" t="s">
        <v>100</v>
      </c>
      <c r="L5" s="10">
        <v>55</v>
      </c>
      <c r="M5" s="10" t="s">
        <v>2219</v>
      </c>
      <c r="N5" s="136" t="s">
        <v>131</v>
      </c>
      <c r="O5" s="136" t="s">
        <v>549</v>
      </c>
      <c r="P5" s="136" t="s">
        <v>85</v>
      </c>
    </row>
    <row r="6" spans="1:16" x14ac:dyDescent="0.25">
      <c r="A6" s="139" t="s">
        <v>798</v>
      </c>
      <c r="B6" s="139" t="s">
        <v>13</v>
      </c>
      <c r="C6" s="140" t="s">
        <v>14</v>
      </c>
      <c r="D6" s="140" t="s">
        <v>559</v>
      </c>
      <c r="E6" s="140" t="s">
        <v>68</v>
      </c>
      <c r="F6" s="139" t="s">
        <v>828</v>
      </c>
      <c r="G6" s="139" t="s">
        <v>409</v>
      </c>
      <c r="H6" s="141">
        <v>9350</v>
      </c>
      <c r="I6" s="142" t="s">
        <v>835</v>
      </c>
      <c r="J6" s="139">
        <v>5504</v>
      </c>
      <c r="K6" s="140" t="s">
        <v>102</v>
      </c>
      <c r="L6" s="139">
        <v>55</v>
      </c>
      <c r="M6" s="139" t="s">
        <v>2219</v>
      </c>
      <c r="N6" s="140" t="s">
        <v>131</v>
      </c>
      <c r="O6" s="140" t="s">
        <v>549</v>
      </c>
      <c r="P6" s="140" t="s">
        <v>85</v>
      </c>
    </row>
    <row r="7" spans="1:16" x14ac:dyDescent="0.25">
      <c r="A7" s="10" t="s">
        <v>798</v>
      </c>
      <c r="B7" s="10" t="s">
        <v>13</v>
      </c>
      <c r="C7" s="136" t="s">
        <v>14</v>
      </c>
      <c r="D7" s="136" t="s">
        <v>559</v>
      </c>
      <c r="E7" s="136" t="s">
        <v>68</v>
      </c>
      <c r="F7" s="10" t="s">
        <v>828</v>
      </c>
      <c r="G7" s="10" t="s">
        <v>442</v>
      </c>
      <c r="H7" s="137">
        <v>1800</v>
      </c>
      <c r="I7" s="138" t="s">
        <v>836</v>
      </c>
      <c r="J7" s="10">
        <v>5513</v>
      </c>
      <c r="K7" s="136" t="s">
        <v>111</v>
      </c>
      <c r="L7" s="10">
        <v>55</v>
      </c>
      <c r="M7" s="10" t="s">
        <v>2219</v>
      </c>
      <c r="N7" s="136" t="s">
        <v>131</v>
      </c>
      <c r="O7" s="136" t="s">
        <v>549</v>
      </c>
      <c r="P7" s="136" t="s">
        <v>85</v>
      </c>
    </row>
    <row r="8" spans="1:16" x14ac:dyDescent="0.25">
      <c r="A8" s="151" t="s">
        <v>798</v>
      </c>
      <c r="B8" s="151" t="s">
        <v>15</v>
      </c>
      <c r="C8" s="154" t="s">
        <v>16</v>
      </c>
      <c r="D8" s="154" t="s">
        <v>560</v>
      </c>
      <c r="E8" s="154" t="s">
        <v>68</v>
      </c>
      <c r="F8" s="151" t="s">
        <v>624</v>
      </c>
      <c r="G8" s="151" t="s">
        <v>1922</v>
      </c>
      <c r="H8" s="152">
        <v>9936</v>
      </c>
      <c r="I8" s="153" t="s">
        <v>1923</v>
      </c>
      <c r="J8" s="151">
        <v>5511</v>
      </c>
      <c r="K8" s="154" t="s">
        <v>106</v>
      </c>
      <c r="L8" s="151">
        <v>55</v>
      </c>
      <c r="M8" s="151" t="s">
        <v>2219</v>
      </c>
      <c r="N8" s="154" t="s">
        <v>131</v>
      </c>
      <c r="O8" s="154" t="s">
        <v>549</v>
      </c>
      <c r="P8" s="154" t="s">
        <v>85</v>
      </c>
    </row>
    <row r="9" spans="1:16" x14ac:dyDescent="0.25">
      <c r="A9" s="10" t="s">
        <v>798</v>
      </c>
      <c r="B9" s="10" t="s">
        <v>15</v>
      </c>
      <c r="C9" s="136" t="s">
        <v>16</v>
      </c>
      <c r="D9" s="136" t="s">
        <v>560</v>
      </c>
      <c r="E9" s="136" t="s">
        <v>68</v>
      </c>
      <c r="F9" s="10" t="s">
        <v>491</v>
      </c>
      <c r="G9" s="10" t="s">
        <v>495</v>
      </c>
      <c r="H9" s="137">
        <v>2000</v>
      </c>
      <c r="I9" s="138"/>
      <c r="J9" s="10">
        <v>5500</v>
      </c>
      <c r="K9" s="136" t="s">
        <v>100</v>
      </c>
      <c r="L9" s="10">
        <v>55</v>
      </c>
      <c r="M9" s="10" t="s">
        <v>2219</v>
      </c>
      <c r="N9" s="10" t="s">
        <v>131</v>
      </c>
      <c r="O9" s="10" t="s">
        <v>549</v>
      </c>
      <c r="P9" s="136" t="s">
        <v>85</v>
      </c>
    </row>
    <row r="10" spans="1:16" x14ac:dyDescent="0.25">
      <c r="A10" s="143" t="s">
        <v>798</v>
      </c>
      <c r="B10" s="143" t="s">
        <v>15</v>
      </c>
      <c r="C10" s="144" t="s">
        <v>16</v>
      </c>
      <c r="D10" s="144" t="s">
        <v>560</v>
      </c>
      <c r="E10" s="144" t="s">
        <v>68</v>
      </c>
      <c r="F10" s="143" t="s">
        <v>491</v>
      </c>
      <c r="G10" s="143" t="s">
        <v>496</v>
      </c>
      <c r="H10" s="145"/>
      <c r="I10" s="146" t="s">
        <v>497</v>
      </c>
      <c r="J10" s="143">
        <v>5500</v>
      </c>
      <c r="K10" s="144" t="s">
        <v>100</v>
      </c>
      <c r="L10" s="143">
        <v>55</v>
      </c>
      <c r="M10" s="143" t="s">
        <v>2219</v>
      </c>
      <c r="N10" s="143" t="s">
        <v>131</v>
      </c>
      <c r="O10" s="143" t="s">
        <v>549</v>
      </c>
      <c r="P10" s="144" t="s">
        <v>85</v>
      </c>
    </row>
    <row r="11" spans="1:16" x14ac:dyDescent="0.25">
      <c r="A11" s="10" t="s">
        <v>798</v>
      </c>
      <c r="B11" s="10" t="s">
        <v>15</v>
      </c>
      <c r="C11" s="136" t="s">
        <v>16</v>
      </c>
      <c r="D11" s="136" t="s">
        <v>560</v>
      </c>
      <c r="E11" s="136" t="s">
        <v>68</v>
      </c>
      <c r="F11" s="10" t="s">
        <v>491</v>
      </c>
      <c r="G11" s="10" t="s">
        <v>498</v>
      </c>
      <c r="H11" s="137">
        <v>7200</v>
      </c>
      <c r="I11" s="138" t="s">
        <v>501</v>
      </c>
      <c r="J11" s="10">
        <v>5500</v>
      </c>
      <c r="K11" s="136" t="s">
        <v>100</v>
      </c>
      <c r="L11" s="10">
        <v>55</v>
      </c>
      <c r="M11" s="10" t="s">
        <v>2219</v>
      </c>
      <c r="N11" s="10" t="s">
        <v>131</v>
      </c>
      <c r="O11" s="10" t="s">
        <v>549</v>
      </c>
      <c r="P11" s="136" t="s">
        <v>85</v>
      </c>
    </row>
    <row r="12" spans="1:16" x14ac:dyDescent="0.25">
      <c r="A12" s="139" t="s">
        <v>798</v>
      </c>
      <c r="B12" s="139" t="s">
        <v>15</v>
      </c>
      <c r="C12" s="140" t="s">
        <v>16</v>
      </c>
      <c r="D12" s="140" t="s">
        <v>560</v>
      </c>
      <c r="E12" s="140" t="s">
        <v>68</v>
      </c>
      <c r="F12" s="139" t="s">
        <v>491</v>
      </c>
      <c r="G12" s="139" t="s">
        <v>409</v>
      </c>
      <c r="H12" s="141">
        <v>1500</v>
      </c>
      <c r="I12" s="142" t="s">
        <v>503</v>
      </c>
      <c r="J12" s="139">
        <v>5504</v>
      </c>
      <c r="K12" s="140" t="s">
        <v>102</v>
      </c>
      <c r="L12" s="139">
        <v>55</v>
      </c>
      <c r="M12" s="139" t="s">
        <v>2219</v>
      </c>
      <c r="N12" s="139" t="s">
        <v>131</v>
      </c>
      <c r="O12" s="139" t="s">
        <v>549</v>
      </c>
      <c r="P12" s="140" t="s">
        <v>85</v>
      </c>
    </row>
    <row r="13" spans="1:16" x14ac:dyDescent="0.25">
      <c r="A13" s="10" t="s">
        <v>798</v>
      </c>
      <c r="B13" s="10" t="s">
        <v>15</v>
      </c>
      <c r="C13" s="136" t="s">
        <v>16</v>
      </c>
      <c r="D13" s="136" t="s">
        <v>560</v>
      </c>
      <c r="E13" s="136" t="s">
        <v>68</v>
      </c>
      <c r="F13" s="10" t="s">
        <v>491</v>
      </c>
      <c r="G13" s="10" t="s">
        <v>500</v>
      </c>
      <c r="H13" s="137">
        <v>120</v>
      </c>
      <c r="I13" s="138"/>
      <c r="J13" s="10">
        <v>5504</v>
      </c>
      <c r="K13" s="136" t="s">
        <v>102</v>
      </c>
      <c r="L13" s="10">
        <v>55</v>
      </c>
      <c r="M13" s="10" t="s">
        <v>2219</v>
      </c>
      <c r="N13" s="10" t="s">
        <v>131</v>
      </c>
      <c r="O13" s="10" t="s">
        <v>549</v>
      </c>
      <c r="P13" s="136" t="s">
        <v>85</v>
      </c>
    </row>
    <row r="14" spans="1:16" x14ac:dyDescent="0.25">
      <c r="A14" s="143" t="s">
        <v>798</v>
      </c>
      <c r="B14" s="143" t="s">
        <v>15</v>
      </c>
      <c r="C14" s="144" t="s">
        <v>16</v>
      </c>
      <c r="D14" s="144" t="s">
        <v>560</v>
      </c>
      <c r="E14" s="144" t="s">
        <v>68</v>
      </c>
      <c r="F14" s="143" t="s">
        <v>491</v>
      </c>
      <c r="G14" s="143" t="s">
        <v>442</v>
      </c>
      <c r="H14" s="145"/>
      <c r="I14" s="146"/>
      <c r="J14" s="143">
        <v>5513</v>
      </c>
      <c r="K14" s="144" t="s">
        <v>111</v>
      </c>
      <c r="L14" s="143">
        <v>55</v>
      </c>
      <c r="M14" s="143" t="s">
        <v>2219</v>
      </c>
      <c r="N14" s="143" t="s">
        <v>131</v>
      </c>
      <c r="O14" s="143" t="s">
        <v>549</v>
      </c>
      <c r="P14" s="144" t="s">
        <v>85</v>
      </c>
    </row>
    <row r="15" spans="1:16" x14ac:dyDescent="0.25">
      <c r="A15" s="10" t="s">
        <v>798</v>
      </c>
      <c r="B15" s="10" t="s">
        <v>15</v>
      </c>
      <c r="C15" s="136" t="s">
        <v>16</v>
      </c>
      <c r="D15" s="136" t="s">
        <v>560</v>
      </c>
      <c r="E15" s="136" t="s">
        <v>68</v>
      </c>
      <c r="F15" s="10" t="s">
        <v>491</v>
      </c>
      <c r="G15" s="10" t="s">
        <v>499</v>
      </c>
      <c r="H15" s="137">
        <v>2880</v>
      </c>
      <c r="I15" s="138" t="s">
        <v>502</v>
      </c>
      <c r="J15" s="10">
        <v>5514</v>
      </c>
      <c r="K15" s="136" t="s">
        <v>110</v>
      </c>
      <c r="L15" s="10">
        <v>55</v>
      </c>
      <c r="M15" s="10" t="s">
        <v>2219</v>
      </c>
      <c r="N15" s="10" t="s">
        <v>131</v>
      </c>
      <c r="O15" s="10" t="s">
        <v>549</v>
      </c>
      <c r="P15" s="136" t="s">
        <v>85</v>
      </c>
    </row>
    <row r="16" spans="1:16" x14ac:dyDescent="0.25">
      <c r="A16" s="139" t="s">
        <v>798</v>
      </c>
      <c r="B16" s="139" t="s">
        <v>15</v>
      </c>
      <c r="C16" s="140" t="s">
        <v>16</v>
      </c>
      <c r="D16" s="140" t="s">
        <v>560</v>
      </c>
      <c r="E16" s="140" t="s">
        <v>68</v>
      </c>
      <c r="F16" s="139" t="s">
        <v>491</v>
      </c>
      <c r="G16" s="139" t="s">
        <v>625</v>
      </c>
      <c r="H16" s="141">
        <v>120</v>
      </c>
      <c r="I16" s="142"/>
      <c r="J16" s="139">
        <v>4528</v>
      </c>
      <c r="K16" s="140" t="s">
        <v>159</v>
      </c>
      <c r="L16" s="139">
        <v>452</v>
      </c>
      <c r="M16" s="139" t="s">
        <v>2244</v>
      </c>
      <c r="N16" s="139" t="s">
        <v>164</v>
      </c>
      <c r="O16" s="139" t="s">
        <v>155</v>
      </c>
      <c r="P16" s="140" t="s">
        <v>85</v>
      </c>
    </row>
    <row r="17" spans="1:16" x14ac:dyDescent="0.25">
      <c r="A17" s="10" t="s">
        <v>798</v>
      </c>
      <c r="B17" s="10" t="s">
        <v>15</v>
      </c>
      <c r="C17" s="136" t="s">
        <v>16</v>
      </c>
      <c r="D17" s="136" t="s">
        <v>560</v>
      </c>
      <c r="E17" s="136" t="s">
        <v>68</v>
      </c>
      <c r="F17" s="10" t="s">
        <v>491</v>
      </c>
      <c r="G17" s="10" t="s">
        <v>840</v>
      </c>
      <c r="H17" s="137">
        <v>30</v>
      </c>
      <c r="I17" s="138"/>
      <c r="J17" s="10">
        <v>4528</v>
      </c>
      <c r="K17" s="136" t="s">
        <v>159</v>
      </c>
      <c r="L17" s="10">
        <v>452</v>
      </c>
      <c r="M17" s="10" t="s">
        <v>2244</v>
      </c>
      <c r="N17" s="136" t="s">
        <v>164</v>
      </c>
      <c r="O17" s="136" t="s">
        <v>155</v>
      </c>
      <c r="P17" s="136" t="s">
        <v>85</v>
      </c>
    </row>
    <row r="18" spans="1:16" x14ac:dyDescent="0.25">
      <c r="A18" s="139" t="s">
        <v>798</v>
      </c>
      <c r="B18" s="139" t="s">
        <v>15</v>
      </c>
      <c r="C18" s="140" t="s">
        <v>16</v>
      </c>
      <c r="D18" s="140" t="s">
        <v>560</v>
      </c>
      <c r="E18" s="140" t="s">
        <v>68</v>
      </c>
      <c r="F18" s="139" t="s">
        <v>818</v>
      </c>
      <c r="G18" s="139" t="s">
        <v>1828</v>
      </c>
      <c r="H18" s="141">
        <v>1000</v>
      </c>
      <c r="I18" s="142"/>
      <c r="J18" s="139">
        <v>5504</v>
      </c>
      <c r="K18" s="140" t="s">
        <v>102</v>
      </c>
      <c r="L18" s="139">
        <v>55</v>
      </c>
      <c r="M18" s="139" t="s">
        <v>2219</v>
      </c>
      <c r="N18" s="140" t="s">
        <v>131</v>
      </c>
      <c r="O18" s="140" t="s">
        <v>549</v>
      </c>
      <c r="P18" s="140" t="s">
        <v>85</v>
      </c>
    </row>
    <row r="19" spans="1:16" x14ac:dyDescent="0.25">
      <c r="A19" s="10" t="s">
        <v>798</v>
      </c>
      <c r="B19" s="10" t="s">
        <v>15</v>
      </c>
      <c r="C19" s="136" t="s">
        <v>16</v>
      </c>
      <c r="D19" s="136" t="s">
        <v>560</v>
      </c>
      <c r="E19" s="136" t="s">
        <v>68</v>
      </c>
      <c r="F19" s="10" t="s">
        <v>491</v>
      </c>
      <c r="G19" s="10" t="s">
        <v>1954</v>
      </c>
      <c r="H19" s="137">
        <v>660</v>
      </c>
      <c r="I19" s="138" t="s">
        <v>1955</v>
      </c>
      <c r="J19" s="10">
        <v>5500</v>
      </c>
      <c r="K19" s="136" t="s">
        <v>100</v>
      </c>
      <c r="L19" s="10">
        <v>55</v>
      </c>
      <c r="M19" s="10" t="s">
        <v>2219</v>
      </c>
      <c r="N19" s="136" t="s">
        <v>131</v>
      </c>
      <c r="O19" s="136" t="s">
        <v>549</v>
      </c>
      <c r="P19" s="136" t="s">
        <v>85</v>
      </c>
    </row>
    <row r="20" spans="1:16" x14ac:dyDescent="0.25">
      <c r="A20" s="139" t="s">
        <v>798</v>
      </c>
      <c r="B20" s="139" t="s">
        <v>15</v>
      </c>
      <c r="C20" s="140" t="s">
        <v>16</v>
      </c>
      <c r="D20" s="140" t="s">
        <v>560</v>
      </c>
      <c r="E20" s="140" t="s">
        <v>68</v>
      </c>
      <c r="F20" s="139" t="s">
        <v>491</v>
      </c>
      <c r="G20" s="139" t="s">
        <v>1954</v>
      </c>
      <c r="H20" s="141">
        <v>480</v>
      </c>
      <c r="I20" s="142"/>
      <c r="J20" s="139">
        <v>5500</v>
      </c>
      <c r="K20" s="140" t="s">
        <v>100</v>
      </c>
      <c r="L20" s="139">
        <v>55</v>
      </c>
      <c r="M20" s="139" t="s">
        <v>2219</v>
      </c>
      <c r="N20" s="140" t="s">
        <v>131</v>
      </c>
      <c r="O20" s="140" t="s">
        <v>549</v>
      </c>
      <c r="P20" s="140" t="s">
        <v>85</v>
      </c>
    </row>
    <row r="21" spans="1:16" x14ac:dyDescent="0.25">
      <c r="A21" s="10" t="s">
        <v>798</v>
      </c>
      <c r="B21" s="10" t="s">
        <v>15</v>
      </c>
      <c r="C21" s="136" t="s">
        <v>16</v>
      </c>
      <c r="D21" s="136" t="s">
        <v>560</v>
      </c>
      <c r="E21" s="136" t="s">
        <v>68</v>
      </c>
      <c r="F21" s="10" t="s">
        <v>1971</v>
      </c>
      <c r="G21" s="10" t="s">
        <v>1956</v>
      </c>
      <c r="H21" s="137">
        <v>500</v>
      </c>
      <c r="I21" s="138"/>
      <c r="J21" s="10">
        <v>5500</v>
      </c>
      <c r="K21" s="136" t="s">
        <v>100</v>
      </c>
      <c r="L21" s="10">
        <v>55</v>
      </c>
      <c r="M21" s="10" t="s">
        <v>2219</v>
      </c>
      <c r="N21" s="136" t="s">
        <v>131</v>
      </c>
      <c r="O21" s="136" t="s">
        <v>549</v>
      </c>
      <c r="P21" s="136" t="s">
        <v>85</v>
      </c>
    </row>
    <row r="22" spans="1:16" x14ac:dyDescent="0.25">
      <c r="A22" s="139" t="s">
        <v>798</v>
      </c>
      <c r="B22" s="139" t="s">
        <v>15</v>
      </c>
      <c r="C22" s="140" t="s">
        <v>16</v>
      </c>
      <c r="D22" s="140" t="s">
        <v>560</v>
      </c>
      <c r="E22" s="140" t="s">
        <v>68</v>
      </c>
      <c r="F22" s="139" t="s">
        <v>1971</v>
      </c>
      <c r="G22" s="139" t="s">
        <v>1957</v>
      </c>
      <c r="H22" s="141">
        <v>500</v>
      </c>
      <c r="I22" s="142"/>
      <c r="J22" s="139">
        <v>5500</v>
      </c>
      <c r="K22" s="140" t="s">
        <v>100</v>
      </c>
      <c r="L22" s="139">
        <v>55</v>
      </c>
      <c r="M22" s="139" t="s">
        <v>2219</v>
      </c>
      <c r="N22" s="140" t="s">
        <v>131</v>
      </c>
      <c r="O22" s="140" t="s">
        <v>549</v>
      </c>
      <c r="P22" s="140" t="s">
        <v>85</v>
      </c>
    </row>
    <row r="23" spans="1:16" x14ac:dyDescent="0.25">
      <c r="A23" s="10" t="s">
        <v>798</v>
      </c>
      <c r="B23" s="10" t="s">
        <v>15</v>
      </c>
      <c r="C23" s="136" t="s">
        <v>16</v>
      </c>
      <c r="D23" s="136" t="s">
        <v>560</v>
      </c>
      <c r="E23" s="136" t="s">
        <v>68</v>
      </c>
      <c r="F23" s="10" t="s">
        <v>1971</v>
      </c>
      <c r="G23" s="10" t="s">
        <v>864</v>
      </c>
      <c r="H23" s="137">
        <v>1680</v>
      </c>
      <c r="I23" s="138"/>
      <c r="J23" s="10">
        <v>5500</v>
      </c>
      <c r="K23" s="136" t="s">
        <v>100</v>
      </c>
      <c r="L23" s="10">
        <v>55</v>
      </c>
      <c r="M23" s="10" t="s">
        <v>2219</v>
      </c>
      <c r="N23" s="136" t="s">
        <v>131</v>
      </c>
      <c r="O23" s="136" t="s">
        <v>549</v>
      </c>
      <c r="P23" s="136" t="s">
        <v>85</v>
      </c>
    </row>
    <row r="24" spans="1:16" x14ac:dyDescent="0.25">
      <c r="A24" s="139" t="s">
        <v>798</v>
      </c>
      <c r="B24" s="139" t="s">
        <v>15</v>
      </c>
      <c r="C24" s="140" t="s">
        <v>16</v>
      </c>
      <c r="D24" s="140" t="s">
        <v>560</v>
      </c>
      <c r="E24" s="140" t="s">
        <v>68</v>
      </c>
      <c r="F24" s="139" t="s">
        <v>1971</v>
      </c>
      <c r="G24" s="139" t="s">
        <v>1958</v>
      </c>
      <c r="H24" s="141">
        <v>960</v>
      </c>
      <c r="I24" s="142"/>
      <c r="J24" s="139">
        <v>5500</v>
      </c>
      <c r="K24" s="140" t="s">
        <v>100</v>
      </c>
      <c r="L24" s="139">
        <v>55</v>
      </c>
      <c r="M24" s="139" t="s">
        <v>2219</v>
      </c>
      <c r="N24" s="140" t="s">
        <v>131</v>
      </c>
      <c r="O24" s="140" t="s">
        <v>549</v>
      </c>
      <c r="P24" s="140" t="s">
        <v>85</v>
      </c>
    </row>
    <row r="25" spans="1:16" x14ac:dyDescent="0.25">
      <c r="A25" s="10" t="s">
        <v>798</v>
      </c>
      <c r="B25" s="10" t="s">
        <v>15</v>
      </c>
      <c r="C25" s="136" t="s">
        <v>16</v>
      </c>
      <c r="D25" s="136" t="s">
        <v>560</v>
      </c>
      <c r="E25" s="136" t="s">
        <v>68</v>
      </c>
      <c r="F25" s="10" t="s">
        <v>1971</v>
      </c>
      <c r="G25" s="10" t="s">
        <v>1959</v>
      </c>
      <c r="H25" s="137">
        <v>1500</v>
      </c>
      <c r="I25" s="138"/>
      <c r="J25" s="10">
        <v>5500</v>
      </c>
      <c r="K25" s="136" t="s">
        <v>100</v>
      </c>
      <c r="L25" s="10">
        <v>55</v>
      </c>
      <c r="M25" s="10" t="s">
        <v>2219</v>
      </c>
      <c r="N25" s="136" t="s">
        <v>131</v>
      </c>
      <c r="O25" s="136" t="s">
        <v>549</v>
      </c>
      <c r="P25" s="136" t="s">
        <v>85</v>
      </c>
    </row>
    <row r="26" spans="1:16" x14ac:dyDescent="0.25">
      <c r="A26" s="139" t="s">
        <v>798</v>
      </c>
      <c r="B26" s="139" t="s">
        <v>15</v>
      </c>
      <c r="C26" s="140" t="s">
        <v>16</v>
      </c>
      <c r="D26" s="140" t="s">
        <v>560</v>
      </c>
      <c r="E26" s="140" t="s">
        <v>68</v>
      </c>
      <c r="F26" s="139" t="s">
        <v>1971</v>
      </c>
      <c r="G26" s="139" t="s">
        <v>1960</v>
      </c>
      <c r="H26" s="141">
        <v>1440</v>
      </c>
      <c r="I26" s="142"/>
      <c r="J26" s="139">
        <v>5500</v>
      </c>
      <c r="K26" s="140" t="s">
        <v>100</v>
      </c>
      <c r="L26" s="139">
        <v>55</v>
      </c>
      <c r="M26" s="139" t="s">
        <v>2219</v>
      </c>
      <c r="N26" s="140" t="s">
        <v>131</v>
      </c>
      <c r="O26" s="140" t="s">
        <v>549</v>
      </c>
      <c r="P26" s="140" t="s">
        <v>85</v>
      </c>
    </row>
    <row r="27" spans="1:16" x14ac:dyDescent="0.25">
      <c r="A27" s="10" t="s">
        <v>798</v>
      </c>
      <c r="B27" s="10" t="s">
        <v>15</v>
      </c>
      <c r="C27" s="136" t="s">
        <v>16</v>
      </c>
      <c r="D27" s="136" t="s">
        <v>560</v>
      </c>
      <c r="E27" s="136" t="s">
        <v>68</v>
      </c>
      <c r="F27" s="10" t="s">
        <v>1971</v>
      </c>
      <c r="G27" s="10" t="s">
        <v>1961</v>
      </c>
      <c r="H27" s="137">
        <v>600</v>
      </c>
      <c r="I27" s="138"/>
      <c r="J27" s="10">
        <v>5500</v>
      </c>
      <c r="K27" s="136" t="s">
        <v>100</v>
      </c>
      <c r="L27" s="10">
        <v>55</v>
      </c>
      <c r="M27" s="10" t="s">
        <v>2219</v>
      </c>
      <c r="N27" s="136" t="s">
        <v>131</v>
      </c>
      <c r="O27" s="136" t="s">
        <v>549</v>
      </c>
      <c r="P27" s="136" t="s">
        <v>85</v>
      </c>
    </row>
    <row r="28" spans="1:16" x14ac:dyDescent="0.25">
      <c r="A28" s="139" t="s">
        <v>798</v>
      </c>
      <c r="B28" s="139" t="s">
        <v>15</v>
      </c>
      <c r="C28" s="140" t="s">
        <v>16</v>
      </c>
      <c r="D28" s="140" t="s">
        <v>560</v>
      </c>
      <c r="E28" s="140" t="s">
        <v>68</v>
      </c>
      <c r="F28" s="139" t="s">
        <v>1971</v>
      </c>
      <c r="G28" s="139" t="s">
        <v>1962</v>
      </c>
      <c r="H28" s="141">
        <v>420</v>
      </c>
      <c r="I28" s="142"/>
      <c r="J28" s="139">
        <v>5500</v>
      </c>
      <c r="K28" s="140" t="s">
        <v>100</v>
      </c>
      <c r="L28" s="139">
        <v>55</v>
      </c>
      <c r="M28" s="139" t="s">
        <v>2219</v>
      </c>
      <c r="N28" s="140" t="s">
        <v>131</v>
      </c>
      <c r="O28" s="140" t="s">
        <v>549</v>
      </c>
      <c r="P28" s="140" t="s">
        <v>85</v>
      </c>
    </row>
    <row r="29" spans="1:16" x14ac:dyDescent="0.25">
      <c r="A29" s="10" t="s">
        <v>798</v>
      </c>
      <c r="B29" s="10" t="s">
        <v>15</v>
      </c>
      <c r="C29" s="136" t="s">
        <v>16</v>
      </c>
      <c r="D29" s="136" t="s">
        <v>560</v>
      </c>
      <c r="E29" s="136" t="s">
        <v>68</v>
      </c>
      <c r="F29" s="10" t="s">
        <v>1971</v>
      </c>
      <c r="G29" s="10" t="s">
        <v>1963</v>
      </c>
      <c r="H29" s="137">
        <v>5000</v>
      </c>
      <c r="I29" s="138"/>
      <c r="J29" s="10">
        <v>5500</v>
      </c>
      <c r="K29" s="136" t="s">
        <v>100</v>
      </c>
      <c r="L29" s="10">
        <v>55</v>
      </c>
      <c r="M29" s="10" t="s">
        <v>2219</v>
      </c>
      <c r="N29" s="136" t="s">
        <v>131</v>
      </c>
      <c r="O29" s="136" t="s">
        <v>549</v>
      </c>
      <c r="P29" s="136" t="s">
        <v>85</v>
      </c>
    </row>
    <row r="30" spans="1:16" x14ac:dyDescent="0.25">
      <c r="A30" s="139" t="s">
        <v>798</v>
      </c>
      <c r="B30" s="139" t="s">
        <v>15</v>
      </c>
      <c r="C30" s="140" t="s">
        <v>16</v>
      </c>
      <c r="D30" s="140" t="s">
        <v>560</v>
      </c>
      <c r="E30" s="140" t="s">
        <v>68</v>
      </c>
      <c r="F30" s="139" t="s">
        <v>1971</v>
      </c>
      <c r="G30" s="139" t="s">
        <v>1964</v>
      </c>
      <c r="H30" s="141">
        <v>2520</v>
      </c>
      <c r="I30" s="142"/>
      <c r="J30" s="139">
        <v>5500</v>
      </c>
      <c r="K30" s="140" t="s">
        <v>100</v>
      </c>
      <c r="L30" s="139">
        <v>55</v>
      </c>
      <c r="M30" s="139" t="s">
        <v>2219</v>
      </c>
      <c r="N30" s="140" t="s">
        <v>131</v>
      </c>
      <c r="O30" s="140" t="s">
        <v>549</v>
      </c>
      <c r="P30" s="140" t="s">
        <v>85</v>
      </c>
    </row>
    <row r="31" spans="1:16" x14ac:dyDescent="0.25">
      <c r="A31" s="10" t="s">
        <v>798</v>
      </c>
      <c r="B31" s="10" t="s">
        <v>15</v>
      </c>
      <c r="C31" s="136" t="s">
        <v>16</v>
      </c>
      <c r="D31" s="136" t="s">
        <v>560</v>
      </c>
      <c r="E31" s="136" t="s">
        <v>68</v>
      </c>
      <c r="F31" s="10" t="s">
        <v>1971</v>
      </c>
      <c r="G31" s="10" t="s">
        <v>1965</v>
      </c>
      <c r="H31" s="137">
        <v>3480</v>
      </c>
      <c r="I31" s="138"/>
      <c r="J31" s="10">
        <v>5500</v>
      </c>
      <c r="K31" s="136" t="s">
        <v>100</v>
      </c>
      <c r="L31" s="10">
        <v>55</v>
      </c>
      <c r="M31" s="10" t="s">
        <v>2219</v>
      </c>
      <c r="N31" s="136" t="s">
        <v>131</v>
      </c>
      <c r="O31" s="136" t="s">
        <v>549</v>
      </c>
      <c r="P31" s="136" t="s">
        <v>85</v>
      </c>
    </row>
    <row r="32" spans="1:16" x14ac:dyDescent="0.25">
      <c r="A32" s="139" t="s">
        <v>798</v>
      </c>
      <c r="B32" s="139" t="s">
        <v>15</v>
      </c>
      <c r="C32" s="140" t="s">
        <v>16</v>
      </c>
      <c r="D32" s="140" t="s">
        <v>560</v>
      </c>
      <c r="E32" s="140" t="s">
        <v>68</v>
      </c>
      <c r="F32" s="139" t="s">
        <v>1971</v>
      </c>
      <c r="G32" s="139" t="s">
        <v>1966</v>
      </c>
      <c r="H32" s="141">
        <v>540</v>
      </c>
      <c r="I32" s="142"/>
      <c r="J32" s="139">
        <v>5500</v>
      </c>
      <c r="K32" s="140" t="s">
        <v>100</v>
      </c>
      <c r="L32" s="139">
        <v>55</v>
      </c>
      <c r="M32" s="139" t="s">
        <v>2219</v>
      </c>
      <c r="N32" s="140" t="s">
        <v>131</v>
      </c>
      <c r="O32" s="140" t="s">
        <v>549</v>
      </c>
      <c r="P32" s="140" t="s">
        <v>85</v>
      </c>
    </row>
    <row r="33" spans="1:16" x14ac:dyDescent="0.25">
      <c r="A33" s="10" t="s">
        <v>798</v>
      </c>
      <c r="B33" s="10" t="s">
        <v>15</v>
      </c>
      <c r="C33" s="136" t="s">
        <v>16</v>
      </c>
      <c r="D33" s="136" t="s">
        <v>560</v>
      </c>
      <c r="E33" s="136" t="s">
        <v>68</v>
      </c>
      <c r="F33" s="10" t="s">
        <v>1971</v>
      </c>
      <c r="G33" s="10" t="s">
        <v>1967</v>
      </c>
      <c r="H33" s="137">
        <v>5500</v>
      </c>
      <c r="I33" s="138"/>
      <c r="J33" s="10">
        <v>5500</v>
      </c>
      <c r="K33" s="136" t="s">
        <v>100</v>
      </c>
      <c r="L33" s="10">
        <v>55</v>
      </c>
      <c r="M33" s="10" t="s">
        <v>2219</v>
      </c>
      <c r="N33" s="136" t="s">
        <v>131</v>
      </c>
      <c r="O33" s="136" t="s">
        <v>549</v>
      </c>
      <c r="P33" s="136" t="s">
        <v>85</v>
      </c>
    </row>
    <row r="34" spans="1:16" x14ac:dyDescent="0.25">
      <c r="A34" s="139" t="s">
        <v>798</v>
      </c>
      <c r="B34" s="139" t="s">
        <v>15</v>
      </c>
      <c r="C34" s="140" t="s">
        <v>16</v>
      </c>
      <c r="D34" s="140" t="s">
        <v>560</v>
      </c>
      <c r="E34" s="140" t="s">
        <v>68</v>
      </c>
      <c r="F34" s="139" t="s">
        <v>1971</v>
      </c>
      <c r="G34" s="139" t="s">
        <v>1968</v>
      </c>
      <c r="H34" s="141">
        <v>1000</v>
      </c>
      <c r="I34" s="142" t="s">
        <v>1969</v>
      </c>
      <c r="J34" s="139">
        <v>5500</v>
      </c>
      <c r="K34" s="140" t="s">
        <v>100</v>
      </c>
      <c r="L34" s="139">
        <v>55</v>
      </c>
      <c r="M34" s="139" t="s">
        <v>2219</v>
      </c>
      <c r="N34" s="140" t="s">
        <v>131</v>
      </c>
      <c r="O34" s="140" t="s">
        <v>549</v>
      </c>
      <c r="P34" s="140" t="s">
        <v>85</v>
      </c>
    </row>
    <row r="35" spans="1:16" x14ac:dyDescent="0.25">
      <c r="A35" s="10" t="s">
        <v>798</v>
      </c>
      <c r="B35" s="10" t="s">
        <v>15</v>
      </c>
      <c r="C35" s="136" t="s">
        <v>16</v>
      </c>
      <c r="D35" s="136" t="s">
        <v>560</v>
      </c>
      <c r="E35" s="136" t="s">
        <v>68</v>
      </c>
      <c r="F35" s="10" t="s">
        <v>1971</v>
      </c>
      <c r="G35" s="10" t="s">
        <v>1970</v>
      </c>
      <c r="H35" s="137">
        <v>60</v>
      </c>
      <c r="I35" s="138"/>
      <c r="J35" s="10">
        <v>5500</v>
      </c>
      <c r="K35" s="136" t="s">
        <v>100</v>
      </c>
      <c r="L35" s="10">
        <v>55</v>
      </c>
      <c r="M35" s="10" t="s">
        <v>2219</v>
      </c>
      <c r="N35" s="136" t="s">
        <v>131</v>
      </c>
      <c r="O35" s="136" t="s">
        <v>549</v>
      </c>
      <c r="P35" s="136" t="s">
        <v>85</v>
      </c>
    </row>
    <row r="36" spans="1:16" x14ac:dyDescent="0.25">
      <c r="A36" s="139" t="s">
        <v>798</v>
      </c>
      <c r="B36" s="139" t="s">
        <v>15</v>
      </c>
      <c r="C36" s="140" t="s">
        <v>16</v>
      </c>
      <c r="D36" s="140" t="s">
        <v>560</v>
      </c>
      <c r="E36" s="140" t="s">
        <v>68</v>
      </c>
      <c r="F36" s="139" t="s">
        <v>818</v>
      </c>
      <c r="G36" s="139" t="s">
        <v>1972</v>
      </c>
      <c r="H36" s="141">
        <v>1500</v>
      </c>
      <c r="I36" s="142"/>
      <c r="J36" s="139">
        <v>5503</v>
      </c>
      <c r="K36" s="140" t="s">
        <v>101</v>
      </c>
      <c r="L36" s="139">
        <v>55</v>
      </c>
      <c r="M36" s="139" t="s">
        <v>2219</v>
      </c>
      <c r="N36" s="140" t="s">
        <v>131</v>
      </c>
      <c r="O36" s="140" t="s">
        <v>549</v>
      </c>
      <c r="P36" s="140" t="s">
        <v>85</v>
      </c>
    </row>
    <row r="37" spans="1:16" x14ac:dyDescent="0.25">
      <c r="A37" s="10" t="s">
        <v>798</v>
      </c>
      <c r="B37" s="10" t="s">
        <v>15</v>
      </c>
      <c r="C37" s="136" t="s">
        <v>16</v>
      </c>
      <c r="D37" s="136" t="s">
        <v>560</v>
      </c>
      <c r="E37" s="136" t="s">
        <v>68</v>
      </c>
      <c r="F37" s="10" t="s">
        <v>1971</v>
      </c>
      <c r="G37" s="10" t="s">
        <v>1973</v>
      </c>
      <c r="H37" s="137">
        <v>5000</v>
      </c>
      <c r="I37" s="138" t="s">
        <v>1974</v>
      </c>
      <c r="J37" s="10">
        <v>5504</v>
      </c>
      <c r="K37" s="136" t="s">
        <v>102</v>
      </c>
      <c r="L37" s="10">
        <v>55</v>
      </c>
      <c r="M37" s="10" t="s">
        <v>2219</v>
      </c>
      <c r="N37" s="136" t="s">
        <v>131</v>
      </c>
      <c r="O37" s="136" t="s">
        <v>549</v>
      </c>
      <c r="P37" s="136" t="s">
        <v>85</v>
      </c>
    </row>
    <row r="38" spans="1:16" x14ac:dyDescent="0.25">
      <c r="A38" s="139" t="s">
        <v>798</v>
      </c>
      <c r="B38" s="139" t="s">
        <v>15</v>
      </c>
      <c r="C38" s="140" t="s">
        <v>16</v>
      </c>
      <c r="D38" s="140" t="s">
        <v>560</v>
      </c>
      <c r="E38" s="140" t="s">
        <v>68</v>
      </c>
      <c r="F38" s="139" t="s">
        <v>1971</v>
      </c>
      <c r="G38" s="139" t="s">
        <v>1975</v>
      </c>
      <c r="H38" s="141">
        <v>2500</v>
      </c>
      <c r="I38" s="142"/>
      <c r="J38" s="139">
        <v>5504</v>
      </c>
      <c r="K38" s="140" t="s">
        <v>102</v>
      </c>
      <c r="L38" s="139">
        <v>55</v>
      </c>
      <c r="M38" s="139" t="s">
        <v>2219</v>
      </c>
      <c r="N38" s="140" t="s">
        <v>131</v>
      </c>
      <c r="O38" s="140" t="s">
        <v>549</v>
      </c>
      <c r="P38" s="140" t="s">
        <v>85</v>
      </c>
    </row>
    <row r="39" spans="1:16" x14ac:dyDescent="0.25">
      <c r="A39" s="10" t="s">
        <v>798</v>
      </c>
      <c r="B39" s="10" t="s">
        <v>15</v>
      </c>
      <c r="C39" s="136" t="s">
        <v>16</v>
      </c>
      <c r="D39" s="136" t="s">
        <v>560</v>
      </c>
      <c r="E39" s="136" t="s">
        <v>68</v>
      </c>
      <c r="F39" s="10" t="s">
        <v>818</v>
      </c>
      <c r="G39" s="10" t="s">
        <v>1976</v>
      </c>
      <c r="H39" s="137">
        <v>12000</v>
      </c>
      <c r="I39" s="138"/>
      <c r="J39" s="10">
        <v>5504</v>
      </c>
      <c r="K39" s="136" t="s">
        <v>102</v>
      </c>
      <c r="L39" s="10">
        <v>55</v>
      </c>
      <c r="M39" s="10" t="s">
        <v>2219</v>
      </c>
      <c r="N39" s="136" t="s">
        <v>131</v>
      </c>
      <c r="O39" s="136" t="s">
        <v>549</v>
      </c>
      <c r="P39" s="136" t="s">
        <v>85</v>
      </c>
    </row>
    <row r="40" spans="1:16" x14ac:dyDescent="0.25">
      <c r="A40" s="139" t="s">
        <v>798</v>
      </c>
      <c r="B40" s="139" t="s">
        <v>15</v>
      </c>
      <c r="C40" s="140" t="s">
        <v>16</v>
      </c>
      <c r="D40" s="140" t="s">
        <v>560</v>
      </c>
      <c r="E40" s="140" t="s">
        <v>68</v>
      </c>
      <c r="F40" s="139" t="s">
        <v>1971</v>
      </c>
      <c r="G40" s="139" t="s">
        <v>1977</v>
      </c>
      <c r="H40" s="141">
        <v>4800</v>
      </c>
      <c r="I40" s="142"/>
      <c r="J40" s="139">
        <v>5511</v>
      </c>
      <c r="K40" s="140" t="s">
        <v>106</v>
      </c>
      <c r="L40" s="139">
        <v>55</v>
      </c>
      <c r="M40" s="139" t="s">
        <v>2219</v>
      </c>
      <c r="N40" s="140" t="s">
        <v>131</v>
      </c>
      <c r="O40" s="140" t="s">
        <v>549</v>
      </c>
      <c r="P40" s="140" t="s">
        <v>85</v>
      </c>
    </row>
    <row r="41" spans="1:16" x14ac:dyDescent="0.25">
      <c r="A41" s="10" t="s">
        <v>798</v>
      </c>
      <c r="B41" s="10" t="s">
        <v>15</v>
      </c>
      <c r="C41" s="136" t="s">
        <v>16</v>
      </c>
      <c r="D41" s="136" t="s">
        <v>560</v>
      </c>
      <c r="E41" s="136" t="s">
        <v>68</v>
      </c>
      <c r="F41" s="10" t="s">
        <v>818</v>
      </c>
      <c r="G41" s="10" t="s">
        <v>1978</v>
      </c>
      <c r="H41" s="137">
        <v>1440</v>
      </c>
      <c r="I41" s="138"/>
      <c r="J41" s="10">
        <v>5511</v>
      </c>
      <c r="K41" s="136" t="s">
        <v>106</v>
      </c>
      <c r="L41" s="10">
        <v>55</v>
      </c>
      <c r="M41" s="10" t="s">
        <v>2219</v>
      </c>
      <c r="N41" s="136" t="s">
        <v>131</v>
      </c>
      <c r="O41" s="136" t="s">
        <v>549</v>
      </c>
      <c r="P41" s="136" t="s">
        <v>85</v>
      </c>
    </row>
    <row r="42" spans="1:16" x14ac:dyDescent="0.25">
      <c r="A42" s="139" t="s">
        <v>798</v>
      </c>
      <c r="B42" s="139" t="s">
        <v>15</v>
      </c>
      <c r="C42" s="140" t="s">
        <v>16</v>
      </c>
      <c r="D42" s="140" t="s">
        <v>560</v>
      </c>
      <c r="E42" s="140" t="s">
        <v>68</v>
      </c>
      <c r="F42" s="139" t="s">
        <v>818</v>
      </c>
      <c r="G42" s="139" t="s">
        <v>1979</v>
      </c>
      <c r="H42" s="141">
        <v>4800</v>
      </c>
      <c r="I42" s="142"/>
      <c r="J42" s="139">
        <v>5511</v>
      </c>
      <c r="K42" s="140" t="s">
        <v>106</v>
      </c>
      <c r="L42" s="139">
        <v>55</v>
      </c>
      <c r="M42" s="139" t="s">
        <v>2219</v>
      </c>
      <c r="N42" s="140" t="s">
        <v>131</v>
      </c>
      <c r="O42" s="140" t="s">
        <v>549</v>
      </c>
      <c r="P42" s="140" t="s">
        <v>85</v>
      </c>
    </row>
    <row r="43" spans="1:16" x14ac:dyDescent="0.25">
      <c r="A43" s="10" t="s">
        <v>798</v>
      </c>
      <c r="B43" s="10" t="s">
        <v>15</v>
      </c>
      <c r="C43" s="136" t="s">
        <v>16</v>
      </c>
      <c r="D43" s="136" t="s">
        <v>560</v>
      </c>
      <c r="E43" s="136" t="s">
        <v>68</v>
      </c>
      <c r="F43" s="10" t="s">
        <v>818</v>
      </c>
      <c r="G43" s="10" t="s">
        <v>1980</v>
      </c>
      <c r="H43" s="137">
        <v>1800</v>
      </c>
      <c r="I43" s="138"/>
      <c r="J43" s="10">
        <v>5511</v>
      </c>
      <c r="K43" s="136" t="s">
        <v>106</v>
      </c>
      <c r="L43" s="10">
        <v>55</v>
      </c>
      <c r="M43" s="10" t="s">
        <v>2219</v>
      </c>
      <c r="N43" s="136" t="s">
        <v>131</v>
      </c>
      <c r="O43" s="136" t="s">
        <v>549</v>
      </c>
      <c r="P43" s="136" t="s">
        <v>85</v>
      </c>
    </row>
    <row r="44" spans="1:16" x14ac:dyDescent="0.25">
      <c r="A44" s="139" t="s">
        <v>798</v>
      </c>
      <c r="B44" s="139" t="s">
        <v>15</v>
      </c>
      <c r="C44" s="140" t="s">
        <v>16</v>
      </c>
      <c r="D44" s="140" t="s">
        <v>560</v>
      </c>
      <c r="E44" s="140" t="s">
        <v>68</v>
      </c>
      <c r="F44" s="139" t="s">
        <v>818</v>
      </c>
      <c r="G44" s="139" t="s">
        <v>1981</v>
      </c>
      <c r="H44" s="141">
        <v>20700</v>
      </c>
      <c r="I44" s="142"/>
      <c r="J44" s="139">
        <v>5511</v>
      </c>
      <c r="K44" s="140" t="s">
        <v>106</v>
      </c>
      <c r="L44" s="139">
        <v>55</v>
      </c>
      <c r="M44" s="139" t="s">
        <v>2219</v>
      </c>
      <c r="N44" s="140" t="s">
        <v>131</v>
      </c>
      <c r="O44" s="140" t="s">
        <v>549</v>
      </c>
      <c r="P44" s="140" t="s">
        <v>85</v>
      </c>
    </row>
    <row r="45" spans="1:16" x14ac:dyDescent="0.25">
      <c r="A45" s="10" t="s">
        <v>798</v>
      </c>
      <c r="B45" s="10" t="s">
        <v>15</v>
      </c>
      <c r="C45" s="136" t="s">
        <v>16</v>
      </c>
      <c r="D45" s="136" t="s">
        <v>560</v>
      </c>
      <c r="E45" s="136" t="s">
        <v>68</v>
      </c>
      <c r="F45" s="10" t="s">
        <v>818</v>
      </c>
      <c r="G45" s="10" t="s">
        <v>1841</v>
      </c>
      <c r="H45" s="137">
        <v>300</v>
      </c>
      <c r="I45" s="138"/>
      <c r="J45" s="10">
        <v>5511</v>
      </c>
      <c r="K45" s="136" t="s">
        <v>106</v>
      </c>
      <c r="L45" s="10">
        <v>55</v>
      </c>
      <c r="M45" s="10" t="s">
        <v>2219</v>
      </c>
      <c r="N45" s="136" t="s">
        <v>131</v>
      </c>
      <c r="O45" s="136" t="s">
        <v>549</v>
      </c>
      <c r="P45" s="136" t="s">
        <v>85</v>
      </c>
    </row>
    <row r="46" spans="1:16" x14ac:dyDescent="0.25">
      <c r="A46" s="139" t="s">
        <v>798</v>
      </c>
      <c r="B46" s="139" t="s">
        <v>15</v>
      </c>
      <c r="C46" s="140" t="s">
        <v>16</v>
      </c>
      <c r="D46" s="140" t="s">
        <v>560</v>
      </c>
      <c r="E46" s="140" t="s">
        <v>68</v>
      </c>
      <c r="F46" s="139" t="s">
        <v>818</v>
      </c>
      <c r="G46" s="139" t="s">
        <v>569</v>
      </c>
      <c r="H46" s="141">
        <v>840</v>
      </c>
      <c r="I46" s="142"/>
      <c r="J46" s="139">
        <v>5511</v>
      </c>
      <c r="K46" s="140" t="s">
        <v>106</v>
      </c>
      <c r="L46" s="139">
        <v>55</v>
      </c>
      <c r="M46" s="139" t="s">
        <v>2219</v>
      </c>
      <c r="N46" s="140" t="s">
        <v>131</v>
      </c>
      <c r="O46" s="140" t="s">
        <v>549</v>
      </c>
      <c r="P46" s="140" t="s">
        <v>85</v>
      </c>
    </row>
    <row r="47" spans="1:16" x14ac:dyDescent="0.25">
      <c r="A47" s="10" t="s">
        <v>798</v>
      </c>
      <c r="B47" s="10" t="s">
        <v>15</v>
      </c>
      <c r="C47" s="136" t="s">
        <v>16</v>
      </c>
      <c r="D47" s="136" t="s">
        <v>560</v>
      </c>
      <c r="E47" s="136" t="s">
        <v>68</v>
      </c>
      <c r="F47" s="10" t="s">
        <v>818</v>
      </c>
      <c r="G47" s="10" t="s">
        <v>1982</v>
      </c>
      <c r="H47" s="137">
        <v>260</v>
      </c>
      <c r="I47" s="138"/>
      <c r="J47" s="10">
        <v>5511</v>
      </c>
      <c r="K47" s="136" t="s">
        <v>106</v>
      </c>
      <c r="L47" s="10">
        <v>55</v>
      </c>
      <c r="M47" s="10" t="s">
        <v>2219</v>
      </c>
      <c r="N47" s="136" t="s">
        <v>131</v>
      </c>
      <c r="O47" s="136" t="s">
        <v>549</v>
      </c>
      <c r="P47" s="136" t="s">
        <v>85</v>
      </c>
    </row>
    <row r="48" spans="1:16" x14ac:dyDescent="0.25">
      <c r="A48" s="139" t="s">
        <v>798</v>
      </c>
      <c r="B48" s="139" t="s">
        <v>15</v>
      </c>
      <c r="C48" s="140" t="s">
        <v>16</v>
      </c>
      <c r="D48" s="140" t="s">
        <v>560</v>
      </c>
      <c r="E48" s="140" t="s">
        <v>68</v>
      </c>
      <c r="F48" s="139" t="s">
        <v>818</v>
      </c>
      <c r="G48" s="139" t="s">
        <v>1983</v>
      </c>
      <c r="H48" s="141">
        <v>15000</v>
      </c>
      <c r="I48" s="142"/>
      <c r="J48" s="139">
        <v>5511</v>
      </c>
      <c r="K48" s="140" t="s">
        <v>106</v>
      </c>
      <c r="L48" s="139">
        <v>55</v>
      </c>
      <c r="M48" s="139" t="s">
        <v>2219</v>
      </c>
      <c r="N48" s="140" t="s">
        <v>131</v>
      </c>
      <c r="O48" s="140" t="s">
        <v>549</v>
      </c>
      <c r="P48" s="140" t="s">
        <v>85</v>
      </c>
    </row>
    <row r="49" spans="1:16" x14ac:dyDescent="0.25">
      <c r="A49" s="10" t="s">
        <v>798</v>
      </c>
      <c r="B49" s="10" t="s">
        <v>15</v>
      </c>
      <c r="C49" s="136" t="s">
        <v>16</v>
      </c>
      <c r="D49" s="136" t="s">
        <v>560</v>
      </c>
      <c r="E49" s="136" t="s">
        <v>68</v>
      </c>
      <c r="F49" s="10" t="s">
        <v>1971</v>
      </c>
      <c r="G49" s="10" t="s">
        <v>442</v>
      </c>
      <c r="H49" s="137">
        <v>768</v>
      </c>
      <c r="I49" s="138" t="s">
        <v>471</v>
      </c>
      <c r="J49" s="10">
        <v>5513</v>
      </c>
      <c r="K49" s="136" t="s">
        <v>111</v>
      </c>
      <c r="L49" s="10">
        <v>55</v>
      </c>
      <c r="M49" s="10" t="s">
        <v>2219</v>
      </c>
      <c r="N49" s="136" t="s">
        <v>131</v>
      </c>
      <c r="O49" s="136" t="s">
        <v>549</v>
      </c>
      <c r="P49" s="136" t="s">
        <v>85</v>
      </c>
    </row>
    <row r="50" spans="1:16" x14ac:dyDescent="0.25">
      <c r="A50" s="139" t="s">
        <v>798</v>
      </c>
      <c r="B50" s="139" t="s">
        <v>15</v>
      </c>
      <c r="C50" s="140" t="s">
        <v>16</v>
      </c>
      <c r="D50" s="140" t="s">
        <v>560</v>
      </c>
      <c r="E50" s="140" t="s">
        <v>68</v>
      </c>
      <c r="F50" s="139" t="s">
        <v>1971</v>
      </c>
      <c r="G50" s="139" t="s">
        <v>442</v>
      </c>
      <c r="H50" s="141">
        <v>768</v>
      </c>
      <c r="I50" s="142" t="s">
        <v>1984</v>
      </c>
      <c r="J50" s="139">
        <v>5513</v>
      </c>
      <c r="K50" s="140" t="s">
        <v>111</v>
      </c>
      <c r="L50" s="139">
        <v>55</v>
      </c>
      <c r="M50" s="139" t="s">
        <v>2219</v>
      </c>
      <c r="N50" s="140" t="s">
        <v>131</v>
      </c>
      <c r="O50" s="140" t="s">
        <v>549</v>
      </c>
      <c r="P50" s="140" t="s">
        <v>85</v>
      </c>
    </row>
    <row r="51" spans="1:16" x14ac:dyDescent="0.25">
      <c r="A51" s="10" t="s">
        <v>798</v>
      </c>
      <c r="B51" s="10" t="s">
        <v>15</v>
      </c>
      <c r="C51" s="136" t="s">
        <v>16</v>
      </c>
      <c r="D51" s="136" t="s">
        <v>560</v>
      </c>
      <c r="E51" s="136" t="s">
        <v>68</v>
      </c>
      <c r="F51" s="10" t="s">
        <v>818</v>
      </c>
      <c r="G51" s="10" t="s">
        <v>442</v>
      </c>
      <c r="H51" s="137">
        <v>1800</v>
      </c>
      <c r="I51" s="138" t="s">
        <v>1985</v>
      </c>
      <c r="J51" s="10">
        <v>5513</v>
      </c>
      <c r="K51" s="136" t="s">
        <v>111</v>
      </c>
      <c r="L51" s="10">
        <v>55</v>
      </c>
      <c r="M51" s="10" t="s">
        <v>2219</v>
      </c>
      <c r="N51" s="136" t="s">
        <v>131</v>
      </c>
      <c r="O51" s="136" t="s">
        <v>549</v>
      </c>
      <c r="P51" s="136" t="s">
        <v>85</v>
      </c>
    </row>
    <row r="52" spans="1:16" x14ac:dyDescent="0.25">
      <c r="A52" s="139" t="s">
        <v>798</v>
      </c>
      <c r="B52" s="139" t="s">
        <v>15</v>
      </c>
      <c r="C52" s="140" t="s">
        <v>16</v>
      </c>
      <c r="D52" s="140" t="s">
        <v>560</v>
      </c>
      <c r="E52" s="140" t="s">
        <v>68</v>
      </c>
      <c r="F52" s="139" t="s">
        <v>818</v>
      </c>
      <c r="G52" s="139" t="s">
        <v>1986</v>
      </c>
      <c r="H52" s="141">
        <v>5227.2000000000007</v>
      </c>
      <c r="I52" s="142"/>
      <c r="J52" s="139">
        <v>5513</v>
      </c>
      <c r="K52" s="140" t="s">
        <v>111</v>
      </c>
      <c r="L52" s="139">
        <v>55</v>
      </c>
      <c r="M52" s="139" t="s">
        <v>2219</v>
      </c>
      <c r="N52" s="140" t="s">
        <v>131</v>
      </c>
      <c r="O52" s="140" t="s">
        <v>549</v>
      </c>
      <c r="P52" s="140" t="s">
        <v>85</v>
      </c>
    </row>
    <row r="53" spans="1:16" x14ac:dyDescent="0.25">
      <c r="A53" s="10" t="s">
        <v>798</v>
      </c>
      <c r="B53" s="10" t="s">
        <v>15</v>
      </c>
      <c r="C53" s="136" t="s">
        <v>16</v>
      </c>
      <c r="D53" s="136" t="s">
        <v>560</v>
      </c>
      <c r="E53" s="136" t="s">
        <v>68</v>
      </c>
      <c r="F53" s="10" t="s">
        <v>818</v>
      </c>
      <c r="G53" s="10" t="s">
        <v>1987</v>
      </c>
      <c r="H53" s="137">
        <v>650</v>
      </c>
      <c r="I53" s="138"/>
      <c r="J53" s="10">
        <v>5513</v>
      </c>
      <c r="K53" s="136" t="s">
        <v>111</v>
      </c>
      <c r="L53" s="10">
        <v>55</v>
      </c>
      <c r="M53" s="10" t="s">
        <v>2219</v>
      </c>
      <c r="N53" s="136" t="s">
        <v>131</v>
      </c>
      <c r="O53" s="136" t="s">
        <v>549</v>
      </c>
      <c r="P53" s="136" t="s">
        <v>85</v>
      </c>
    </row>
    <row r="54" spans="1:16" x14ac:dyDescent="0.25">
      <c r="A54" s="139" t="s">
        <v>798</v>
      </c>
      <c r="B54" s="139" t="s">
        <v>15</v>
      </c>
      <c r="C54" s="140" t="s">
        <v>16</v>
      </c>
      <c r="D54" s="140" t="s">
        <v>560</v>
      </c>
      <c r="E54" s="140" t="s">
        <v>68</v>
      </c>
      <c r="F54" s="139" t="s">
        <v>818</v>
      </c>
      <c r="G54" s="139" t="s">
        <v>1988</v>
      </c>
      <c r="H54" s="141">
        <v>4800</v>
      </c>
      <c r="I54" s="142"/>
      <c r="J54" s="139">
        <v>5513</v>
      </c>
      <c r="K54" s="140" t="s">
        <v>111</v>
      </c>
      <c r="L54" s="139">
        <v>55</v>
      </c>
      <c r="M54" s="139" t="s">
        <v>2219</v>
      </c>
      <c r="N54" s="140" t="s">
        <v>131</v>
      </c>
      <c r="O54" s="140" t="s">
        <v>549</v>
      </c>
      <c r="P54" s="140" t="s">
        <v>85</v>
      </c>
    </row>
    <row r="55" spans="1:16" x14ac:dyDescent="0.25">
      <c r="A55" s="10" t="s">
        <v>798</v>
      </c>
      <c r="B55" s="10" t="s">
        <v>15</v>
      </c>
      <c r="C55" s="136" t="s">
        <v>16</v>
      </c>
      <c r="D55" s="136" t="s">
        <v>560</v>
      </c>
      <c r="E55" s="136" t="s">
        <v>68</v>
      </c>
      <c r="F55" s="10" t="s">
        <v>818</v>
      </c>
      <c r="G55" s="10" t="s">
        <v>1989</v>
      </c>
      <c r="H55" s="137">
        <v>1500</v>
      </c>
      <c r="I55" s="138"/>
      <c r="J55" s="10">
        <v>5513</v>
      </c>
      <c r="K55" s="136" t="s">
        <v>111</v>
      </c>
      <c r="L55" s="10">
        <v>55</v>
      </c>
      <c r="M55" s="10" t="s">
        <v>2219</v>
      </c>
      <c r="N55" s="136" t="s">
        <v>131</v>
      </c>
      <c r="O55" s="136" t="s">
        <v>549</v>
      </c>
      <c r="P55" s="136" t="s">
        <v>85</v>
      </c>
    </row>
    <row r="56" spans="1:16" x14ac:dyDescent="0.25">
      <c r="A56" s="139" t="s">
        <v>798</v>
      </c>
      <c r="B56" s="139" t="s">
        <v>15</v>
      </c>
      <c r="C56" s="140" t="s">
        <v>16</v>
      </c>
      <c r="D56" s="140" t="s">
        <v>560</v>
      </c>
      <c r="E56" s="140" t="s">
        <v>68</v>
      </c>
      <c r="F56" s="139" t="s">
        <v>1971</v>
      </c>
      <c r="G56" s="139" t="s">
        <v>1993</v>
      </c>
      <c r="H56" s="141">
        <v>4395.2</v>
      </c>
      <c r="I56" s="142" t="s">
        <v>1994</v>
      </c>
      <c r="J56" s="139">
        <v>5514</v>
      </c>
      <c r="K56" s="140" t="s">
        <v>110</v>
      </c>
      <c r="L56" s="139">
        <v>55</v>
      </c>
      <c r="M56" s="139" t="s">
        <v>2219</v>
      </c>
      <c r="N56" s="140" t="s">
        <v>131</v>
      </c>
      <c r="O56" s="140" t="s">
        <v>549</v>
      </c>
      <c r="P56" s="140" t="s">
        <v>85</v>
      </c>
    </row>
    <row r="57" spans="1:16" x14ac:dyDescent="0.25">
      <c r="A57" s="10" t="s">
        <v>798</v>
      </c>
      <c r="B57" s="10" t="s">
        <v>15</v>
      </c>
      <c r="C57" s="136" t="s">
        <v>16</v>
      </c>
      <c r="D57" s="136" t="s">
        <v>560</v>
      </c>
      <c r="E57" s="136" t="s">
        <v>68</v>
      </c>
      <c r="F57" s="10" t="s">
        <v>1971</v>
      </c>
      <c r="G57" s="10" t="s">
        <v>1995</v>
      </c>
      <c r="H57" s="137">
        <v>1500</v>
      </c>
      <c r="I57" s="138"/>
      <c r="J57" s="10">
        <v>5514</v>
      </c>
      <c r="K57" s="136" t="s">
        <v>110</v>
      </c>
      <c r="L57" s="10">
        <v>55</v>
      </c>
      <c r="M57" s="10" t="s">
        <v>2219</v>
      </c>
      <c r="N57" s="136" t="s">
        <v>131</v>
      </c>
      <c r="O57" s="136" t="s">
        <v>549</v>
      </c>
      <c r="P57" s="136" t="s">
        <v>85</v>
      </c>
    </row>
    <row r="58" spans="1:16" x14ac:dyDescent="0.25">
      <c r="A58" s="139" t="s">
        <v>798</v>
      </c>
      <c r="B58" s="139" t="s">
        <v>15</v>
      </c>
      <c r="C58" s="140" t="s">
        <v>16</v>
      </c>
      <c r="D58" s="140" t="s">
        <v>560</v>
      </c>
      <c r="E58" s="140" t="s">
        <v>68</v>
      </c>
      <c r="F58" s="139" t="s">
        <v>818</v>
      </c>
      <c r="G58" s="139" t="s">
        <v>1996</v>
      </c>
      <c r="H58" s="141">
        <v>660</v>
      </c>
      <c r="I58" s="142"/>
      <c r="J58" s="139">
        <v>5515</v>
      </c>
      <c r="K58" s="140" t="s">
        <v>112</v>
      </c>
      <c r="L58" s="139">
        <v>55</v>
      </c>
      <c r="M58" s="139" t="s">
        <v>2219</v>
      </c>
      <c r="N58" s="140" t="s">
        <v>131</v>
      </c>
      <c r="O58" s="140" t="s">
        <v>549</v>
      </c>
      <c r="P58" s="140" t="s">
        <v>85</v>
      </c>
    </row>
    <row r="59" spans="1:16" x14ac:dyDescent="0.25">
      <c r="A59" s="10" t="s">
        <v>798</v>
      </c>
      <c r="B59" s="10" t="s">
        <v>15</v>
      </c>
      <c r="C59" s="136" t="s">
        <v>16</v>
      </c>
      <c r="D59" s="136" t="s">
        <v>560</v>
      </c>
      <c r="E59" s="136" t="s">
        <v>68</v>
      </c>
      <c r="F59" s="10" t="s">
        <v>818</v>
      </c>
      <c r="G59" s="10" t="s">
        <v>1997</v>
      </c>
      <c r="H59" s="137">
        <v>1500</v>
      </c>
      <c r="I59" s="138"/>
      <c r="J59" s="10">
        <v>5515</v>
      </c>
      <c r="K59" s="136" t="s">
        <v>112</v>
      </c>
      <c r="L59" s="10">
        <v>55</v>
      </c>
      <c r="M59" s="10" t="s">
        <v>2219</v>
      </c>
      <c r="N59" s="136" t="s">
        <v>131</v>
      </c>
      <c r="O59" s="136" t="s">
        <v>549</v>
      </c>
      <c r="P59" s="136" t="s">
        <v>85</v>
      </c>
    </row>
    <row r="60" spans="1:16" x14ac:dyDescent="0.25">
      <c r="A60" s="139" t="s">
        <v>798</v>
      </c>
      <c r="B60" s="139" t="s">
        <v>15</v>
      </c>
      <c r="C60" s="140" t="s">
        <v>16</v>
      </c>
      <c r="D60" s="140" t="s">
        <v>560</v>
      </c>
      <c r="E60" s="140" t="s">
        <v>68</v>
      </c>
      <c r="F60" s="139" t="s">
        <v>1971</v>
      </c>
      <c r="G60" s="139" t="s">
        <v>1998</v>
      </c>
      <c r="H60" s="141">
        <v>3500</v>
      </c>
      <c r="I60" s="142"/>
      <c r="J60" s="139">
        <v>5522</v>
      </c>
      <c r="K60" s="140" t="s">
        <v>115</v>
      </c>
      <c r="L60" s="139">
        <v>55</v>
      </c>
      <c r="M60" s="139" t="s">
        <v>2219</v>
      </c>
      <c r="N60" s="140" t="s">
        <v>131</v>
      </c>
      <c r="O60" s="140" t="s">
        <v>549</v>
      </c>
      <c r="P60" s="140" t="s">
        <v>85</v>
      </c>
    </row>
    <row r="61" spans="1:16" x14ac:dyDescent="0.25">
      <c r="A61" s="10" t="s">
        <v>798</v>
      </c>
      <c r="B61" s="10" t="s">
        <v>15</v>
      </c>
      <c r="C61" s="136" t="s">
        <v>16</v>
      </c>
      <c r="D61" s="136" t="s">
        <v>560</v>
      </c>
      <c r="E61" s="136" t="s">
        <v>68</v>
      </c>
      <c r="F61" s="10" t="s">
        <v>1971</v>
      </c>
      <c r="G61" s="10" t="s">
        <v>1999</v>
      </c>
      <c r="H61" s="137">
        <v>1000</v>
      </c>
      <c r="I61" s="138" t="s">
        <v>2000</v>
      </c>
      <c r="J61" s="10">
        <v>5522</v>
      </c>
      <c r="K61" s="136" t="s">
        <v>115</v>
      </c>
      <c r="L61" s="10">
        <v>55</v>
      </c>
      <c r="M61" s="10" t="s">
        <v>2219</v>
      </c>
      <c r="N61" s="136" t="s">
        <v>131</v>
      </c>
      <c r="O61" s="136" t="s">
        <v>549</v>
      </c>
      <c r="P61" s="136" t="s">
        <v>85</v>
      </c>
    </row>
    <row r="62" spans="1:16" x14ac:dyDescent="0.25">
      <c r="A62" s="139" t="s">
        <v>798</v>
      </c>
      <c r="B62" s="139" t="s">
        <v>15</v>
      </c>
      <c r="C62" s="140" t="s">
        <v>16</v>
      </c>
      <c r="D62" s="140" t="s">
        <v>560</v>
      </c>
      <c r="E62" s="140" t="s">
        <v>68</v>
      </c>
      <c r="F62" s="139" t="s">
        <v>1971</v>
      </c>
      <c r="G62" s="139" t="s">
        <v>2001</v>
      </c>
      <c r="H62" s="141">
        <v>200</v>
      </c>
      <c r="I62" s="142"/>
      <c r="J62" s="139">
        <v>5523</v>
      </c>
      <c r="K62" s="140" t="s">
        <v>116</v>
      </c>
      <c r="L62" s="139">
        <v>55</v>
      </c>
      <c r="M62" s="139" t="s">
        <v>2219</v>
      </c>
      <c r="N62" s="140" t="s">
        <v>131</v>
      </c>
      <c r="O62" s="140" t="s">
        <v>549</v>
      </c>
      <c r="P62" s="140" t="s">
        <v>85</v>
      </c>
    </row>
    <row r="63" spans="1:16" x14ac:dyDescent="0.25">
      <c r="A63" s="10" t="s">
        <v>798</v>
      </c>
      <c r="B63" s="10" t="s">
        <v>15</v>
      </c>
      <c r="C63" s="136" t="s">
        <v>16</v>
      </c>
      <c r="D63" s="136" t="s">
        <v>560</v>
      </c>
      <c r="E63" s="136" t="s">
        <v>68</v>
      </c>
      <c r="F63" s="10" t="s">
        <v>1971</v>
      </c>
      <c r="G63" s="10" t="s">
        <v>2004</v>
      </c>
      <c r="H63" s="137">
        <v>300</v>
      </c>
      <c r="I63" s="138"/>
      <c r="J63" s="10">
        <v>5500</v>
      </c>
      <c r="K63" s="136" t="s">
        <v>100</v>
      </c>
      <c r="L63" s="10">
        <v>55</v>
      </c>
      <c r="M63" s="10" t="s">
        <v>2219</v>
      </c>
      <c r="N63" s="136" t="s">
        <v>131</v>
      </c>
      <c r="O63" s="136" t="s">
        <v>549</v>
      </c>
      <c r="P63" s="136" t="s">
        <v>85</v>
      </c>
    </row>
    <row r="64" spans="1:16" x14ac:dyDescent="0.25">
      <c r="A64" s="139" t="s">
        <v>798</v>
      </c>
      <c r="B64" s="139" t="s">
        <v>15</v>
      </c>
      <c r="C64" s="140" t="s">
        <v>16</v>
      </c>
      <c r="D64" s="140" t="s">
        <v>560</v>
      </c>
      <c r="E64" s="140" t="s">
        <v>68</v>
      </c>
      <c r="F64" s="139" t="s">
        <v>1971</v>
      </c>
      <c r="G64" s="139" t="s">
        <v>2005</v>
      </c>
      <c r="H64" s="141">
        <v>11200</v>
      </c>
      <c r="I64" s="142" t="s">
        <v>2006</v>
      </c>
      <c r="J64" s="139">
        <v>5540</v>
      </c>
      <c r="K64" s="140" t="s">
        <v>121</v>
      </c>
      <c r="L64" s="139">
        <v>55</v>
      </c>
      <c r="M64" s="139" t="s">
        <v>2219</v>
      </c>
      <c r="N64" s="140" t="s">
        <v>131</v>
      </c>
      <c r="O64" s="140" t="s">
        <v>549</v>
      </c>
      <c r="P64" s="140" t="s">
        <v>85</v>
      </c>
    </row>
    <row r="65" spans="1:16" x14ac:dyDescent="0.25">
      <c r="A65" s="10" t="s">
        <v>798</v>
      </c>
      <c r="B65" s="10" t="s">
        <v>15</v>
      </c>
      <c r="C65" s="136" t="s">
        <v>16</v>
      </c>
      <c r="D65" s="136" t="s">
        <v>560</v>
      </c>
      <c r="E65" s="136" t="s">
        <v>68</v>
      </c>
      <c r="F65" s="10" t="s">
        <v>1971</v>
      </c>
      <c r="G65" s="10" t="s">
        <v>2158</v>
      </c>
      <c r="H65" s="137">
        <v>1500</v>
      </c>
      <c r="I65" s="138"/>
      <c r="J65" s="10">
        <v>5532</v>
      </c>
      <c r="K65" s="136" t="s">
        <v>120</v>
      </c>
      <c r="L65" s="10">
        <v>55</v>
      </c>
      <c r="M65" s="10" t="s">
        <v>2219</v>
      </c>
      <c r="N65" s="136" t="s">
        <v>131</v>
      </c>
      <c r="O65" s="136" t="s">
        <v>549</v>
      </c>
      <c r="P65" s="136" t="s">
        <v>85</v>
      </c>
    </row>
    <row r="66" spans="1:16" x14ac:dyDescent="0.25">
      <c r="A66" s="139" t="s">
        <v>798</v>
      </c>
      <c r="B66" s="139" t="s">
        <v>15</v>
      </c>
      <c r="C66" s="140" t="s">
        <v>16</v>
      </c>
      <c r="D66" s="140" t="s">
        <v>560</v>
      </c>
      <c r="E66" s="140" t="s">
        <v>68</v>
      </c>
      <c r="F66" s="139" t="s">
        <v>491</v>
      </c>
      <c r="G66" s="139" t="s">
        <v>2176</v>
      </c>
      <c r="H66" s="141">
        <v>4188</v>
      </c>
      <c r="I66" s="142"/>
      <c r="J66" s="139">
        <v>5514</v>
      </c>
      <c r="K66" s="140" t="s">
        <v>110</v>
      </c>
      <c r="L66" s="139">
        <v>55</v>
      </c>
      <c r="M66" s="139" t="s">
        <v>2219</v>
      </c>
      <c r="N66" s="140" t="s">
        <v>131</v>
      </c>
      <c r="O66" s="140" t="s">
        <v>549</v>
      </c>
      <c r="P66" s="140" t="s">
        <v>85</v>
      </c>
    </row>
    <row r="67" spans="1:16" x14ac:dyDescent="0.25">
      <c r="A67" s="10" t="s">
        <v>798</v>
      </c>
      <c r="B67" s="10" t="s">
        <v>15</v>
      </c>
      <c r="C67" s="136" t="s">
        <v>16</v>
      </c>
      <c r="D67" s="136" t="s">
        <v>560</v>
      </c>
      <c r="E67" s="136" t="s">
        <v>68</v>
      </c>
      <c r="F67" s="10" t="s">
        <v>491</v>
      </c>
      <c r="G67" s="10" t="s">
        <v>2177</v>
      </c>
      <c r="H67" s="137">
        <v>3732</v>
      </c>
      <c r="I67" s="138"/>
      <c r="J67" s="10">
        <v>5514</v>
      </c>
      <c r="K67" s="136" t="s">
        <v>110</v>
      </c>
      <c r="L67" s="10">
        <v>55</v>
      </c>
      <c r="M67" s="10" t="s">
        <v>2219</v>
      </c>
      <c r="N67" s="136" t="s">
        <v>131</v>
      </c>
      <c r="O67" s="136" t="s">
        <v>549</v>
      </c>
      <c r="P67" s="136" t="s">
        <v>85</v>
      </c>
    </row>
    <row r="68" spans="1:16" x14ac:dyDescent="0.25">
      <c r="A68" s="155" t="s">
        <v>798</v>
      </c>
      <c r="B68" s="155" t="s">
        <v>15</v>
      </c>
      <c r="C68" s="158" t="s">
        <v>16</v>
      </c>
      <c r="D68" s="158" t="s">
        <v>560</v>
      </c>
      <c r="E68" s="158" t="s">
        <v>68</v>
      </c>
      <c r="F68" s="155" t="s">
        <v>818</v>
      </c>
      <c r="G68" s="155" t="s">
        <v>2180</v>
      </c>
      <c r="H68" s="156">
        <v>85000</v>
      </c>
      <c r="I68" s="157" t="s">
        <v>2181</v>
      </c>
      <c r="J68" s="155">
        <v>5540</v>
      </c>
      <c r="K68" s="158" t="s">
        <v>121</v>
      </c>
      <c r="L68" s="155">
        <v>55</v>
      </c>
      <c r="M68" s="155" t="s">
        <v>2219</v>
      </c>
      <c r="N68" s="158" t="s">
        <v>131</v>
      </c>
      <c r="O68" s="158" t="s">
        <v>549</v>
      </c>
      <c r="P68" s="158" t="s">
        <v>85</v>
      </c>
    </row>
    <row r="69" spans="1:16" x14ac:dyDescent="0.25">
      <c r="A69" s="143" t="s">
        <v>798</v>
      </c>
      <c r="B69" s="143" t="s">
        <v>17</v>
      </c>
      <c r="C69" s="144" t="s">
        <v>18</v>
      </c>
      <c r="D69" s="144" t="s">
        <v>1104</v>
      </c>
      <c r="E69" s="144" t="s">
        <v>68</v>
      </c>
      <c r="F69" s="143" t="s">
        <v>624</v>
      </c>
      <c r="G69" s="143" t="s">
        <v>561</v>
      </c>
      <c r="H69" s="145">
        <v>57769.017578999999</v>
      </c>
      <c r="I69" s="146" t="s">
        <v>839</v>
      </c>
      <c r="J69" s="143">
        <v>608</v>
      </c>
      <c r="K69" s="144" t="s">
        <v>131</v>
      </c>
      <c r="L69" s="143">
        <v>60</v>
      </c>
      <c r="M69" s="143" t="s">
        <v>2245</v>
      </c>
      <c r="N69" s="144" t="s">
        <v>131</v>
      </c>
      <c r="O69" s="144" t="s">
        <v>550</v>
      </c>
      <c r="P69" s="144" t="s">
        <v>85</v>
      </c>
    </row>
    <row r="70" spans="1:16" x14ac:dyDescent="0.25">
      <c r="A70" s="139" t="s">
        <v>798</v>
      </c>
      <c r="B70" s="139" t="s">
        <v>23</v>
      </c>
      <c r="C70" s="140" t="s">
        <v>24</v>
      </c>
      <c r="D70" s="140" t="s">
        <v>1105</v>
      </c>
      <c r="E70" s="140" t="s">
        <v>68</v>
      </c>
      <c r="F70" s="139" t="s">
        <v>624</v>
      </c>
      <c r="G70" s="139" t="s">
        <v>604</v>
      </c>
      <c r="H70" s="141">
        <v>5828</v>
      </c>
      <c r="I70" s="142"/>
      <c r="J70" s="139">
        <v>4528</v>
      </c>
      <c r="K70" s="140" t="s">
        <v>159</v>
      </c>
      <c r="L70" s="139">
        <v>452</v>
      </c>
      <c r="M70" s="139" t="s">
        <v>2244</v>
      </c>
      <c r="N70" s="139" t="s">
        <v>164</v>
      </c>
      <c r="O70" s="139" t="s">
        <v>155</v>
      </c>
      <c r="P70" s="140" t="s">
        <v>85</v>
      </c>
    </row>
    <row r="71" spans="1:16" x14ac:dyDescent="0.25">
      <c r="A71" s="10" t="s">
        <v>798</v>
      </c>
      <c r="B71" s="10" t="s">
        <v>23</v>
      </c>
      <c r="C71" s="136" t="s">
        <v>24</v>
      </c>
      <c r="D71" s="136" t="s">
        <v>1105</v>
      </c>
      <c r="E71" s="136" t="s">
        <v>68</v>
      </c>
      <c r="F71" s="10" t="s">
        <v>805</v>
      </c>
      <c r="G71" s="10" t="s">
        <v>2047</v>
      </c>
      <c r="H71" s="137">
        <v>4474</v>
      </c>
      <c r="I71" s="138"/>
      <c r="J71" s="10">
        <v>4528</v>
      </c>
      <c r="K71" s="136" t="s">
        <v>159</v>
      </c>
      <c r="L71" s="10">
        <v>452</v>
      </c>
      <c r="M71" s="10" t="s">
        <v>2244</v>
      </c>
      <c r="N71" s="136" t="s">
        <v>164</v>
      </c>
      <c r="O71" s="136" t="s">
        <v>155</v>
      </c>
      <c r="P71" s="136" t="s">
        <v>85</v>
      </c>
    </row>
    <row r="72" spans="1:16" x14ac:dyDescent="0.25">
      <c r="A72" s="143" t="s">
        <v>798</v>
      </c>
      <c r="B72" s="143" t="s">
        <v>23</v>
      </c>
      <c r="C72" s="144" t="s">
        <v>24</v>
      </c>
      <c r="D72" s="144" t="s">
        <v>1105</v>
      </c>
      <c r="E72" s="144" t="s">
        <v>68</v>
      </c>
      <c r="F72" s="143" t="s">
        <v>624</v>
      </c>
      <c r="G72" s="143" t="s">
        <v>2068</v>
      </c>
      <c r="H72" s="145">
        <v>1500</v>
      </c>
      <c r="I72" s="146"/>
      <c r="J72" s="143">
        <v>4528</v>
      </c>
      <c r="K72" s="144" t="s">
        <v>159</v>
      </c>
      <c r="L72" s="143">
        <v>452</v>
      </c>
      <c r="M72" s="143" t="s">
        <v>2244</v>
      </c>
      <c r="N72" s="144" t="s">
        <v>164</v>
      </c>
      <c r="O72" s="144" t="s">
        <v>155</v>
      </c>
      <c r="P72" s="144" t="s">
        <v>85</v>
      </c>
    </row>
    <row r="73" spans="1:16" x14ac:dyDescent="0.25">
      <c r="A73" s="143" t="s">
        <v>798</v>
      </c>
      <c r="B73" s="143" t="s">
        <v>23</v>
      </c>
      <c r="C73" s="144" t="s">
        <v>24</v>
      </c>
      <c r="D73" s="144" t="s">
        <v>1105</v>
      </c>
      <c r="E73" s="144" t="s">
        <v>68</v>
      </c>
      <c r="F73" s="143" t="s">
        <v>624</v>
      </c>
      <c r="G73" s="143" t="s">
        <v>2069</v>
      </c>
      <c r="H73" s="145">
        <v>432</v>
      </c>
      <c r="I73" s="146" t="s">
        <v>2070</v>
      </c>
      <c r="J73" s="143">
        <v>4528</v>
      </c>
      <c r="K73" s="144" t="s">
        <v>159</v>
      </c>
      <c r="L73" s="143">
        <v>452</v>
      </c>
      <c r="M73" s="143" t="s">
        <v>2244</v>
      </c>
      <c r="N73" s="144" t="s">
        <v>164</v>
      </c>
      <c r="O73" s="144" t="s">
        <v>155</v>
      </c>
      <c r="P73" s="144" t="s">
        <v>85</v>
      </c>
    </row>
    <row r="74" spans="1:16" x14ac:dyDescent="0.25">
      <c r="A74" s="143" t="s">
        <v>798</v>
      </c>
      <c r="B74" s="143" t="s">
        <v>23</v>
      </c>
      <c r="C74" s="144" t="s">
        <v>24</v>
      </c>
      <c r="D74" s="144" t="s">
        <v>1105</v>
      </c>
      <c r="E74" s="144" t="s">
        <v>68</v>
      </c>
      <c r="F74" s="143" t="s">
        <v>624</v>
      </c>
      <c r="G74" s="143" t="s">
        <v>2071</v>
      </c>
      <c r="H74" s="145">
        <v>2066</v>
      </c>
      <c r="I74" s="146" t="s">
        <v>2072</v>
      </c>
      <c r="J74" s="143">
        <v>4528</v>
      </c>
      <c r="K74" s="144" t="s">
        <v>159</v>
      </c>
      <c r="L74" s="143">
        <v>452</v>
      </c>
      <c r="M74" s="143" t="s">
        <v>2244</v>
      </c>
      <c r="N74" s="144" t="s">
        <v>164</v>
      </c>
      <c r="O74" s="144" t="s">
        <v>155</v>
      </c>
      <c r="P74" s="144" t="s">
        <v>85</v>
      </c>
    </row>
    <row r="75" spans="1:16" x14ac:dyDescent="0.25">
      <c r="A75" s="10" t="s">
        <v>798</v>
      </c>
      <c r="B75" s="10" t="s">
        <v>23</v>
      </c>
      <c r="C75" s="136" t="s">
        <v>24</v>
      </c>
      <c r="D75" s="136" t="s">
        <v>1105</v>
      </c>
      <c r="E75" s="136" t="s">
        <v>68</v>
      </c>
      <c r="F75" s="10" t="s">
        <v>624</v>
      </c>
      <c r="G75" s="10" t="s">
        <v>2095</v>
      </c>
      <c r="H75" s="137">
        <v>14248</v>
      </c>
      <c r="I75" s="138"/>
      <c r="J75" s="10">
        <v>4528</v>
      </c>
      <c r="K75" s="136" t="s">
        <v>159</v>
      </c>
      <c r="L75" s="10">
        <v>452</v>
      </c>
      <c r="M75" s="10" t="s">
        <v>2244</v>
      </c>
      <c r="N75" s="136" t="s">
        <v>164</v>
      </c>
      <c r="O75" s="136" t="s">
        <v>155</v>
      </c>
      <c r="P75" s="136" t="s">
        <v>85</v>
      </c>
    </row>
    <row r="76" spans="1:16" x14ac:dyDescent="0.25">
      <c r="A76" s="139" t="s">
        <v>2242</v>
      </c>
      <c r="B76" s="139" t="s">
        <v>25</v>
      </c>
      <c r="C76" s="140" t="s">
        <v>26</v>
      </c>
      <c r="D76" s="140" t="s">
        <v>1106</v>
      </c>
      <c r="E76" s="140" t="s">
        <v>70</v>
      </c>
      <c r="F76" s="139" t="s">
        <v>624</v>
      </c>
      <c r="G76" s="139" t="s">
        <v>2117</v>
      </c>
      <c r="H76" s="141">
        <v>1000</v>
      </c>
      <c r="I76" s="142"/>
      <c r="J76" s="139">
        <v>5525</v>
      </c>
      <c r="K76" s="140" t="s">
        <v>118</v>
      </c>
      <c r="L76" s="139">
        <v>55</v>
      </c>
      <c r="M76" s="139" t="s">
        <v>2219</v>
      </c>
      <c r="N76" s="140" t="s">
        <v>131</v>
      </c>
      <c r="O76" s="140" t="s">
        <v>549</v>
      </c>
      <c r="P76" s="140" t="s">
        <v>85</v>
      </c>
    </row>
    <row r="77" spans="1:16" x14ac:dyDescent="0.25">
      <c r="A77" s="10" t="s">
        <v>1102</v>
      </c>
      <c r="B77" s="10" t="s">
        <v>27</v>
      </c>
      <c r="C77" s="136" t="s">
        <v>28</v>
      </c>
      <c r="D77" s="136" t="s">
        <v>565</v>
      </c>
      <c r="E77" s="136" t="s">
        <v>69</v>
      </c>
      <c r="F77" s="10" t="s">
        <v>818</v>
      </c>
      <c r="G77" s="10" t="s">
        <v>861</v>
      </c>
      <c r="H77" s="137">
        <v>15250</v>
      </c>
      <c r="I77" s="138"/>
      <c r="J77" s="10">
        <v>45008</v>
      </c>
      <c r="K77" s="136" t="s">
        <v>129</v>
      </c>
      <c r="L77" s="10">
        <v>4500</v>
      </c>
      <c r="M77" s="10" t="s">
        <v>2244</v>
      </c>
      <c r="N77" s="136" t="s">
        <v>164</v>
      </c>
      <c r="O77" s="136" t="s">
        <v>546</v>
      </c>
      <c r="P77" s="136" t="s">
        <v>85</v>
      </c>
    </row>
    <row r="78" spans="1:16" x14ac:dyDescent="0.25">
      <c r="A78" s="139" t="s">
        <v>1102</v>
      </c>
      <c r="B78" s="139" t="s">
        <v>27</v>
      </c>
      <c r="C78" s="140" t="s">
        <v>28</v>
      </c>
      <c r="D78" s="140" t="s">
        <v>565</v>
      </c>
      <c r="E78" s="140" t="s">
        <v>69</v>
      </c>
      <c r="F78" s="139" t="s">
        <v>770</v>
      </c>
      <c r="G78" s="139" t="s">
        <v>943</v>
      </c>
      <c r="H78" s="141">
        <v>900</v>
      </c>
      <c r="I78" s="142"/>
      <c r="J78" s="139">
        <v>5511</v>
      </c>
      <c r="K78" s="140" t="s">
        <v>106</v>
      </c>
      <c r="L78" s="139">
        <v>55</v>
      </c>
      <c r="M78" s="139" t="s">
        <v>2219</v>
      </c>
      <c r="N78" s="140" t="s">
        <v>131</v>
      </c>
      <c r="O78" s="140" t="s">
        <v>549</v>
      </c>
      <c r="P78" s="140" t="s">
        <v>85</v>
      </c>
    </row>
    <row r="79" spans="1:16" x14ac:dyDescent="0.25">
      <c r="A79" s="10" t="s">
        <v>1102</v>
      </c>
      <c r="B79" s="10" t="s">
        <v>27</v>
      </c>
      <c r="C79" s="136" t="s">
        <v>28</v>
      </c>
      <c r="D79" s="136" t="s">
        <v>565</v>
      </c>
      <c r="E79" s="136" t="s">
        <v>69</v>
      </c>
      <c r="F79" s="10" t="s">
        <v>770</v>
      </c>
      <c r="G79" s="10" t="s">
        <v>2144</v>
      </c>
      <c r="H79" s="137">
        <v>700</v>
      </c>
      <c r="I79" s="138"/>
      <c r="J79" s="10">
        <v>5513</v>
      </c>
      <c r="K79" s="136" t="s">
        <v>111</v>
      </c>
      <c r="L79" s="10">
        <v>55</v>
      </c>
      <c r="M79" s="10" t="s">
        <v>2219</v>
      </c>
      <c r="N79" s="136" t="s">
        <v>131</v>
      </c>
      <c r="O79" s="136" t="s">
        <v>549</v>
      </c>
      <c r="P79" s="136" t="s">
        <v>85</v>
      </c>
    </row>
    <row r="80" spans="1:16" x14ac:dyDescent="0.25">
      <c r="A80" s="143" t="s">
        <v>824</v>
      </c>
      <c r="B80" s="143" t="s">
        <v>31</v>
      </c>
      <c r="C80" s="144" t="s">
        <v>853</v>
      </c>
      <c r="D80" s="144" t="s">
        <v>853</v>
      </c>
      <c r="E80" s="144" t="s">
        <v>71</v>
      </c>
      <c r="F80" s="143" t="s">
        <v>805</v>
      </c>
      <c r="G80" s="143" t="s">
        <v>804</v>
      </c>
      <c r="H80" s="145">
        <v>486305</v>
      </c>
      <c r="I80" s="146" t="s">
        <v>82</v>
      </c>
      <c r="J80" s="143">
        <v>5512</v>
      </c>
      <c r="K80" s="144" t="s">
        <v>109</v>
      </c>
      <c r="L80" s="143">
        <v>55</v>
      </c>
      <c r="M80" s="143" t="s">
        <v>2219</v>
      </c>
      <c r="N80" s="144" t="s">
        <v>131</v>
      </c>
      <c r="O80" s="144" t="s">
        <v>549</v>
      </c>
      <c r="P80" s="144" t="s">
        <v>85</v>
      </c>
    </row>
    <row r="81" spans="1:16" x14ac:dyDescent="0.25">
      <c r="A81" s="147" t="s">
        <v>824</v>
      </c>
      <c r="B81" s="147" t="s">
        <v>31</v>
      </c>
      <c r="C81" s="148" t="s">
        <v>853</v>
      </c>
      <c r="D81" s="148" t="s">
        <v>853</v>
      </c>
      <c r="E81" s="148" t="s">
        <v>71</v>
      </c>
      <c r="F81" s="147" t="s">
        <v>805</v>
      </c>
      <c r="G81" s="147" t="s">
        <v>806</v>
      </c>
      <c r="H81" s="149">
        <v>0</v>
      </c>
      <c r="I81" s="150" t="s">
        <v>807</v>
      </c>
      <c r="J81" s="147">
        <v>5512</v>
      </c>
      <c r="K81" s="148" t="s">
        <v>109</v>
      </c>
      <c r="L81" s="147">
        <v>55</v>
      </c>
      <c r="M81" s="147" t="s">
        <v>2219</v>
      </c>
      <c r="N81" s="148" t="s">
        <v>131</v>
      </c>
      <c r="O81" s="148" t="s">
        <v>549</v>
      </c>
      <c r="P81" s="148" t="s">
        <v>85</v>
      </c>
    </row>
    <row r="82" spans="1:16" x14ac:dyDescent="0.25">
      <c r="A82" s="151" t="s">
        <v>824</v>
      </c>
      <c r="B82" s="151" t="s">
        <v>32</v>
      </c>
      <c r="C82" s="154" t="s">
        <v>33</v>
      </c>
      <c r="D82" s="154" t="s">
        <v>567</v>
      </c>
      <c r="E82" s="154" t="s">
        <v>71</v>
      </c>
      <c r="F82" s="151" t="s">
        <v>802</v>
      </c>
      <c r="G82" s="151" t="s">
        <v>1990</v>
      </c>
      <c r="H82" s="152">
        <v>835.19999999999993</v>
      </c>
      <c r="I82" s="153" t="s">
        <v>1991</v>
      </c>
      <c r="J82" s="151">
        <v>5514</v>
      </c>
      <c r="K82" s="154" t="s">
        <v>110</v>
      </c>
      <c r="L82" s="151">
        <v>55</v>
      </c>
      <c r="M82" s="151" t="s">
        <v>2219</v>
      </c>
      <c r="N82" s="154" t="s">
        <v>131</v>
      </c>
      <c r="O82" s="154" t="s">
        <v>549</v>
      </c>
      <c r="P82" s="154" t="s">
        <v>85</v>
      </c>
    </row>
    <row r="83" spans="1:16" x14ac:dyDescent="0.25">
      <c r="A83" s="151" t="s">
        <v>824</v>
      </c>
      <c r="B83" s="151" t="s">
        <v>32</v>
      </c>
      <c r="C83" s="154" t="s">
        <v>33</v>
      </c>
      <c r="D83" s="154" t="s">
        <v>567</v>
      </c>
      <c r="E83" s="154" t="s">
        <v>71</v>
      </c>
      <c r="F83" s="151" t="s">
        <v>802</v>
      </c>
      <c r="G83" s="151" t="s">
        <v>1992</v>
      </c>
      <c r="H83" s="152">
        <v>1210.8000000000002</v>
      </c>
      <c r="I83" s="153" t="s">
        <v>1991</v>
      </c>
      <c r="J83" s="151">
        <v>5514</v>
      </c>
      <c r="K83" s="154" t="s">
        <v>110</v>
      </c>
      <c r="L83" s="151">
        <v>55</v>
      </c>
      <c r="M83" s="151" t="s">
        <v>2219</v>
      </c>
      <c r="N83" s="154" t="s">
        <v>131</v>
      </c>
      <c r="O83" s="154" t="s">
        <v>549</v>
      </c>
      <c r="P83" s="154" t="s">
        <v>85</v>
      </c>
    </row>
    <row r="84" spans="1:16" x14ac:dyDescent="0.25">
      <c r="A84" s="151" t="s">
        <v>824</v>
      </c>
      <c r="B84" s="151" t="s">
        <v>32</v>
      </c>
      <c r="C84" s="154" t="s">
        <v>33</v>
      </c>
      <c r="D84" s="154" t="s">
        <v>567</v>
      </c>
      <c r="E84" s="154" t="s">
        <v>71</v>
      </c>
      <c r="F84" s="151" t="s">
        <v>802</v>
      </c>
      <c r="G84" s="151" t="s">
        <v>2012</v>
      </c>
      <c r="H84" s="152">
        <v>4800</v>
      </c>
      <c r="I84" s="153" t="s">
        <v>2013</v>
      </c>
      <c r="J84" s="151">
        <v>5514</v>
      </c>
      <c r="K84" s="154" t="s">
        <v>110</v>
      </c>
      <c r="L84" s="151">
        <v>55</v>
      </c>
      <c r="M84" s="151" t="s">
        <v>2219</v>
      </c>
      <c r="N84" s="154" t="s">
        <v>131</v>
      </c>
      <c r="O84" s="154" t="s">
        <v>549</v>
      </c>
      <c r="P84" s="154" t="s">
        <v>85</v>
      </c>
    </row>
    <row r="85" spans="1:16" x14ac:dyDescent="0.25">
      <c r="A85" s="10" t="s">
        <v>824</v>
      </c>
      <c r="B85" s="10" t="s">
        <v>32</v>
      </c>
      <c r="C85" s="136" t="s">
        <v>33</v>
      </c>
      <c r="D85" s="136" t="s">
        <v>567</v>
      </c>
      <c r="E85" s="136" t="s">
        <v>71</v>
      </c>
      <c r="F85" s="10" t="s">
        <v>802</v>
      </c>
      <c r="G85" s="10" t="s">
        <v>194</v>
      </c>
      <c r="H85" s="137">
        <v>100</v>
      </c>
      <c r="I85" s="138"/>
      <c r="J85" s="10">
        <v>5511</v>
      </c>
      <c r="K85" s="136" t="s">
        <v>106</v>
      </c>
      <c r="L85" s="10">
        <v>55</v>
      </c>
      <c r="M85" s="10" t="s">
        <v>2219</v>
      </c>
      <c r="N85" s="136" t="s">
        <v>131</v>
      </c>
      <c r="O85" s="136" t="s">
        <v>549</v>
      </c>
      <c r="P85" s="136" t="s">
        <v>85</v>
      </c>
    </row>
    <row r="86" spans="1:16" x14ac:dyDescent="0.25">
      <c r="A86" s="139" t="s">
        <v>824</v>
      </c>
      <c r="B86" s="139" t="s">
        <v>32</v>
      </c>
      <c r="C86" s="140" t="s">
        <v>33</v>
      </c>
      <c r="D86" s="140" t="s">
        <v>567</v>
      </c>
      <c r="E86" s="140" t="s">
        <v>71</v>
      </c>
      <c r="F86" s="139" t="s">
        <v>802</v>
      </c>
      <c r="G86" s="139" t="s">
        <v>794</v>
      </c>
      <c r="H86" s="141">
        <v>240</v>
      </c>
      <c r="I86" s="142"/>
      <c r="J86" s="139">
        <v>5500</v>
      </c>
      <c r="K86" s="140" t="s">
        <v>100</v>
      </c>
      <c r="L86" s="139">
        <v>55</v>
      </c>
      <c r="M86" s="139" t="s">
        <v>2219</v>
      </c>
      <c r="N86" s="140" t="s">
        <v>131</v>
      </c>
      <c r="O86" s="140" t="s">
        <v>549</v>
      </c>
      <c r="P86" s="140" t="s">
        <v>85</v>
      </c>
    </row>
    <row r="87" spans="1:16" x14ac:dyDescent="0.25">
      <c r="A87" s="10" t="s">
        <v>824</v>
      </c>
      <c r="B87" s="10" t="s">
        <v>32</v>
      </c>
      <c r="C87" s="136" t="s">
        <v>33</v>
      </c>
      <c r="D87" s="136" t="s">
        <v>567</v>
      </c>
      <c r="E87" s="136" t="s">
        <v>71</v>
      </c>
      <c r="F87" s="10" t="s">
        <v>802</v>
      </c>
      <c r="G87" s="10" t="s">
        <v>409</v>
      </c>
      <c r="H87" s="137">
        <v>592.64</v>
      </c>
      <c r="I87" s="138"/>
      <c r="J87" s="10">
        <v>5504</v>
      </c>
      <c r="K87" s="136" t="s">
        <v>102</v>
      </c>
      <c r="L87" s="10">
        <v>55</v>
      </c>
      <c r="M87" s="10" t="s">
        <v>2219</v>
      </c>
      <c r="N87" s="136" t="s">
        <v>131</v>
      </c>
      <c r="O87" s="136" t="s">
        <v>549</v>
      </c>
      <c r="P87" s="136" t="s">
        <v>85</v>
      </c>
    </row>
    <row r="88" spans="1:16" x14ac:dyDescent="0.25">
      <c r="A88" s="139" t="s">
        <v>824</v>
      </c>
      <c r="B88" s="139" t="s">
        <v>32</v>
      </c>
      <c r="C88" s="140" t="s">
        <v>33</v>
      </c>
      <c r="D88" s="140" t="s">
        <v>567</v>
      </c>
      <c r="E88" s="140" t="s">
        <v>71</v>
      </c>
      <c r="F88" s="139" t="s">
        <v>802</v>
      </c>
      <c r="G88" s="139" t="s">
        <v>442</v>
      </c>
      <c r="H88" s="141">
        <v>4020</v>
      </c>
      <c r="I88" s="142"/>
      <c r="J88" s="139">
        <v>5513</v>
      </c>
      <c r="K88" s="140" t="s">
        <v>111</v>
      </c>
      <c r="L88" s="139">
        <v>55</v>
      </c>
      <c r="M88" s="139" t="s">
        <v>2219</v>
      </c>
      <c r="N88" s="140" t="s">
        <v>131</v>
      </c>
      <c r="O88" s="140" t="s">
        <v>549</v>
      </c>
      <c r="P88" s="140" t="s">
        <v>85</v>
      </c>
    </row>
    <row r="89" spans="1:16" x14ac:dyDescent="0.25">
      <c r="A89" s="10" t="s">
        <v>824</v>
      </c>
      <c r="B89" s="10" t="s">
        <v>32</v>
      </c>
      <c r="C89" s="136" t="s">
        <v>33</v>
      </c>
      <c r="D89" s="136" t="s">
        <v>567</v>
      </c>
      <c r="E89" s="136" t="s">
        <v>71</v>
      </c>
      <c r="F89" s="10" t="s">
        <v>802</v>
      </c>
      <c r="G89" s="10" t="s">
        <v>803</v>
      </c>
      <c r="H89" s="137">
        <v>5000</v>
      </c>
      <c r="I89" s="138"/>
      <c r="J89" s="10">
        <v>5515</v>
      </c>
      <c r="K89" s="136" t="s">
        <v>112</v>
      </c>
      <c r="L89" s="10">
        <v>55</v>
      </c>
      <c r="M89" s="10" t="s">
        <v>2219</v>
      </c>
      <c r="N89" s="136" t="s">
        <v>131</v>
      </c>
      <c r="O89" s="136" t="s">
        <v>549</v>
      </c>
      <c r="P89" s="136" t="s">
        <v>85</v>
      </c>
    </row>
    <row r="90" spans="1:16" x14ac:dyDescent="0.25">
      <c r="A90" s="139" t="s">
        <v>824</v>
      </c>
      <c r="B90" s="139" t="s">
        <v>32</v>
      </c>
      <c r="C90" s="140" t="s">
        <v>33</v>
      </c>
      <c r="D90" s="140" t="s">
        <v>567</v>
      </c>
      <c r="E90" s="140" t="s">
        <v>71</v>
      </c>
      <c r="F90" s="139" t="s">
        <v>802</v>
      </c>
      <c r="G90" s="139" t="s">
        <v>2014</v>
      </c>
      <c r="H90" s="141">
        <v>5950</v>
      </c>
      <c r="I90" s="142"/>
      <c r="J90" s="139">
        <v>5514</v>
      </c>
      <c r="K90" s="140" t="s">
        <v>110</v>
      </c>
      <c r="L90" s="139">
        <v>55</v>
      </c>
      <c r="M90" s="139" t="s">
        <v>2219</v>
      </c>
      <c r="N90" s="140" t="s">
        <v>131</v>
      </c>
      <c r="O90" s="140" t="s">
        <v>549</v>
      </c>
      <c r="P90" s="140" t="s">
        <v>85</v>
      </c>
    </row>
    <row r="91" spans="1:16" x14ac:dyDescent="0.25">
      <c r="A91" s="10" t="s">
        <v>824</v>
      </c>
      <c r="B91" s="10" t="s">
        <v>32</v>
      </c>
      <c r="C91" s="136" t="s">
        <v>33</v>
      </c>
      <c r="D91" s="136" t="s">
        <v>567</v>
      </c>
      <c r="E91" s="136" t="s">
        <v>71</v>
      </c>
      <c r="F91" s="10" t="s">
        <v>802</v>
      </c>
      <c r="G91" s="10" t="s">
        <v>2015</v>
      </c>
      <c r="H91" s="137">
        <v>1750</v>
      </c>
      <c r="I91" s="138"/>
      <c r="J91" s="10">
        <v>5514</v>
      </c>
      <c r="K91" s="136" t="s">
        <v>110</v>
      </c>
      <c r="L91" s="10">
        <v>55</v>
      </c>
      <c r="M91" s="10" t="s">
        <v>2219</v>
      </c>
      <c r="N91" s="136" t="s">
        <v>131</v>
      </c>
      <c r="O91" s="136" t="s">
        <v>549</v>
      </c>
      <c r="P91" s="136" t="s">
        <v>85</v>
      </c>
    </row>
    <row r="92" spans="1:16" x14ac:dyDescent="0.25">
      <c r="A92" s="139" t="s">
        <v>824</v>
      </c>
      <c r="B92" s="139" t="s">
        <v>32</v>
      </c>
      <c r="C92" s="140" t="s">
        <v>33</v>
      </c>
      <c r="D92" s="140" t="s">
        <v>567</v>
      </c>
      <c r="E92" s="140" t="s">
        <v>71</v>
      </c>
      <c r="F92" s="139" t="s">
        <v>802</v>
      </c>
      <c r="G92" s="139" t="s">
        <v>2016</v>
      </c>
      <c r="H92" s="141">
        <v>2124</v>
      </c>
      <c r="I92" s="142"/>
      <c r="J92" s="139">
        <v>5514</v>
      </c>
      <c r="K92" s="140" t="s">
        <v>110</v>
      </c>
      <c r="L92" s="139">
        <v>55</v>
      </c>
      <c r="M92" s="139" t="s">
        <v>2219</v>
      </c>
      <c r="N92" s="140" t="s">
        <v>131</v>
      </c>
      <c r="O92" s="140" t="s">
        <v>549</v>
      </c>
      <c r="P92" s="140" t="s">
        <v>85</v>
      </c>
    </row>
    <row r="93" spans="1:16" x14ac:dyDescent="0.25">
      <c r="A93" s="10" t="s">
        <v>824</v>
      </c>
      <c r="B93" s="10" t="s">
        <v>32</v>
      </c>
      <c r="C93" s="136" t="s">
        <v>33</v>
      </c>
      <c r="D93" s="136" t="s">
        <v>567</v>
      </c>
      <c r="E93" s="136" t="s">
        <v>71</v>
      </c>
      <c r="F93" s="10" t="s">
        <v>802</v>
      </c>
      <c r="G93" s="10" t="s">
        <v>2017</v>
      </c>
      <c r="H93" s="137">
        <v>5000</v>
      </c>
      <c r="I93" s="138"/>
      <c r="J93" s="10">
        <v>5514</v>
      </c>
      <c r="K93" s="136" t="s">
        <v>110</v>
      </c>
      <c r="L93" s="10">
        <v>55</v>
      </c>
      <c r="M93" s="10" t="s">
        <v>2219</v>
      </c>
      <c r="N93" s="136" t="s">
        <v>131</v>
      </c>
      <c r="O93" s="136" t="s">
        <v>549</v>
      </c>
      <c r="P93" s="136" t="s">
        <v>85</v>
      </c>
    </row>
    <row r="94" spans="1:16" x14ac:dyDescent="0.25">
      <c r="A94" s="139" t="s">
        <v>824</v>
      </c>
      <c r="B94" s="139" t="s">
        <v>32</v>
      </c>
      <c r="C94" s="140" t="s">
        <v>33</v>
      </c>
      <c r="D94" s="140" t="s">
        <v>567</v>
      </c>
      <c r="E94" s="140" t="s">
        <v>71</v>
      </c>
      <c r="F94" s="139" t="s">
        <v>802</v>
      </c>
      <c r="G94" s="139" t="s">
        <v>2018</v>
      </c>
      <c r="H94" s="141">
        <v>149.76</v>
      </c>
      <c r="I94" s="142"/>
      <c r="J94" s="139">
        <v>5514</v>
      </c>
      <c r="K94" s="140" t="s">
        <v>110</v>
      </c>
      <c r="L94" s="139">
        <v>55</v>
      </c>
      <c r="M94" s="139" t="s">
        <v>2219</v>
      </c>
      <c r="N94" s="140" t="s">
        <v>131</v>
      </c>
      <c r="O94" s="140" t="s">
        <v>549</v>
      </c>
      <c r="P94" s="140" t="s">
        <v>85</v>
      </c>
    </row>
    <row r="95" spans="1:16" x14ac:dyDescent="0.25">
      <c r="A95" s="10" t="s">
        <v>824</v>
      </c>
      <c r="B95" s="10" t="s">
        <v>32</v>
      </c>
      <c r="C95" s="136" t="s">
        <v>33</v>
      </c>
      <c r="D95" s="136" t="s">
        <v>567</v>
      </c>
      <c r="E95" s="136" t="s">
        <v>71</v>
      </c>
      <c r="F95" s="10" t="s">
        <v>802</v>
      </c>
      <c r="G95" s="10" t="s">
        <v>2019</v>
      </c>
      <c r="H95" s="137">
        <v>994.8</v>
      </c>
      <c r="I95" s="138"/>
      <c r="J95" s="10">
        <v>5514</v>
      </c>
      <c r="K95" s="136" t="s">
        <v>110</v>
      </c>
      <c r="L95" s="10">
        <v>55</v>
      </c>
      <c r="M95" s="10" t="s">
        <v>2219</v>
      </c>
      <c r="N95" s="136" t="s">
        <v>131</v>
      </c>
      <c r="O95" s="136" t="s">
        <v>549</v>
      </c>
      <c r="P95" s="136" t="s">
        <v>85</v>
      </c>
    </row>
    <row r="96" spans="1:16" x14ac:dyDescent="0.25">
      <c r="A96" s="139" t="s">
        <v>824</v>
      </c>
      <c r="B96" s="139" t="s">
        <v>32</v>
      </c>
      <c r="C96" s="140" t="s">
        <v>33</v>
      </c>
      <c r="D96" s="140" t="s">
        <v>567</v>
      </c>
      <c r="E96" s="140" t="s">
        <v>71</v>
      </c>
      <c r="F96" s="139" t="s">
        <v>802</v>
      </c>
      <c r="G96" s="139" t="s">
        <v>2020</v>
      </c>
      <c r="H96" s="141">
        <v>9031.44</v>
      </c>
      <c r="I96" s="142"/>
      <c r="J96" s="139">
        <v>5514</v>
      </c>
      <c r="K96" s="140" t="s">
        <v>110</v>
      </c>
      <c r="L96" s="139">
        <v>55</v>
      </c>
      <c r="M96" s="139" t="s">
        <v>2219</v>
      </c>
      <c r="N96" s="140" t="s">
        <v>131</v>
      </c>
      <c r="O96" s="140" t="s">
        <v>549</v>
      </c>
      <c r="P96" s="140" t="s">
        <v>85</v>
      </c>
    </row>
    <row r="97" spans="1:16" x14ac:dyDescent="0.25">
      <c r="A97" s="10" t="s">
        <v>824</v>
      </c>
      <c r="B97" s="10" t="s">
        <v>34</v>
      </c>
      <c r="C97" s="136" t="s">
        <v>35</v>
      </c>
      <c r="D97" s="136" t="s">
        <v>1108</v>
      </c>
      <c r="E97" s="136" t="s">
        <v>71</v>
      </c>
      <c r="F97" s="10" t="s">
        <v>842</v>
      </c>
      <c r="G97" s="10" t="s">
        <v>953</v>
      </c>
      <c r="H97" s="137">
        <v>1750</v>
      </c>
      <c r="I97" s="138"/>
      <c r="J97" s="10">
        <v>5511</v>
      </c>
      <c r="K97" s="136" t="s">
        <v>106</v>
      </c>
      <c r="L97" s="10">
        <v>55</v>
      </c>
      <c r="M97" s="10" t="s">
        <v>2219</v>
      </c>
      <c r="N97" s="136" t="s">
        <v>131</v>
      </c>
      <c r="O97" s="136" t="s">
        <v>549</v>
      </c>
      <c r="P97" s="136" t="s">
        <v>85</v>
      </c>
    </row>
    <row r="98" spans="1:16" x14ac:dyDescent="0.25">
      <c r="A98" s="139" t="s">
        <v>824</v>
      </c>
      <c r="B98" s="139" t="s">
        <v>34</v>
      </c>
      <c r="C98" s="140" t="s">
        <v>35</v>
      </c>
      <c r="D98" s="140" t="s">
        <v>1108</v>
      </c>
      <c r="E98" s="140" t="s">
        <v>71</v>
      </c>
      <c r="F98" s="139" t="s">
        <v>624</v>
      </c>
      <c r="G98" s="139" t="s">
        <v>794</v>
      </c>
      <c r="H98" s="141">
        <v>550</v>
      </c>
      <c r="I98" s="142"/>
      <c r="J98" s="139">
        <v>5500</v>
      </c>
      <c r="K98" s="140" t="s">
        <v>100</v>
      </c>
      <c r="L98" s="139">
        <v>55</v>
      </c>
      <c r="M98" s="139" t="s">
        <v>2219</v>
      </c>
      <c r="N98" s="140" t="s">
        <v>131</v>
      </c>
      <c r="O98" s="140" t="s">
        <v>549</v>
      </c>
      <c r="P98" s="140" t="s">
        <v>85</v>
      </c>
    </row>
    <row r="99" spans="1:16" x14ac:dyDescent="0.25">
      <c r="A99" s="10" t="s">
        <v>824</v>
      </c>
      <c r="B99" s="10" t="s">
        <v>34</v>
      </c>
      <c r="C99" s="136" t="s">
        <v>35</v>
      </c>
      <c r="D99" s="136" t="s">
        <v>1108</v>
      </c>
      <c r="E99" s="136" t="s">
        <v>71</v>
      </c>
      <c r="F99" s="10" t="s">
        <v>624</v>
      </c>
      <c r="G99" s="10" t="s">
        <v>442</v>
      </c>
      <c r="H99" s="137">
        <v>10170</v>
      </c>
      <c r="I99" s="138" t="s">
        <v>2119</v>
      </c>
      <c r="J99" s="10">
        <v>5513</v>
      </c>
      <c r="K99" s="136" t="s">
        <v>111</v>
      </c>
      <c r="L99" s="10">
        <v>55</v>
      </c>
      <c r="M99" s="10" t="s">
        <v>2219</v>
      </c>
      <c r="N99" s="136" t="s">
        <v>131</v>
      </c>
      <c r="O99" s="136" t="s">
        <v>549</v>
      </c>
      <c r="P99" s="136" t="s">
        <v>85</v>
      </c>
    </row>
    <row r="100" spans="1:16" x14ac:dyDescent="0.25">
      <c r="A100" s="139" t="s">
        <v>824</v>
      </c>
      <c r="B100" s="139" t="s">
        <v>34</v>
      </c>
      <c r="C100" s="140" t="s">
        <v>35</v>
      </c>
      <c r="D100" s="140" t="s">
        <v>1108</v>
      </c>
      <c r="E100" s="140" t="s">
        <v>71</v>
      </c>
      <c r="F100" s="139" t="s">
        <v>624</v>
      </c>
      <c r="G100" s="139" t="s">
        <v>409</v>
      </c>
      <c r="H100" s="141">
        <v>1600</v>
      </c>
      <c r="I100" s="142" t="s">
        <v>2118</v>
      </c>
      <c r="J100" s="139">
        <v>5504</v>
      </c>
      <c r="K100" s="140" t="s">
        <v>102</v>
      </c>
      <c r="L100" s="139">
        <v>55</v>
      </c>
      <c r="M100" s="139" t="s">
        <v>2219</v>
      </c>
      <c r="N100" s="140" t="s">
        <v>131</v>
      </c>
      <c r="O100" s="140" t="s">
        <v>549</v>
      </c>
      <c r="P100" s="140" t="s">
        <v>85</v>
      </c>
    </row>
    <row r="101" spans="1:16" x14ac:dyDescent="0.25">
      <c r="A101" s="10" t="s">
        <v>824</v>
      </c>
      <c r="B101" s="10" t="s">
        <v>34</v>
      </c>
      <c r="C101" s="136" t="s">
        <v>35</v>
      </c>
      <c r="D101" s="136" t="s">
        <v>1108</v>
      </c>
      <c r="E101" s="136" t="s">
        <v>71</v>
      </c>
      <c r="F101" s="10" t="s">
        <v>624</v>
      </c>
      <c r="G101" s="10" t="s">
        <v>816</v>
      </c>
      <c r="H101" s="137">
        <v>1600</v>
      </c>
      <c r="I101" s="138"/>
      <c r="J101" s="10">
        <v>5540</v>
      </c>
      <c r="K101" s="136" t="s">
        <v>121</v>
      </c>
      <c r="L101" s="10">
        <v>55</v>
      </c>
      <c r="M101" s="10" t="s">
        <v>2219</v>
      </c>
      <c r="N101" s="136" t="s">
        <v>131</v>
      </c>
      <c r="O101" s="136" t="s">
        <v>549</v>
      </c>
      <c r="P101" s="136" t="s">
        <v>85</v>
      </c>
    </row>
    <row r="102" spans="1:16" x14ac:dyDescent="0.25">
      <c r="A102" s="139" t="s">
        <v>824</v>
      </c>
      <c r="B102" s="139" t="s">
        <v>34</v>
      </c>
      <c r="C102" s="140" t="s">
        <v>35</v>
      </c>
      <c r="D102" s="140" t="s">
        <v>1108</v>
      </c>
      <c r="E102" s="140" t="s">
        <v>71</v>
      </c>
      <c r="F102" s="139" t="s">
        <v>842</v>
      </c>
      <c r="G102" s="139" t="s">
        <v>954</v>
      </c>
      <c r="H102" s="141">
        <v>1114.5</v>
      </c>
      <c r="I102" s="142"/>
      <c r="J102" s="139">
        <v>5500</v>
      </c>
      <c r="K102" s="140" t="s">
        <v>100</v>
      </c>
      <c r="L102" s="139">
        <v>55</v>
      </c>
      <c r="M102" s="139" t="s">
        <v>2219</v>
      </c>
      <c r="N102" s="140" t="s">
        <v>131</v>
      </c>
      <c r="O102" s="140" t="s">
        <v>549</v>
      </c>
      <c r="P102" s="140" t="s">
        <v>85</v>
      </c>
    </row>
    <row r="103" spans="1:16" x14ac:dyDescent="0.25">
      <c r="A103" s="10" t="s">
        <v>824</v>
      </c>
      <c r="B103" s="10" t="s">
        <v>34</v>
      </c>
      <c r="C103" s="136" t="s">
        <v>35</v>
      </c>
      <c r="D103" s="136" t="s">
        <v>1108</v>
      </c>
      <c r="E103" s="136" t="s">
        <v>71</v>
      </c>
      <c r="F103" s="10" t="s">
        <v>1043</v>
      </c>
      <c r="G103" s="10" t="s">
        <v>1948</v>
      </c>
      <c r="H103" s="137">
        <v>1500</v>
      </c>
      <c r="I103" s="138"/>
      <c r="J103" s="10">
        <v>45008</v>
      </c>
      <c r="K103" s="136" t="s">
        <v>129</v>
      </c>
      <c r="L103" s="10">
        <v>4500</v>
      </c>
      <c r="M103" s="10" t="s">
        <v>2244</v>
      </c>
      <c r="N103" s="136" t="s">
        <v>164</v>
      </c>
      <c r="O103" s="136" t="s">
        <v>546</v>
      </c>
      <c r="P103" s="136" t="s">
        <v>85</v>
      </c>
    </row>
    <row r="104" spans="1:16" x14ac:dyDescent="0.25">
      <c r="A104" s="139" t="s">
        <v>824</v>
      </c>
      <c r="B104" s="139" t="s">
        <v>34</v>
      </c>
      <c r="C104" s="140" t="s">
        <v>35</v>
      </c>
      <c r="D104" s="140" t="s">
        <v>1108</v>
      </c>
      <c r="E104" s="140" t="s">
        <v>71</v>
      </c>
      <c r="F104" s="139" t="s">
        <v>1043</v>
      </c>
      <c r="G104" s="139" t="s">
        <v>1949</v>
      </c>
      <c r="H104" s="141">
        <v>1500</v>
      </c>
      <c r="I104" s="142" t="s">
        <v>2159</v>
      </c>
      <c r="J104" s="139">
        <v>45008</v>
      </c>
      <c r="K104" s="140" t="s">
        <v>129</v>
      </c>
      <c r="L104" s="139">
        <v>55</v>
      </c>
      <c r="M104" s="139" t="s">
        <v>2244</v>
      </c>
      <c r="N104" s="140" t="s">
        <v>131</v>
      </c>
      <c r="O104" s="140" t="s">
        <v>549</v>
      </c>
      <c r="P104" s="140" t="s">
        <v>85</v>
      </c>
    </row>
    <row r="105" spans="1:16" x14ac:dyDescent="0.25">
      <c r="A105" s="10" t="s">
        <v>824</v>
      </c>
      <c r="B105" s="10" t="s">
        <v>34</v>
      </c>
      <c r="C105" s="136" t="s">
        <v>35</v>
      </c>
      <c r="D105" s="136" t="s">
        <v>1108</v>
      </c>
      <c r="E105" s="136" t="s">
        <v>71</v>
      </c>
      <c r="F105" s="10" t="s">
        <v>805</v>
      </c>
      <c r="G105" s="10" t="s">
        <v>2120</v>
      </c>
      <c r="H105" s="137">
        <v>446.40000000000003</v>
      </c>
      <c r="I105" s="138" t="s">
        <v>2121</v>
      </c>
      <c r="J105" s="10">
        <v>5514</v>
      </c>
      <c r="K105" s="136" t="s">
        <v>110</v>
      </c>
      <c r="L105" s="10">
        <v>55</v>
      </c>
      <c r="M105" s="10" t="s">
        <v>2219</v>
      </c>
      <c r="N105" s="136" t="s">
        <v>131</v>
      </c>
      <c r="O105" s="136" t="s">
        <v>549</v>
      </c>
      <c r="P105" s="136" t="s">
        <v>85</v>
      </c>
    </row>
    <row r="106" spans="1:16" x14ac:dyDescent="0.25">
      <c r="A106" s="139" t="s">
        <v>824</v>
      </c>
      <c r="B106" s="139" t="s">
        <v>34</v>
      </c>
      <c r="C106" s="140" t="s">
        <v>35</v>
      </c>
      <c r="D106" s="140" t="s">
        <v>1108</v>
      </c>
      <c r="E106" s="140" t="s">
        <v>71</v>
      </c>
      <c r="F106" s="139" t="s">
        <v>805</v>
      </c>
      <c r="G106" s="139" t="s">
        <v>2122</v>
      </c>
      <c r="H106" s="141">
        <v>288</v>
      </c>
      <c r="I106" s="142" t="s">
        <v>2121</v>
      </c>
      <c r="J106" s="139">
        <v>5514</v>
      </c>
      <c r="K106" s="140" t="s">
        <v>110</v>
      </c>
      <c r="L106" s="139">
        <v>55</v>
      </c>
      <c r="M106" s="139" t="s">
        <v>2219</v>
      </c>
      <c r="N106" s="140" t="s">
        <v>131</v>
      </c>
      <c r="O106" s="140" t="s">
        <v>549</v>
      </c>
      <c r="P106" s="140" t="s">
        <v>85</v>
      </c>
    </row>
    <row r="107" spans="1:16" x14ac:dyDescent="0.25">
      <c r="A107" s="10" t="s">
        <v>824</v>
      </c>
      <c r="B107" s="10" t="s">
        <v>34</v>
      </c>
      <c r="C107" s="136" t="s">
        <v>35</v>
      </c>
      <c r="D107" s="136" t="s">
        <v>1108</v>
      </c>
      <c r="E107" s="136" t="s">
        <v>71</v>
      </c>
      <c r="F107" s="10" t="s">
        <v>624</v>
      </c>
      <c r="G107" s="10" t="s">
        <v>2123</v>
      </c>
      <c r="H107" s="137">
        <v>500</v>
      </c>
      <c r="I107" s="138"/>
      <c r="J107" s="10">
        <v>5540</v>
      </c>
      <c r="K107" s="136" t="s">
        <v>121</v>
      </c>
      <c r="L107" s="10">
        <v>55</v>
      </c>
      <c r="M107" s="10" t="s">
        <v>2219</v>
      </c>
      <c r="N107" s="136" t="s">
        <v>131</v>
      </c>
      <c r="O107" s="136" t="s">
        <v>549</v>
      </c>
      <c r="P107" s="136" t="s">
        <v>85</v>
      </c>
    </row>
    <row r="108" spans="1:16" x14ac:dyDescent="0.25">
      <c r="A108" s="139" t="s">
        <v>824</v>
      </c>
      <c r="B108" s="139" t="s">
        <v>34</v>
      </c>
      <c r="C108" s="140" t="s">
        <v>35</v>
      </c>
      <c r="D108" s="140" t="s">
        <v>1108</v>
      </c>
      <c r="E108" s="140" t="s">
        <v>71</v>
      </c>
      <c r="F108" s="139" t="s">
        <v>624</v>
      </c>
      <c r="G108" s="139" t="s">
        <v>2124</v>
      </c>
      <c r="H108" s="141">
        <v>250</v>
      </c>
      <c r="I108" s="142"/>
      <c r="J108" s="139">
        <v>601</v>
      </c>
      <c r="K108" s="140" t="s">
        <v>130</v>
      </c>
      <c r="L108" s="139">
        <v>60</v>
      </c>
      <c r="M108" s="139" t="s">
        <v>2245</v>
      </c>
      <c r="N108" s="140" t="s">
        <v>131</v>
      </c>
      <c r="O108" s="140" t="s">
        <v>550</v>
      </c>
      <c r="P108" s="140" t="s">
        <v>85</v>
      </c>
    </row>
    <row r="109" spans="1:16" x14ac:dyDescent="0.25">
      <c r="A109" s="10" t="s">
        <v>2241</v>
      </c>
      <c r="B109" s="10" t="s">
        <v>36</v>
      </c>
      <c r="C109" s="136" t="s">
        <v>37</v>
      </c>
      <c r="D109" s="136" t="s">
        <v>569</v>
      </c>
      <c r="E109" s="136" t="s">
        <v>72</v>
      </c>
      <c r="F109" s="10" t="s">
        <v>1043</v>
      </c>
      <c r="G109" s="10" t="s">
        <v>1912</v>
      </c>
      <c r="H109" s="137">
        <v>2000</v>
      </c>
      <c r="I109" s="138"/>
      <c r="J109" s="10">
        <v>5511</v>
      </c>
      <c r="K109" s="136" t="s">
        <v>106</v>
      </c>
      <c r="L109" s="10">
        <v>55</v>
      </c>
      <c r="M109" s="10" t="s">
        <v>2219</v>
      </c>
      <c r="N109" s="136" t="s">
        <v>131</v>
      </c>
      <c r="O109" s="136" t="s">
        <v>549</v>
      </c>
      <c r="P109" s="136" t="s">
        <v>85</v>
      </c>
    </row>
    <row r="110" spans="1:16" x14ac:dyDescent="0.25">
      <c r="A110" s="139" t="s">
        <v>2241</v>
      </c>
      <c r="B110" s="139" t="s">
        <v>36</v>
      </c>
      <c r="C110" s="140" t="s">
        <v>37</v>
      </c>
      <c r="D110" s="140" t="s">
        <v>569</v>
      </c>
      <c r="E110" s="140" t="s">
        <v>72</v>
      </c>
      <c r="F110" s="139" t="s">
        <v>1043</v>
      </c>
      <c r="G110" s="139" t="s">
        <v>1913</v>
      </c>
      <c r="H110" s="141">
        <v>446.40000000000003</v>
      </c>
      <c r="I110" s="142"/>
      <c r="J110" s="139">
        <v>5514</v>
      </c>
      <c r="K110" s="140" t="s">
        <v>110</v>
      </c>
      <c r="L110" s="139">
        <v>55</v>
      </c>
      <c r="M110" s="139" t="s">
        <v>2219</v>
      </c>
      <c r="N110" s="140" t="s">
        <v>131</v>
      </c>
      <c r="O110" s="140" t="s">
        <v>549</v>
      </c>
      <c r="P110" s="140" t="s">
        <v>85</v>
      </c>
    </row>
    <row r="111" spans="1:16" ht="45" x14ac:dyDescent="0.25">
      <c r="A111" s="10" t="s">
        <v>2241</v>
      </c>
      <c r="B111" s="10" t="s">
        <v>38</v>
      </c>
      <c r="C111" s="136" t="s">
        <v>1109</v>
      </c>
      <c r="D111" s="136" t="s">
        <v>1109</v>
      </c>
      <c r="E111" s="136" t="s">
        <v>72</v>
      </c>
      <c r="F111" s="10" t="s">
        <v>1043</v>
      </c>
      <c r="G111" s="159" t="s">
        <v>1917</v>
      </c>
      <c r="H111" s="137">
        <v>10107.200000000001</v>
      </c>
      <c r="I111" s="138"/>
      <c r="J111" s="10">
        <v>5511</v>
      </c>
      <c r="K111" s="136" t="s">
        <v>106</v>
      </c>
      <c r="L111" s="10">
        <v>55</v>
      </c>
      <c r="M111" s="10" t="s">
        <v>2219</v>
      </c>
      <c r="N111" s="136" t="s">
        <v>131</v>
      </c>
      <c r="O111" s="136" t="s">
        <v>549</v>
      </c>
      <c r="P111" s="136" t="s">
        <v>85</v>
      </c>
    </row>
    <row r="112" spans="1:16" x14ac:dyDescent="0.25">
      <c r="A112" s="139" t="s">
        <v>2241</v>
      </c>
      <c r="B112" s="139" t="s">
        <v>38</v>
      </c>
      <c r="C112" s="140" t="s">
        <v>1109</v>
      </c>
      <c r="D112" s="140" t="s">
        <v>1109</v>
      </c>
      <c r="E112" s="140" t="s">
        <v>72</v>
      </c>
      <c r="F112" s="139" t="s">
        <v>1043</v>
      </c>
      <c r="G112" s="139" t="s">
        <v>1914</v>
      </c>
      <c r="H112" s="141">
        <v>446.40000000000003</v>
      </c>
      <c r="I112" s="142"/>
      <c r="J112" s="139">
        <v>5514</v>
      </c>
      <c r="K112" s="140" t="s">
        <v>110</v>
      </c>
      <c r="L112" s="139">
        <v>55</v>
      </c>
      <c r="M112" s="139" t="s">
        <v>2219</v>
      </c>
      <c r="N112" s="140" t="s">
        <v>131</v>
      </c>
      <c r="O112" s="140" t="s">
        <v>549</v>
      </c>
      <c r="P112" s="140" t="s">
        <v>85</v>
      </c>
    </row>
    <row r="113" spans="1:16" x14ac:dyDescent="0.25">
      <c r="A113" s="10" t="s">
        <v>1103</v>
      </c>
      <c r="B113" s="10" t="s">
        <v>40</v>
      </c>
      <c r="C113" s="136" t="s">
        <v>572</v>
      </c>
      <c r="D113" s="136" t="s">
        <v>572</v>
      </c>
      <c r="E113" s="136" t="s">
        <v>73</v>
      </c>
      <c r="F113" s="10" t="s">
        <v>841</v>
      </c>
      <c r="G113" s="10" t="s">
        <v>844</v>
      </c>
      <c r="H113" s="137">
        <v>53000</v>
      </c>
      <c r="I113" s="138"/>
      <c r="J113" s="10">
        <v>5512</v>
      </c>
      <c r="K113" s="136" t="s">
        <v>109</v>
      </c>
      <c r="L113" s="10">
        <v>55</v>
      </c>
      <c r="M113" s="10" t="s">
        <v>2219</v>
      </c>
      <c r="N113" s="136" t="s">
        <v>131</v>
      </c>
      <c r="O113" s="136" t="s">
        <v>549</v>
      </c>
      <c r="P113" s="136" t="s">
        <v>85</v>
      </c>
    </row>
    <row r="114" spans="1:16" x14ac:dyDescent="0.25">
      <c r="A114" s="139" t="s">
        <v>1103</v>
      </c>
      <c r="B114" s="139" t="s">
        <v>254</v>
      </c>
      <c r="C114" s="140" t="s">
        <v>2038</v>
      </c>
      <c r="D114" s="140" t="s">
        <v>573</v>
      </c>
      <c r="E114" s="140" t="s">
        <v>73</v>
      </c>
      <c r="F114" s="139" t="s">
        <v>850</v>
      </c>
      <c r="G114" s="139" t="s">
        <v>866</v>
      </c>
      <c r="H114" s="141">
        <v>1100</v>
      </c>
      <c r="I114" s="142" t="s">
        <v>867</v>
      </c>
      <c r="J114" s="139">
        <v>5511</v>
      </c>
      <c r="K114" s="140" t="s">
        <v>106</v>
      </c>
      <c r="L114" s="139">
        <v>55</v>
      </c>
      <c r="M114" s="139" t="s">
        <v>2219</v>
      </c>
      <c r="N114" s="140" t="s">
        <v>131</v>
      </c>
      <c r="O114" s="140" t="s">
        <v>549</v>
      </c>
      <c r="P114" s="140" t="s">
        <v>85</v>
      </c>
    </row>
    <row r="115" spans="1:16" x14ac:dyDescent="0.25">
      <c r="A115" s="10" t="s">
        <v>1103</v>
      </c>
      <c r="B115" s="10" t="s">
        <v>254</v>
      </c>
      <c r="C115" s="136" t="s">
        <v>2038</v>
      </c>
      <c r="D115" s="136" t="s">
        <v>573</v>
      </c>
      <c r="E115" s="136" t="s">
        <v>73</v>
      </c>
      <c r="F115" s="10" t="s">
        <v>850</v>
      </c>
      <c r="G115" s="10" t="s">
        <v>868</v>
      </c>
      <c r="H115" s="137">
        <v>4500</v>
      </c>
      <c r="I115" s="138" t="s">
        <v>869</v>
      </c>
      <c r="J115" s="10">
        <v>5511</v>
      </c>
      <c r="K115" s="136" t="s">
        <v>106</v>
      </c>
      <c r="L115" s="10">
        <v>55</v>
      </c>
      <c r="M115" s="10" t="s">
        <v>2219</v>
      </c>
      <c r="N115" s="136" t="s">
        <v>131</v>
      </c>
      <c r="O115" s="136" t="s">
        <v>549</v>
      </c>
      <c r="P115" s="136" t="s">
        <v>85</v>
      </c>
    </row>
    <row r="116" spans="1:16" x14ac:dyDescent="0.25">
      <c r="A116" s="139" t="s">
        <v>1103</v>
      </c>
      <c r="B116" s="139" t="s">
        <v>254</v>
      </c>
      <c r="C116" s="140" t="s">
        <v>2038</v>
      </c>
      <c r="D116" s="140" t="s">
        <v>573</v>
      </c>
      <c r="E116" s="140" t="s">
        <v>73</v>
      </c>
      <c r="F116" s="139" t="s">
        <v>850</v>
      </c>
      <c r="G116" s="139" t="s">
        <v>870</v>
      </c>
      <c r="H116" s="141">
        <v>10000</v>
      </c>
      <c r="I116" s="142" t="s">
        <v>871</v>
      </c>
      <c r="J116" s="139">
        <v>5511</v>
      </c>
      <c r="K116" s="140" t="s">
        <v>106</v>
      </c>
      <c r="L116" s="139">
        <v>55</v>
      </c>
      <c r="M116" s="139" t="s">
        <v>2219</v>
      </c>
      <c r="N116" s="140" t="s">
        <v>131</v>
      </c>
      <c r="O116" s="140" t="s">
        <v>549</v>
      </c>
      <c r="P116" s="140" t="s">
        <v>85</v>
      </c>
    </row>
    <row r="117" spans="1:16" x14ac:dyDescent="0.25">
      <c r="A117" s="10" t="s">
        <v>1103</v>
      </c>
      <c r="B117" s="10" t="s">
        <v>254</v>
      </c>
      <c r="C117" s="136" t="s">
        <v>2038</v>
      </c>
      <c r="D117" s="136" t="s">
        <v>573</v>
      </c>
      <c r="E117" s="136" t="s">
        <v>73</v>
      </c>
      <c r="F117" s="10" t="s">
        <v>850</v>
      </c>
      <c r="G117" s="10" t="s">
        <v>872</v>
      </c>
      <c r="H117" s="137">
        <v>1700</v>
      </c>
      <c r="I117" s="138" t="s">
        <v>873</v>
      </c>
      <c r="J117" s="10">
        <v>5511</v>
      </c>
      <c r="K117" s="136" t="s">
        <v>106</v>
      </c>
      <c r="L117" s="10">
        <v>55</v>
      </c>
      <c r="M117" s="10" t="s">
        <v>2219</v>
      </c>
      <c r="N117" s="136" t="s">
        <v>131</v>
      </c>
      <c r="O117" s="136" t="s">
        <v>549</v>
      </c>
      <c r="P117" s="136" t="s">
        <v>85</v>
      </c>
    </row>
    <row r="118" spans="1:16" x14ac:dyDescent="0.25">
      <c r="A118" s="139" t="s">
        <v>1103</v>
      </c>
      <c r="B118" s="139" t="s">
        <v>254</v>
      </c>
      <c r="C118" s="140" t="s">
        <v>2038</v>
      </c>
      <c r="D118" s="140" t="s">
        <v>573</v>
      </c>
      <c r="E118" s="140" t="s">
        <v>73</v>
      </c>
      <c r="F118" s="139" t="s">
        <v>850</v>
      </c>
      <c r="G118" s="139" t="s">
        <v>874</v>
      </c>
      <c r="H118" s="141">
        <v>550</v>
      </c>
      <c r="I118" s="142" t="s">
        <v>875</v>
      </c>
      <c r="J118" s="139">
        <v>5511</v>
      </c>
      <c r="K118" s="140" t="s">
        <v>106</v>
      </c>
      <c r="L118" s="139">
        <v>55</v>
      </c>
      <c r="M118" s="139" t="s">
        <v>2219</v>
      </c>
      <c r="N118" s="140" t="s">
        <v>131</v>
      </c>
      <c r="O118" s="140" t="s">
        <v>549</v>
      </c>
      <c r="P118" s="140" t="s">
        <v>85</v>
      </c>
    </row>
    <row r="119" spans="1:16" x14ac:dyDescent="0.25">
      <c r="A119" s="10" t="s">
        <v>1103</v>
      </c>
      <c r="B119" s="10" t="s">
        <v>254</v>
      </c>
      <c r="C119" s="136" t="s">
        <v>2038</v>
      </c>
      <c r="D119" s="136" t="s">
        <v>573</v>
      </c>
      <c r="E119" s="136" t="s">
        <v>73</v>
      </c>
      <c r="F119" s="10" t="s">
        <v>850</v>
      </c>
      <c r="G119" s="10" t="s">
        <v>876</v>
      </c>
      <c r="H119" s="137">
        <v>120</v>
      </c>
      <c r="I119" s="138" t="s">
        <v>875</v>
      </c>
      <c r="J119" s="10">
        <v>5511</v>
      </c>
      <c r="K119" s="136" t="s">
        <v>106</v>
      </c>
      <c r="L119" s="10">
        <v>55</v>
      </c>
      <c r="M119" s="10" t="s">
        <v>2219</v>
      </c>
      <c r="N119" s="136" t="s">
        <v>131</v>
      </c>
      <c r="O119" s="136" t="s">
        <v>549</v>
      </c>
      <c r="P119" s="136" t="s">
        <v>85</v>
      </c>
    </row>
    <row r="120" spans="1:16" x14ac:dyDescent="0.25">
      <c r="A120" s="139" t="s">
        <v>1103</v>
      </c>
      <c r="B120" s="139" t="s">
        <v>254</v>
      </c>
      <c r="C120" s="140" t="s">
        <v>2038</v>
      </c>
      <c r="D120" s="140" t="s">
        <v>573</v>
      </c>
      <c r="E120" s="140" t="s">
        <v>73</v>
      </c>
      <c r="F120" s="139" t="s">
        <v>850</v>
      </c>
      <c r="G120" s="139" t="s">
        <v>877</v>
      </c>
      <c r="H120" s="141">
        <v>650</v>
      </c>
      <c r="I120" s="142" t="s">
        <v>878</v>
      </c>
      <c r="J120" s="139">
        <v>5511</v>
      </c>
      <c r="K120" s="140" t="s">
        <v>106</v>
      </c>
      <c r="L120" s="139">
        <v>55</v>
      </c>
      <c r="M120" s="139" t="s">
        <v>2219</v>
      </c>
      <c r="N120" s="140" t="s">
        <v>131</v>
      </c>
      <c r="O120" s="140" t="s">
        <v>549</v>
      </c>
      <c r="P120" s="140" t="s">
        <v>85</v>
      </c>
    </row>
    <row r="121" spans="1:16" x14ac:dyDescent="0.25">
      <c r="A121" s="10" t="s">
        <v>1103</v>
      </c>
      <c r="B121" s="10" t="s">
        <v>254</v>
      </c>
      <c r="C121" s="136" t="s">
        <v>2038</v>
      </c>
      <c r="D121" s="136" t="s">
        <v>573</v>
      </c>
      <c r="E121" s="136" t="s">
        <v>73</v>
      </c>
      <c r="F121" s="10" t="s">
        <v>850</v>
      </c>
      <c r="G121" s="10" t="s">
        <v>879</v>
      </c>
      <c r="H121" s="137">
        <v>7500</v>
      </c>
      <c r="I121" s="138" t="s">
        <v>880</v>
      </c>
      <c r="J121" s="10">
        <v>5511</v>
      </c>
      <c r="K121" s="136" t="s">
        <v>106</v>
      </c>
      <c r="L121" s="10">
        <v>55</v>
      </c>
      <c r="M121" s="10" t="s">
        <v>2219</v>
      </c>
      <c r="N121" s="136" t="s">
        <v>131</v>
      </c>
      <c r="O121" s="136" t="s">
        <v>549</v>
      </c>
      <c r="P121" s="136" t="s">
        <v>85</v>
      </c>
    </row>
    <row r="122" spans="1:16" x14ac:dyDescent="0.25">
      <c r="A122" s="139" t="s">
        <v>1103</v>
      </c>
      <c r="B122" s="139" t="s">
        <v>254</v>
      </c>
      <c r="C122" s="140" t="s">
        <v>2038</v>
      </c>
      <c r="D122" s="140" t="s">
        <v>573</v>
      </c>
      <c r="E122" s="140" t="s">
        <v>73</v>
      </c>
      <c r="F122" s="139" t="s">
        <v>850</v>
      </c>
      <c r="G122" s="139" t="s">
        <v>881</v>
      </c>
      <c r="H122" s="141">
        <v>7400</v>
      </c>
      <c r="I122" s="142" t="s">
        <v>882</v>
      </c>
      <c r="J122" s="139">
        <v>5511</v>
      </c>
      <c r="K122" s="140" t="s">
        <v>106</v>
      </c>
      <c r="L122" s="139">
        <v>55</v>
      </c>
      <c r="M122" s="139" t="s">
        <v>2219</v>
      </c>
      <c r="N122" s="140" t="s">
        <v>131</v>
      </c>
      <c r="O122" s="140" t="s">
        <v>549</v>
      </c>
      <c r="P122" s="140" t="s">
        <v>85</v>
      </c>
    </row>
    <row r="123" spans="1:16" x14ac:dyDescent="0.25">
      <c r="A123" s="10" t="s">
        <v>1103</v>
      </c>
      <c r="B123" s="10" t="s">
        <v>254</v>
      </c>
      <c r="C123" s="136" t="s">
        <v>2038</v>
      </c>
      <c r="D123" s="136" t="s">
        <v>573</v>
      </c>
      <c r="E123" s="136" t="s">
        <v>73</v>
      </c>
      <c r="F123" s="10" t="s">
        <v>850</v>
      </c>
      <c r="G123" s="10" t="s">
        <v>883</v>
      </c>
      <c r="H123" s="137">
        <v>9360</v>
      </c>
      <c r="I123" s="138" t="s">
        <v>884</v>
      </c>
      <c r="J123" s="10">
        <v>5511</v>
      </c>
      <c r="K123" s="136" t="s">
        <v>106</v>
      </c>
      <c r="L123" s="10">
        <v>55</v>
      </c>
      <c r="M123" s="10" t="s">
        <v>2219</v>
      </c>
      <c r="N123" s="136" t="s">
        <v>131</v>
      </c>
      <c r="O123" s="136" t="s">
        <v>549</v>
      </c>
      <c r="P123" s="136" t="s">
        <v>85</v>
      </c>
    </row>
    <row r="124" spans="1:16" x14ac:dyDescent="0.25">
      <c r="A124" s="139" t="s">
        <v>1103</v>
      </c>
      <c r="B124" s="139" t="s">
        <v>254</v>
      </c>
      <c r="C124" s="140" t="s">
        <v>2038</v>
      </c>
      <c r="D124" s="140" t="s">
        <v>573</v>
      </c>
      <c r="E124" s="140" t="s">
        <v>73</v>
      </c>
      <c r="F124" s="139" t="s">
        <v>850</v>
      </c>
      <c r="G124" s="139" t="s">
        <v>885</v>
      </c>
      <c r="H124" s="141">
        <v>210</v>
      </c>
      <c r="I124" s="142" t="s">
        <v>886</v>
      </c>
      <c r="J124" s="139">
        <v>5511</v>
      </c>
      <c r="K124" s="140" t="s">
        <v>106</v>
      </c>
      <c r="L124" s="139">
        <v>55</v>
      </c>
      <c r="M124" s="139" t="s">
        <v>2219</v>
      </c>
      <c r="N124" s="140" t="s">
        <v>131</v>
      </c>
      <c r="O124" s="140" t="s">
        <v>549</v>
      </c>
      <c r="P124" s="140" t="s">
        <v>85</v>
      </c>
    </row>
    <row r="125" spans="1:16" x14ac:dyDescent="0.25">
      <c r="A125" s="10" t="s">
        <v>1103</v>
      </c>
      <c r="B125" s="10" t="s">
        <v>254</v>
      </c>
      <c r="C125" s="136" t="s">
        <v>2038</v>
      </c>
      <c r="D125" s="136" t="s">
        <v>573</v>
      </c>
      <c r="E125" s="136" t="s">
        <v>73</v>
      </c>
      <c r="F125" s="10" t="s">
        <v>850</v>
      </c>
      <c r="G125" s="10" t="s">
        <v>887</v>
      </c>
      <c r="H125" s="137">
        <v>3500</v>
      </c>
      <c r="I125" s="138" t="s">
        <v>888</v>
      </c>
      <c r="J125" s="10">
        <v>5511</v>
      </c>
      <c r="K125" s="136" t="s">
        <v>106</v>
      </c>
      <c r="L125" s="10">
        <v>55</v>
      </c>
      <c r="M125" s="10" t="s">
        <v>2219</v>
      </c>
      <c r="N125" s="136" t="s">
        <v>131</v>
      </c>
      <c r="O125" s="136" t="s">
        <v>549</v>
      </c>
      <c r="P125" s="136" t="s">
        <v>85</v>
      </c>
    </row>
    <row r="126" spans="1:16" x14ac:dyDescent="0.25">
      <c r="A126" s="139" t="s">
        <v>1103</v>
      </c>
      <c r="B126" s="139" t="s">
        <v>254</v>
      </c>
      <c r="C126" s="140" t="s">
        <v>2038</v>
      </c>
      <c r="D126" s="140" t="s">
        <v>573</v>
      </c>
      <c r="E126" s="140" t="s">
        <v>73</v>
      </c>
      <c r="F126" s="139" t="s">
        <v>850</v>
      </c>
      <c r="G126" s="139" t="s">
        <v>889</v>
      </c>
      <c r="H126" s="141">
        <v>2100</v>
      </c>
      <c r="I126" s="142" t="s">
        <v>890</v>
      </c>
      <c r="J126" s="139">
        <v>5511</v>
      </c>
      <c r="K126" s="140" t="s">
        <v>106</v>
      </c>
      <c r="L126" s="139">
        <v>55</v>
      </c>
      <c r="M126" s="139" t="s">
        <v>2219</v>
      </c>
      <c r="N126" s="140" t="s">
        <v>131</v>
      </c>
      <c r="O126" s="140" t="s">
        <v>549</v>
      </c>
      <c r="P126" s="140" t="s">
        <v>85</v>
      </c>
    </row>
    <row r="127" spans="1:16" x14ac:dyDescent="0.25">
      <c r="A127" s="10" t="s">
        <v>1103</v>
      </c>
      <c r="B127" s="10" t="s">
        <v>254</v>
      </c>
      <c r="C127" s="136" t="s">
        <v>2038</v>
      </c>
      <c r="D127" s="136" t="s">
        <v>573</v>
      </c>
      <c r="E127" s="136" t="s">
        <v>73</v>
      </c>
      <c r="F127" s="10" t="s">
        <v>850</v>
      </c>
      <c r="G127" s="10" t="s">
        <v>891</v>
      </c>
      <c r="H127" s="137">
        <v>600</v>
      </c>
      <c r="I127" s="138" t="s">
        <v>1272</v>
      </c>
      <c r="J127" s="10">
        <v>5511</v>
      </c>
      <c r="K127" s="136" t="s">
        <v>106</v>
      </c>
      <c r="L127" s="10">
        <v>55</v>
      </c>
      <c r="M127" s="10" t="s">
        <v>2219</v>
      </c>
      <c r="N127" s="136" t="s">
        <v>131</v>
      </c>
      <c r="O127" s="136" t="s">
        <v>549</v>
      </c>
      <c r="P127" s="136" t="s">
        <v>85</v>
      </c>
    </row>
    <row r="128" spans="1:16" x14ac:dyDescent="0.25">
      <c r="A128" s="139" t="s">
        <v>1103</v>
      </c>
      <c r="B128" s="139" t="s">
        <v>254</v>
      </c>
      <c r="C128" s="140" t="s">
        <v>2038</v>
      </c>
      <c r="D128" s="140" t="s">
        <v>573</v>
      </c>
      <c r="E128" s="140" t="s">
        <v>73</v>
      </c>
      <c r="F128" s="139" t="s">
        <v>850</v>
      </c>
      <c r="G128" s="139" t="s">
        <v>892</v>
      </c>
      <c r="H128" s="141">
        <v>670</v>
      </c>
      <c r="I128" s="142" t="s">
        <v>893</v>
      </c>
      <c r="J128" s="139">
        <v>5511</v>
      </c>
      <c r="K128" s="140" t="s">
        <v>106</v>
      </c>
      <c r="L128" s="139">
        <v>55</v>
      </c>
      <c r="M128" s="139" t="s">
        <v>2219</v>
      </c>
      <c r="N128" s="140" t="s">
        <v>131</v>
      </c>
      <c r="O128" s="140" t="s">
        <v>549</v>
      </c>
      <c r="P128" s="140" t="s">
        <v>85</v>
      </c>
    </row>
    <row r="129" spans="1:16" x14ac:dyDescent="0.25">
      <c r="A129" s="10" t="s">
        <v>1103</v>
      </c>
      <c r="B129" s="10" t="s">
        <v>254</v>
      </c>
      <c r="C129" s="136" t="s">
        <v>2038</v>
      </c>
      <c r="D129" s="136" t="s">
        <v>573</v>
      </c>
      <c r="E129" s="136" t="s">
        <v>73</v>
      </c>
      <c r="F129" s="10" t="s">
        <v>850</v>
      </c>
      <c r="G129" s="10" t="s">
        <v>894</v>
      </c>
      <c r="H129" s="137">
        <v>12000</v>
      </c>
      <c r="I129" s="138" t="s">
        <v>895</v>
      </c>
      <c r="J129" s="10">
        <v>5511</v>
      </c>
      <c r="K129" s="136" t="s">
        <v>106</v>
      </c>
      <c r="L129" s="10">
        <v>55</v>
      </c>
      <c r="M129" s="10" t="s">
        <v>2219</v>
      </c>
      <c r="N129" s="136" t="s">
        <v>131</v>
      </c>
      <c r="O129" s="136" t="s">
        <v>549</v>
      </c>
      <c r="P129" s="136" t="s">
        <v>85</v>
      </c>
    </row>
    <row r="130" spans="1:16" x14ac:dyDescent="0.25">
      <c r="A130" s="139" t="s">
        <v>1103</v>
      </c>
      <c r="B130" s="139" t="s">
        <v>254</v>
      </c>
      <c r="C130" s="140" t="s">
        <v>2038</v>
      </c>
      <c r="D130" s="140" t="s">
        <v>573</v>
      </c>
      <c r="E130" s="140" t="s">
        <v>73</v>
      </c>
      <c r="F130" s="139" t="s">
        <v>850</v>
      </c>
      <c r="G130" s="139" t="s">
        <v>896</v>
      </c>
      <c r="H130" s="141">
        <v>1300</v>
      </c>
      <c r="I130" s="142" t="s">
        <v>897</v>
      </c>
      <c r="J130" s="139">
        <v>5511</v>
      </c>
      <c r="K130" s="140" t="s">
        <v>106</v>
      </c>
      <c r="L130" s="139">
        <v>55</v>
      </c>
      <c r="M130" s="139" t="s">
        <v>2219</v>
      </c>
      <c r="N130" s="140" t="s">
        <v>131</v>
      </c>
      <c r="O130" s="140" t="s">
        <v>549</v>
      </c>
      <c r="P130" s="140" t="s">
        <v>85</v>
      </c>
    </row>
    <row r="131" spans="1:16" x14ac:dyDescent="0.25">
      <c r="A131" s="10" t="s">
        <v>1103</v>
      </c>
      <c r="B131" s="10" t="s">
        <v>254</v>
      </c>
      <c r="C131" s="136" t="s">
        <v>2038</v>
      </c>
      <c r="D131" s="136" t="s">
        <v>573</v>
      </c>
      <c r="E131" s="136" t="s">
        <v>73</v>
      </c>
      <c r="F131" s="10" t="s">
        <v>850</v>
      </c>
      <c r="G131" s="10" t="s">
        <v>914</v>
      </c>
      <c r="H131" s="137">
        <v>360</v>
      </c>
      <c r="I131" s="138" t="s">
        <v>915</v>
      </c>
      <c r="J131" s="10">
        <v>5511</v>
      </c>
      <c r="K131" s="136" t="s">
        <v>106</v>
      </c>
      <c r="L131" s="10">
        <v>55</v>
      </c>
      <c r="M131" s="10" t="s">
        <v>2219</v>
      </c>
      <c r="N131" s="136" t="s">
        <v>131</v>
      </c>
      <c r="O131" s="136" t="s">
        <v>549</v>
      </c>
      <c r="P131" s="136" t="s">
        <v>85</v>
      </c>
    </row>
    <row r="132" spans="1:16" x14ac:dyDescent="0.25">
      <c r="A132" s="139" t="s">
        <v>1103</v>
      </c>
      <c r="B132" s="139" t="s">
        <v>254</v>
      </c>
      <c r="C132" s="140" t="s">
        <v>2038</v>
      </c>
      <c r="D132" s="140" t="s">
        <v>573</v>
      </c>
      <c r="E132" s="140" t="s">
        <v>73</v>
      </c>
      <c r="F132" s="139" t="s">
        <v>850</v>
      </c>
      <c r="G132" s="139" t="s">
        <v>864</v>
      </c>
      <c r="H132" s="141">
        <v>400</v>
      </c>
      <c r="I132" s="142" t="s">
        <v>865</v>
      </c>
      <c r="J132" s="139">
        <v>5500</v>
      </c>
      <c r="K132" s="140" t="s">
        <v>100</v>
      </c>
      <c r="L132" s="139">
        <v>55</v>
      </c>
      <c r="M132" s="139" t="s">
        <v>2219</v>
      </c>
      <c r="N132" s="140" t="s">
        <v>131</v>
      </c>
      <c r="O132" s="140" t="s">
        <v>549</v>
      </c>
      <c r="P132" s="140" t="s">
        <v>85</v>
      </c>
    </row>
    <row r="133" spans="1:16" x14ac:dyDescent="0.25">
      <c r="A133" s="10" t="s">
        <v>1103</v>
      </c>
      <c r="B133" s="10" t="s">
        <v>254</v>
      </c>
      <c r="C133" s="136" t="s">
        <v>2038</v>
      </c>
      <c r="D133" s="136" t="s">
        <v>573</v>
      </c>
      <c r="E133" s="136" t="s">
        <v>73</v>
      </c>
      <c r="F133" s="10" t="s">
        <v>850</v>
      </c>
      <c r="G133" s="10" t="s">
        <v>793</v>
      </c>
      <c r="H133" s="137">
        <v>1020</v>
      </c>
      <c r="I133" s="138"/>
      <c r="J133" s="10">
        <v>5500</v>
      </c>
      <c r="K133" s="136" t="s">
        <v>100</v>
      </c>
      <c r="L133" s="10">
        <v>55</v>
      </c>
      <c r="M133" s="10" t="s">
        <v>2219</v>
      </c>
      <c r="N133" s="136" t="s">
        <v>131</v>
      </c>
      <c r="O133" s="136" t="s">
        <v>549</v>
      </c>
      <c r="P133" s="136" t="s">
        <v>85</v>
      </c>
    </row>
    <row r="134" spans="1:16" x14ac:dyDescent="0.25">
      <c r="A134" s="139" t="s">
        <v>1103</v>
      </c>
      <c r="B134" s="139" t="s">
        <v>254</v>
      </c>
      <c r="C134" s="140" t="s">
        <v>2038</v>
      </c>
      <c r="D134" s="140" t="s">
        <v>573</v>
      </c>
      <c r="E134" s="140" t="s">
        <v>73</v>
      </c>
      <c r="F134" s="139" t="s">
        <v>850</v>
      </c>
      <c r="G134" s="139" t="s">
        <v>409</v>
      </c>
      <c r="H134" s="141">
        <v>350</v>
      </c>
      <c r="I134" s="142"/>
      <c r="J134" s="139">
        <v>5504</v>
      </c>
      <c r="K134" s="140" t="s">
        <v>102</v>
      </c>
      <c r="L134" s="139">
        <v>55</v>
      </c>
      <c r="M134" s="139" t="s">
        <v>2219</v>
      </c>
      <c r="N134" s="140" t="s">
        <v>131</v>
      </c>
      <c r="O134" s="140" t="s">
        <v>549</v>
      </c>
      <c r="P134" s="140" t="s">
        <v>85</v>
      </c>
    </row>
    <row r="135" spans="1:16" x14ac:dyDescent="0.25">
      <c r="A135" s="10" t="s">
        <v>1103</v>
      </c>
      <c r="B135" s="10" t="s">
        <v>254</v>
      </c>
      <c r="C135" s="136" t="s">
        <v>2038</v>
      </c>
      <c r="D135" s="136" t="s">
        <v>573</v>
      </c>
      <c r="E135" s="136" t="s">
        <v>73</v>
      </c>
      <c r="F135" s="10" t="s">
        <v>850</v>
      </c>
      <c r="G135" s="10" t="s">
        <v>898</v>
      </c>
      <c r="H135" s="137">
        <v>2200</v>
      </c>
      <c r="I135" s="138" t="s">
        <v>198</v>
      </c>
      <c r="J135" s="10">
        <v>5513</v>
      </c>
      <c r="K135" s="136" t="s">
        <v>111</v>
      </c>
      <c r="L135" s="10">
        <v>55</v>
      </c>
      <c r="M135" s="10" t="s">
        <v>2219</v>
      </c>
      <c r="N135" s="136" t="s">
        <v>131</v>
      </c>
      <c r="O135" s="136" t="s">
        <v>549</v>
      </c>
      <c r="P135" s="136" t="s">
        <v>85</v>
      </c>
    </row>
    <row r="136" spans="1:16" x14ac:dyDescent="0.25">
      <c r="A136" s="139" t="s">
        <v>1103</v>
      </c>
      <c r="B136" s="139" t="s">
        <v>254</v>
      </c>
      <c r="C136" s="140" t="s">
        <v>2038</v>
      </c>
      <c r="D136" s="140" t="s">
        <v>573</v>
      </c>
      <c r="E136" s="140" t="s">
        <v>73</v>
      </c>
      <c r="F136" s="139" t="s">
        <v>850</v>
      </c>
      <c r="G136" s="139" t="s">
        <v>898</v>
      </c>
      <c r="H136" s="141">
        <v>700</v>
      </c>
      <c r="I136" s="142" t="s">
        <v>899</v>
      </c>
      <c r="J136" s="139">
        <v>5513</v>
      </c>
      <c r="K136" s="140" t="s">
        <v>111</v>
      </c>
      <c r="L136" s="139">
        <v>55</v>
      </c>
      <c r="M136" s="139" t="s">
        <v>2219</v>
      </c>
      <c r="N136" s="140" t="s">
        <v>131</v>
      </c>
      <c r="O136" s="140" t="s">
        <v>549</v>
      </c>
      <c r="P136" s="140" t="s">
        <v>85</v>
      </c>
    </row>
    <row r="137" spans="1:16" x14ac:dyDescent="0.25">
      <c r="A137" s="10" t="s">
        <v>1103</v>
      </c>
      <c r="B137" s="10" t="s">
        <v>254</v>
      </c>
      <c r="C137" s="136" t="s">
        <v>2038</v>
      </c>
      <c r="D137" s="136" t="s">
        <v>573</v>
      </c>
      <c r="E137" s="136" t="s">
        <v>73</v>
      </c>
      <c r="F137" s="10" t="s">
        <v>850</v>
      </c>
      <c r="G137" s="10" t="s">
        <v>898</v>
      </c>
      <c r="H137" s="137">
        <v>400</v>
      </c>
      <c r="I137" s="138" t="s">
        <v>900</v>
      </c>
      <c r="J137" s="10">
        <v>5513</v>
      </c>
      <c r="K137" s="136" t="s">
        <v>111</v>
      </c>
      <c r="L137" s="10">
        <v>55</v>
      </c>
      <c r="M137" s="10" t="s">
        <v>2219</v>
      </c>
      <c r="N137" s="136" t="s">
        <v>131</v>
      </c>
      <c r="O137" s="136" t="s">
        <v>549</v>
      </c>
      <c r="P137" s="136" t="s">
        <v>85</v>
      </c>
    </row>
    <row r="138" spans="1:16" x14ac:dyDescent="0.25">
      <c r="A138" s="139" t="s">
        <v>1103</v>
      </c>
      <c r="B138" s="139" t="s">
        <v>254</v>
      </c>
      <c r="C138" s="140" t="s">
        <v>2038</v>
      </c>
      <c r="D138" s="140" t="s">
        <v>573</v>
      </c>
      <c r="E138" s="140" t="s">
        <v>73</v>
      </c>
      <c r="F138" s="139" t="s">
        <v>850</v>
      </c>
      <c r="G138" s="139" t="s">
        <v>898</v>
      </c>
      <c r="H138" s="141">
        <v>3024</v>
      </c>
      <c r="I138" s="142" t="s">
        <v>901</v>
      </c>
      <c r="J138" s="139">
        <v>5513</v>
      </c>
      <c r="K138" s="140" t="s">
        <v>111</v>
      </c>
      <c r="L138" s="139">
        <v>55</v>
      </c>
      <c r="M138" s="139" t="s">
        <v>2219</v>
      </c>
      <c r="N138" s="140" t="s">
        <v>131</v>
      </c>
      <c r="O138" s="140" t="s">
        <v>549</v>
      </c>
      <c r="P138" s="140" t="s">
        <v>85</v>
      </c>
    </row>
    <row r="139" spans="1:16" x14ac:dyDescent="0.25">
      <c r="A139" s="10" t="s">
        <v>1103</v>
      </c>
      <c r="B139" s="10" t="s">
        <v>254</v>
      </c>
      <c r="C139" s="136" t="s">
        <v>2038</v>
      </c>
      <c r="D139" s="136" t="s">
        <v>573</v>
      </c>
      <c r="E139" s="136" t="s">
        <v>73</v>
      </c>
      <c r="F139" s="10" t="s">
        <v>850</v>
      </c>
      <c r="G139" s="10" t="s">
        <v>902</v>
      </c>
      <c r="H139" s="137">
        <v>500</v>
      </c>
      <c r="I139" s="138" t="s">
        <v>903</v>
      </c>
      <c r="J139" s="10">
        <v>5513</v>
      </c>
      <c r="K139" s="136" t="s">
        <v>111</v>
      </c>
      <c r="L139" s="10">
        <v>55</v>
      </c>
      <c r="M139" s="10" t="s">
        <v>2219</v>
      </c>
      <c r="N139" s="136" t="s">
        <v>131</v>
      </c>
      <c r="O139" s="136" t="s">
        <v>549</v>
      </c>
      <c r="P139" s="136" t="s">
        <v>85</v>
      </c>
    </row>
    <row r="140" spans="1:16" x14ac:dyDescent="0.25">
      <c r="A140" s="139" t="s">
        <v>1103</v>
      </c>
      <c r="B140" s="139" t="s">
        <v>254</v>
      </c>
      <c r="C140" s="140" t="s">
        <v>2038</v>
      </c>
      <c r="D140" s="140" t="s">
        <v>573</v>
      </c>
      <c r="E140" s="140" t="s">
        <v>73</v>
      </c>
      <c r="F140" s="139" t="s">
        <v>850</v>
      </c>
      <c r="G140" s="139" t="s">
        <v>902</v>
      </c>
      <c r="H140" s="141">
        <v>2100</v>
      </c>
      <c r="I140" s="142" t="s">
        <v>198</v>
      </c>
      <c r="J140" s="139">
        <v>5513</v>
      </c>
      <c r="K140" s="140" t="s">
        <v>111</v>
      </c>
      <c r="L140" s="139">
        <v>55</v>
      </c>
      <c r="M140" s="139" t="s">
        <v>2219</v>
      </c>
      <c r="N140" s="140" t="s">
        <v>131</v>
      </c>
      <c r="O140" s="140" t="s">
        <v>549</v>
      </c>
      <c r="P140" s="140" t="s">
        <v>85</v>
      </c>
    </row>
    <row r="141" spans="1:16" x14ac:dyDescent="0.25">
      <c r="A141" s="10" t="s">
        <v>1103</v>
      </c>
      <c r="B141" s="10" t="s">
        <v>254</v>
      </c>
      <c r="C141" s="136" t="s">
        <v>2038</v>
      </c>
      <c r="D141" s="136" t="s">
        <v>573</v>
      </c>
      <c r="E141" s="136" t="s">
        <v>73</v>
      </c>
      <c r="F141" s="10" t="s">
        <v>850</v>
      </c>
      <c r="G141" s="10" t="s">
        <v>902</v>
      </c>
      <c r="H141" s="137">
        <v>400</v>
      </c>
      <c r="I141" s="138" t="s">
        <v>900</v>
      </c>
      <c r="J141" s="10">
        <v>5513</v>
      </c>
      <c r="K141" s="136" t="s">
        <v>111</v>
      </c>
      <c r="L141" s="10">
        <v>55</v>
      </c>
      <c r="M141" s="10" t="s">
        <v>2219</v>
      </c>
      <c r="N141" s="136" t="s">
        <v>131</v>
      </c>
      <c r="O141" s="136" t="s">
        <v>549</v>
      </c>
      <c r="P141" s="136" t="s">
        <v>85</v>
      </c>
    </row>
    <row r="142" spans="1:16" x14ac:dyDescent="0.25">
      <c r="A142" s="139" t="s">
        <v>1103</v>
      </c>
      <c r="B142" s="139" t="s">
        <v>254</v>
      </c>
      <c r="C142" s="140" t="s">
        <v>2038</v>
      </c>
      <c r="D142" s="140" t="s">
        <v>573</v>
      </c>
      <c r="E142" s="140" t="s">
        <v>73</v>
      </c>
      <c r="F142" s="139" t="s">
        <v>850</v>
      </c>
      <c r="G142" s="139" t="s">
        <v>904</v>
      </c>
      <c r="H142" s="141">
        <v>100</v>
      </c>
      <c r="I142" s="142" t="s">
        <v>905</v>
      </c>
      <c r="J142" s="139">
        <v>5513</v>
      </c>
      <c r="K142" s="140" t="s">
        <v>111</v>
      </c>
      <c r="L142" s="139">
        <v>55</v>
      </c>
      <c r="M142" s="139" t="s">
        <v>2219</v>
      </c>
      <c r="N142" s="140" t="s">
        <v>131</v>
      </c>
      <c r="O142" s="140" t="s">
        <v>549</v>
      </c>
      <c r="P142" s="140" t="s">
        <v>85</v>
      </c>
    </row>
    <row r="143" spans="1:16" x14ac:dyDescent="0.25">
      <c r="A143" s="10" t="s">
        <v>1103</v>
      </c>
      <c r="B143" s="10" t="s">
        <v>254</v>
      </c>
      <c r="C143" s="136" t="s">
        <v>2038</v>
      </c>
      <c r="D143" s="136" t="s">
        <v>573</v>
      </c>
      <c r="E143" s="136" t="s">
        <v>73</v>
      </c>
      <c r="F143" s="10" t="s">
        <v>850</v>
      </c>
      <c r="G143" s="10" t="s">
        <v>904</v>
      </c>
      <c r="H143" s="137">
        <v>500</v>
      </c>
      <c r="I143" s="138" t="s">
        <v>906</v>
      </c>
      <c r="J143" s="10">
        <v>5513</v>
      </c>
      <c r="K143" s="136" t="s">
        <v>111</v>
      </c>
      <c r="L143" s="10">
        <v>55</v>
      </c>
      <c r="M143" s="10" t="s">
        <v>2219</v>
      </c>
      <c r="N143" s="136" t="s">
        <v>131</v>
      </c>
      <c r="O143" s="136" t="s">
        <v>549</v>
      </c>
      <c r="P143" s="136" t="s">
        <v>85</v>
      </c>
    </row>
    <row r="144" spans="1:16" x14ac:dyDescent="0.25">
      <c r="A144" s="139" t="s">
        <v>1103</v>
      </c>
      <c r="B144" s="139" t="s">
        <v>254</v>
      </c>
      <c r="C144" s="140" t="s">
        <v>2038</v>
      </c>
      <c r="D144" s="140" t="s">
        <v>573</v>
      </c>
      <c r="E144" s="140" t="s">
        <v>73</v>
      </c>
      <c r="F144" s="139" t="s">
        <v>850</v>
      </c>
      <c r="G144" s="139" t="s">
        <v>907</v>
      </c>
      <c r="H144" s="141">
        <v>600</v>
      </c>
      <c r="I144" s="142" t="s">
        <v>900</v>
      </c>
      <c r="J144" s="139">
        <v>5513</v>
      </c>
      <c r="K144" s="140" t="s">
        <v>111</v>
      </c>
      <c r="L144" s="139">
        <v>55</v>
      </c>
      <c r="M144" s="139" t="s">
        <v>2219</v>
      </c>
      <c r="N144" s="140" t="s">
        <v>131</v>
      </c>
      <c r="O144" s="140" t="s">
        <v>549</v>
      </c>
      <c r="P144" s="140" t="s">
        <v>85</v>
      </c>
    </row>
    <row r="145" spans="1:16" x14ac:dyDescent="0.25">
      <c r="A145" s="10" t="s">
        <v>1103</v>
      </c>
      <c r="B145" s="10" t="s">
        <v>254</v>
      </c>
      <c r="C145" s="136" t="s">
        <v>2038</v>
      </c>
      <c r="D145" s="136" t="s">
        <v>573</v>
      </c>
      <c r="E145" s="136" t="s">
        <v>73</v>
      </c>
      <c r="F145" s="10" t="s">
        <v>850</v>
      </c>
      <c r="G145" s="10" t="s">
        <v>908</v>
      </c>
      <c r="H145" s="137">
        <v>1500</v>
      </c>
      <c r="I145" s="138" t="s">
        <v>909</v>
      </c>
      <c r="J145" s="10">
        <v>5513</v>
      </c>
      <c r="K145" s="136" t="s">
        <v>111</v>
      </c>
      <c r="L145" s="10">
        <v>55</v>
      </c>
      <c r="M145" s="10" t="s">
        <v>2219</v>
      </c>
      <c r="N145" s="136" t="s">
        <v>131</v>
      </c>
      <c r="O145" s="136" t="s">
        <v>549</v>
      </c>
      <c r="P145" s="136" t="s">
        <v>85</v>
      </c>
    </row>
    <row r="146" spans="1:16" x14ac:dyDescent="0.25">
      <c r="A146" s="139" t="s">
        <v>1103</v>
      </c>
      <c r="B146" s="139" t="s">
        <v>254</v>
      </c>
      <c r="C146" s="140" t="s">
        <v>2038</v>
      </c>
      <c r="D146" s="140" t="s">
        <v>573</v>
      </c>
      <c r="E146" s="140" t="s">
        <v>73</v>
      </c>
      <c r="F146" s="139" t="s">
        <v>850</v>
      </c>
      <c r="G146" s="139" t="s">
        <v>910</v>
      </c>
      <c r="H146" s="141">
        <v>500</v>
      </c>
      <c r="I146" s="142" t="s">
        <v>911</v>
      </c>
      <c r="J146" s="139">
        <v>5513</v>
      </c>
      <c r="K146" s="140" t="s">
        <v>111</v>
      </c>
      <c r="L146" s="139">
        <v>55</v>
      </c>
      <c r="M146" s="139" t="s">
        <v>2219</v>
      </c>
      <c r="N146" s="140" t="s">
        <v>131</v>
      </c>
      <c r="O146" s="140" t="s">
        <v>549</v>
      </c>
      <c r="P146" s="140" t="s">
        <v>85</v>
      </c>
    </row>
    <row r="147" spans="1:16" x14ac:dyDescent="0.25">
      <c r="A147" s="10" t="s">
        <v>1103</v>
      </c>
      <c r="B147" s="10" t="s">
        <v>254</v>
      </c>
      <c r="C147" s="136" t="s">
        <v>2038</v>
      </c>
      <c r="D147" s="136" t="s">
        <v>573</v>
      </c>
      <c r="E147" s="136" t="s">
        <v>73</v>
      </c>
      <c r="F147" s="10" t="s">
        <v>850</v>
      </c>
      <c r="G147" s="10" t="s">
        <v>918</v>
      </c>
      <c r="H147" s="137">
        <v>1700</v>
      </c>
      <c r="I147" s="138" t="s">
        <v>919</v>
      </c>
      <c r="J147" s="10">
        <v>5515</v>
      </c>
      <c r="K147" s="136" t="s">
        <v>112</v>
      </c>
      <c r="L147" s="10">
        <v>55</v>
      </c>
      <c r="M147" s="10" t="s">
        <v>2219</v>
      </c>
      <c r="N147" s="136" t="s">
        <v>131</v>
      </c>
      <c r="O147" s="136" t="s">
        <v>549</v>
      </c>
      <c r="P147" s="136" t="s">
        <v>85</v>
      </c>
    </row>
    <row r="148" spans="1:16" x14ac:dyDescent="0.25">
      <c r="A148" s="139" t="s">
        <v>1103</v>
      </c>
      <c r="B148" s="139" t="s">
        <v>254</v>
      </c>
      <c r="C148" s="140" t="s">
        <v>2038</v>
      </c>
      <c r="D148" s="140" t="s">
        <v>573</v>
      </c>
      <c r="E148" s="140" t="s">
        <v>73</v>
      </c>
      <c r="F148" s="139" t="s">
        <v>850</v>
      </c>
      <c r="G148" s="139" t="s">
        <v>920</v>
      </c>
      <c r="H148" s="141">
        <v>2800</v>
      </c>
      <c r="I148" s="142" t="s">
        <v>921</v>
      </c>
      <c r="J148" s="139">
        <v>5515</v>
      </c>
      <c r="K148" s="140" t="s">
        <v>112</v>
      </c>
      <c r="L148" s="139">
        <v>55</v>
      </c>
      <c r="M148" s="139" t="s">
        <v>2219</v>
      </c>
      <c r="N148" s="140" t="s">
        <v>131</v>
      </c>
      <c r="O148" s="140" t="s">
        <v>549</v>
      </c>
      <c r="P148" s="140" t="s">
        <v>85</v>
      </c>
    </row>
    <row r="149" spans="1:16" x14ac:dyDescent="0.25">
      <c r="A149" s="10" t="s">
        <v>1103</v>
      </c>
      <c r="B149" s="10" t="s">
        <v>254</v>
      </c>
      <c r="C149" s="136" t="s">
        <v>2038</v>
      </c>
      <c r="D149" s="136" t="s">
        <v>573</v>
      </c>
      <c r="E149" s="136" t="s">
        <v>73</v>
      </c>
      <c r="F149" s="10" t="s">
        <v>850</v>
      </c>
      <c r="G149" s="10" t="s">
        <v>922</v>
      </c>
      <c r="H149" s="137">
        <v>4000</v>
      </c>
      <c r="I149" s="138" t="s">
        <v>923</v>
      </c>
      <c r="J149" s="10">
        <v>5515</v>
      </c>
      <c r="K149" s="136" t="s">
        <v>112</v>
      </c>
      <c r="L149" s="10">
        <v>55</v>
      </c>
      <c r="M149" s="10" t="s">
        <v>2219</v>
      </c>
      <c r="N149" s="136" t="s">
        <v>131</v>
      </c>
      <c r="O149" s="136" t="s">
        <v>549</v>
      </c>
      <c r="P149" s="136" t="s">
        <v>85</v>
      </c>
    </row>
    <row r="150" spans="1:16" x14ac:dyDescent="0.25">
      <c r="A150" s="139" t="s">
        <v>1103</v>
      </c>
      <c r="B150" s="139" t="s">
        <v>254</v>
      </c>
      <c r="C150" s="140" t="s">
        <v>2038</v>
      </c>
      <c r="D150" s="140" t="s">
        <v>573</v>
      </c>
      <c r="E150" s="140" t="s">
        <v>73</v>
      </c>
      <c r="F150" s="139" t="s">
        <v>850</v>
      </c>
      <c r="G150" s="139" t="s">
        <v>924</v>
      </c>
      <c r="H150" s="141">
        <v>100</v>
      </c>
      <c r="I150" s="142"/>
      <c r="J150" s="139">
        <v>5525</v>
      </c>
      <c r="K150" s="140" t="s">
        <v>118</v>
      </c>
      <c r="L150" s="139">
        <v>55</v>
      </c>
      <c r="M150" s="139" t="s">
        <v>2219</v>
      </c>
      <c r="N150" s="140" t="s">
        <v>131</v>
      </c>
      <c r="O150" s="140" t="s">
        <v>549</v>
      </c>
      <c r="P150" s="140" t="s">
        <v>85</v>
      </c>
    </row>
    <row r="151" spans="1:16" x14ac:dyDescent="0.25">
      <c r="A151" s="10" t="s">
        <v>1103</v>
      </c>
      <c r="B151" s="10" t="s">
        <v>254</v>
      </c>
      <c r="C151" s="136" t="s">
        <v>2038</v>
      </c>
      <c r="D151" s="136" t="s">
        <v>573</v>
      </c>
      <c r="E151" s="136" t="s">
        <v>73</v>
      </c>
      <c r="F151" s="10" t="s">
        <v>850</v>
      </c>
      <c r="G151" s="10" t="s">
        <v>925</v>
      </c>
      <c r="H151" s="137">
        <v>2000</v>
      </c>
      <c r="I151" s="138" t="s">
        <v>926</v>
      </c>
      <c r="J151" s="10">
        <v>5540</v>
      </c>
      <c r="K151" s="136" t="s">
        <v>121</v>
      </c>
      <c r="L151" s="10">
        <v>55</v>
      </c>
      <c r="M151" s="10" t="s">
        <v>2219</v>
      </c>
      <c r="N151" s="136" t="s">
        <v>131</v>
      </c>
      <c r="O151" s="136" t="s">
        <v>549</v>
      </c>
      <c r="P151" s="136" t="s">
        <v>85</v>
      </c>
    </row>
    <row r="152" spans="1:16" x14ac:dyDescent="0.25">
      <c r="A152" s="139" t="s">
        <v>1103</v>
      </c>
      <c r="B152" s="139" t="s">
        <v>254</v>
      </c>
      <c r="C152" s="140" t="s">
        <v>2038</v>
      </c>
      <c r="D152" s="140" t="s">
        <v>573</v>
      </c>
      <c r="E152" s="140" t="s">
        <v>73</v>
      </c>
      <c r="F152" s="139" t="s">
        <v>850</v>
      </c>
      <c r="G152" s="139" t="s">
        <v>927</v>
      </c>
      <c r="H152" s="141">
        <v>500</v>
      </c>
      <c r="I152" s="142" t="s">
        <v>928</v>
      </c>
      <c r="J152" s="139">
        <v>5522</v>
      </c>
      <c r="K152" s="140" t="s">
        <v>115</v>
      </c>
      <c r="L152" s="139">
        <v>55</v>
      </c>
      <c r="M152" s="139" t="s">
        <v>2219</v>
      </c>
      <c r="N152" s="140" t="s">
        <v>131</v>
      </c>
      <c r="O152" s="140" t="s">
        <v>549</v>
      </c>
      <c r="P152" s="140" t="s">
        <v>85</v>
      </c>
    </row>
    <row r="153" spans="1:16" x14ac:dyDescent="0.25">
      <c r="A153" s="10" t="s">
        <v>1103</v>
      </c>
      <c r="B153" s="10" t="s">
        <v>254</v>
      </c>
      <c r="C153" s="136" t="s">
        <v>2038</v>
      </c>
      <c r="D153" s="136" t="s">
        <v>573</v>
      </c>
      <c r="E153" s="136" t="s">
        <v>73</v>
      </c>
      <c r="F153" s="10" t="s">
        <v>850</v>
      </c>
      <c r="G153" s="10" t="s">
        <v>929</v>
      </c>
      <c r="H153" s="137">
        <v>500</v>
      </c>
      <c r="I153" s="138" t="s">
        <v>928</v>
      </c>
      <c r="J153" s="10">
        <v>5515</v>
      </c>
      <c r="K153" s="136" t="s">
        <v>112</v>
      </c>
      <c r="L153" s="10">
        <v>55</v>
      </c>
      <c r="M153" s="10" t="s">
        <v>2219</v>
      </c>
      <c r="N153" s="136" t="s">
        <v>131</v>
      </c>
      <c r="O153" s="136" t="s">
        <v>549</v>
      </c>
      <c r="P153" s="136" t="s">
        <v>85</v>
      </c>
    </row>
    <row r="154" spans="1:16" x14ac:dyDescent="0.25">
      <c r="A154" s="139" t="s">
        <v>1103</v>
      </c>
      <c r="B154" s="139" t="s">
        <v>254</v>
      </c>
      <c r="C154" s="140" t="s">
        <v>2038</v>
      </c>
      <c r="D154" s="140" t="s">
        <v>573</v>
      </c>
      <c r="E154" s="140" t="s">
        <v>73</v>
      </c>
      <c r="F154" s="139" t="s">
        <v>850</v>
      </c>
      <c r="G154" s="139" t="s">
        <v>676</v>
      </c>
      <c r="H154" s="141">
        <v>200</v>
      </c>
      <c r="I154" s="142" t="s">
        <v>930</v>
      </c>
      <c r="J154" s="139">
        <v>5522</v>
      </c>
      <c r="K154" s="140" t="s">
        <v>115</v>
      </c>
      <c r="L154" s="139">
        <v>55</v>
      </c>
      <c r="M154" s="139" t="s">
        <v>2219</v>
      </c>
      <c r="N154" s="140" t="s">
        <v>131</v>
      </c>
      <c r="O154" s="140" t="s">
        <v>549</v>
      </c>
      <c r="P154" s="140" t="s">
        <v>85</v>
      </c>
    </row>
    <row r="155" spans="1:16" x14ac:dyDescent="0.25">
      <c r="A155" s="10" t="s">
        <v>1103</v>
      </c>
      <c r="B155" s="10" t="s">
        <v>254</v>
      </c>
      <c r="C155" s="136" t="s">
        <v>2038</v>
      </c>
      <c r="D155" s="136" t="s">
        <v>573</v>
      </c>
      <c r="E155" s="136" t="s">
        <v>73</v>
      </c>
      <c r="F155" s="10" t="s">
        <v>850</v>
      </c>
      <c r="G155" s="10" t="s">
        <v>931</v>
      </c>
      <c r="H155" s="137">
        <v>400</v>
      </c>
      <c r="I155" s="138"/>
      <c r="J155" s="10">
        <v>5525</v>
      </c>
      <c r="K155" s="136" t="s">
        <v>118</v>
      </c>
      <c r="L155" s="10">
        <v>55</v>
      </c>
      <c r="M155" s="10" t="s">
        <v>2219</v>
      </c>
      <c r="N155" s="136" t="s">
        <v>131</v>
      </c>
      <c r="O155" s="136" t="s">
        <v>549</v>
      </c>
      <c r="P155" s="136" t="s">
        <v>85</v>
      </c>
    </row>
    <row r="156" spans="1:16" x14ac:dyDescent="0.25">
      <c r="A156" s="139" t="s">
        <v>1103</v>
      </c>
      <c r="B156" s="139" t="s">
        <v>254</v>
      </c>
      <c r="C156" s="140" t="s">
        <v>2038</v>
      </c>
      <c r="D156" s="140" t="s">
        <v>573</v>
      </c>
      <c r="E156" s="140" t="s">
        <v>73</v>
      </c>
      <c r="F156" s="139" t="s">
        <v>850</v>
      </c>
      <c r="G156" s="139" t="s">
        <v>932</v>
      </c>
      <c r="H156" s="141">
        <v>6000</v>
      </c>
      <c r="I156" s="142" t="s">
        <v>933</v>
      </c>
      <c r="J156" s="139">
        <v>5540</v>
      </c>
      <c r="K156" s="140" t="s">
        <v>121</v>
      </c>
      <c r="L156" s="139">
        <v>55</v>
      </c>
      <c r="M156" s="139" t="s">
        <v>2219</v>
      </c>
      <c r="N156" s="140" t="s">
        <v>131</v>
      </c>
      <c r="O156" s="140" t="s">
        <v>549</v>
      </c>
      <c r="P156" s="140" t="s">
        <v>85</v>
      </c>
    </row>
    <row r="157" spans="1:16" x14ac:dyDescent="0.25">
      <c r="A157" s="10" t="s">
        <v>1103</v>
      </c>
      <c r="B157" s="10" t="s">
        <v>254</v>
      </c>
      <c r="C157" s="136" t="s">
        <v>2038</v>
      </c>
      <c r="D157" s="136" t="s">
        <v>573</v>
      </c>
      <c r="E157" s="136" t="s">
        <v>73</v>
      </c>
      <c r="F157" s="10" t="s">
        <v>850</v>
      </c>
      <c r="G157" s="10" t="s">
        <v>912</v>
      </c>
      <c r="H157" s="137">
        <v>3050</v>
      </c>
      <c r="I157" s="138" t="s">
        <v>913</v>
      </c>
      <c r="J157" s="10">
        <v>5514</v>
      </c>
      <c r="K157" s="136" t="s">
        <v>110</v>
      </c>
      <c r="L157" s="10">
        <v>55</v>
      </c>
      <c r="M157" s="10" t="s">
        <v>2219</v>
      </c>
      <c r="N157" s="136" t="s">
        <v>131</v>
      </c>
      <c r="O157" s="136" t="s">
        <v>549</v>
      </c>
      <c r="P157" s="136" t="s">
        <v>85</v>
      </c>
    </row>
    <row r="158" spans="1:16" x14ac:dyDescent="0.25">
      <c r="A158" s="139" t="s">
        <v>1103</v>
      </c>
      <c r="B158" s="139" t="s">
        <v>254</v>
      </c>
      <c r="C158" s="140" t="s">
        <v>2038</v>
      </c>
      <c r="D158" s="140" t="s">
        <v>573</v>
      </c>
      <c r="E158" s="140" t="s">
        <v>73</v>
      </c>
      <c r="F158" s="139" t="s">
        <v>850</v>
      </c>
      <c r="G158" s="139" t="s">
        <v>916</v>
      </c>
      <c r="H158" s="141">
        <v>300</v>
      </c>
      <c r="I158" s="142" t="s">
        <v>917</v>
      </c>
      <c r="J158" s="139">
        <v>5514</v>
      </c>
      <c r="K158" s="140" t="s">
        <v>110</v>
      </c>
      <c r="L158" s="139">
        <v>55</v>
      </c>
      <c r="M158" s="139" t="s">
        <v>2219</v>
      </c>
      <c r="N158" s="140" t="s">
        <v>131</v>
      </c>
      <c r="O158" s="140" t="s">
        <v>549</v>
      </c>
      <c r="P158" s="140" t="s">
        <v>85</v>
      </c>
    </row>
    <row r="159" spans="1:16" x14ac:dyDescent="0.25">
      <c r="A159" s="10" t="s">
        <v>1103</v>
      </c>
      <c r="B159" s="10" t="s">
        <v>255</v>
      </c>
      <c r="C159" s="136" t="s">
        <v>256</v>
      </c>
      <c r="D159" s="136" t="s">
        <v>573</v>
      </c>
      <c r="E159" s="136" t="s">
        <v>73</v>
      </c>
      <c r="F159" s="10" t="s">
        <v>934</v>
      </c>
      <c r="G159" s="10" t="s">
        <v>937</v>
      </c>
      <c r="H159" s="137">
        <v>814</v>
      </c>
      <c r="I159" s="138"/>
      <c r="J159" s="10">
        <v>5511</v>
      </c>
      <c r="K159" s="136" t="s">
        <v>106</v>
      </c>
      <c r="L159" s="10">
        <v>55</v>
      </c>
      <c r="M159" s="10" t="s">
        <v>2219</v>
      </c>
      <c r="N159" s="136" t="s">
        <v>131</v>
      </c>
      <c r="O159" s="136" t="s">
        <v>549</v>
      </c>
      <c r="P159" s="136" t="s">
        <v>85</v>
      </c>
    </row>
    <row r="160" spans="1:16" x14ac:dyDescent="0.25">
      <c r="A160" s="139" t="s">
        <v>1103</v>
      </c>
      <c r="B160" s="139" t="s">
        <v>255</v>
      </c>
      <c r="C160" s="140" t="s">
        <v>256</v>
      </c>
      <c r="D160" s="140" t="s">
        <v>573</v>
      </c>
      <c r="E160" s="140" t="s">
        <v>73</v>
      </c>
      <c r="F160" s="139" t="s">
        <v>934</v>
      </c>
      <c r="G160" s="139" t="s">
        <v>870</v>
      </c>
      <c r="H160" s="141">
        <v>10600</v>
      </c>
      <c r="I160" s="142"/>
      <c r="J160" s="139">
        <v>5511</v>
      </c>
      <c r="K160" s="140" t="s">
        <v>106</v>
      </c>
      <c r="L160" s="139">
        <v>55</v>
      </c>
      <c r="M160" s="139" t="s">
        <v>2219</v>
      </c>
      <c r="N160" s="140" t="s">
        <v>131</v>
      </c>
      <c r="O160" s="140" t="s">
        <v>549</v>
      </c>
      <c r="P160" s="140" t="s">
        <v>85</v>
      </c>
    </row>
    <row r="161" spans="1:16" x14ac:dyDescent="0.25">
      <c r="A161" s="10" t="s">
        <v>1103</v>
      </c>
      <c r="B161" s="10" t="s">
        <v>255</v>
      </c>
      <c r="C161" s="136" t="s">
        <v>256</v>
      </c>
      <c r="D161" s="136" t="s">
        <v>573</v>
      </c>
      <c r="E161" s="136" t="s">
        <v>73</v>
      </c>
      <c r="F161" s="10" t="s">
        <v>934</v>
      </c>
      <c r="G161" s="10" t="s">
        <v>872</v>
      </c>
      <c r="H161" s="137">
        <v>350</v>
      </c>
      <c r="I161" s="138"/>
      <c r="J161" s="10">
        <v>5511</v>
      </c>
      <c r="K161" s="136" t="s">
        <v>106</v>
      </c>
      <c r="L161" s="10">
        <v>55</v>
      </c>
      <c r="M161" s="10" t="s">
        <v>2219</v>
      </c>
      <c r="N161" s="136" t="s">
        <v>131</v>
      </c>
      <c r="O161" s="136" t="s">
        <v>549</v>
      </c>
      <c r="P161" s="136" t="s">
        <v>85</v>
      </c>
    </row>
    <row r="162" spans="1:16" x14ac:dyDescent="0.25">
      <c r="A162" s="139" t="s">
        <v>1103</v>
      </c>
      <c r="B162" s="139" t="s">
        <v>255</v>
      </c>
      <c r="C162" s="140" t="s">
        <v>256</v>
      </c>
      <c r="D162" s="140" t="s">
        <v>573</v>
      </c>
      <c r="E162" s="140" t="s">
        <v>73</v>
      </c>
      <c r="F162" s="139" t="s">
        <v>934</v>
      </c>
      <c r="G162" s="139" t="s">
        <v>874</v>
      </c>
      <c r="H162" s="141">
        <v>110</v>
      </c>
      <c r="I162" s="142"/>
      <c r="J162" s="139">
        <v>5511</v>
      </c>
      <c r="K162" s="140" t="s">
        <v>106</v>
      </c>
      <c r="L162" s="139">
        <v>55</v>
      </c>
      <c r="M162" s="139" t="s">
        <v>2219</v>
      </c>
      <c r="N162" s="140" t="s">
        <v>131</v>
      </c>
      <c r="O162" s="140" t="s">
        <v>549</v>
      </c>
      <c r="P162" s="140" t="s">
        <v>85</v>
      </c>
    </row>
    <row r="163" spans="1:16" x14ac:dyDescent="0.25">
      <c r="A163" s="10" t="s">
        <v>1103</v>
      </c>
      <c r="B163" s="10" t="s">
        <v>255</v>
      </c>
      <c r="C163" s="136" t="s">
        <v>256</v>
      </c>
      <c r="D163" s="136" t="s">
        <v>573</v>
      </c>
      <c r="E163" s="136" t="s">
        <v>73</v>
      </c>
      <c r="F163" s="10" t="s">
        <v>934</v>
      </c>
      <c r="G163" s="10" t="s">
        <v>887</v>
      </c>
      <c r="H163" s="137">
        <v>200</v>
      </c>
      <c r="I163" s="138"/>
      <c r="J163" s="10">
        <v>5511</v>
      </c>
      <c r="K163" s="136" t="s">
        <v>106</v>
      </c>
      <c r="L163" s="10">
        <v>55</v>
      </c>
      <c r="M163" s="10" t="s">
        <v>2219</v>
      </c>
      <c r="N163" s="136" t="s">
        <v>131</v>
      </c>
      <c r="O163" s="136" t="s">
        <v>549</v>
      </c>
      <c r="P163" s="136" t="s">
        <v>85</v>
      </c>
    </row>
    <row r="164" spans="1:16" x14ac:dyDescent="0.25">
      <c r="A164" s="139" t="s">
        <v>1103</v>
      </c>
      <c r="B164" s="139" t="s">
        <v>255</v>
      </c>
      <c r="C164" s="140" t="s">
        <v>256</v>
      </c>
      <c r="D164" s="140" t="s">
        <v>573</v>
      </c>
      <c r="E164" s="140" t="s">
        <v>73</v>
      </c>
      <c r="F164" s="139" t="s">
        <v>934</v>
      </c>
      <c r="G164" s="139" t="s">
        <v>938</v>
      </c>
      <c r="H164" s="141">
        <v>500</v>
      </c>
      <c r="I164" s="142"/>
      <c r="J164" s="139">
        <v>5511</v>
      </c>
      <c r="K164" s="140" t="s">
        <v>106</v>
      </c>
      <c r="L164" s="139">
        <v>55</v>
      </c>
      <c r="M164" s="139" t="s">
        <v>2219</v>
      </c>
      <c r="N164" s="140" t="s">
        <v>131</v>
      </c>
      <c r="O164" s="140" t="s">
        <v>549</v>
      </c>
      <c r="P164" s="140" t="s">
        <v>85</v>
      </c>
    </row>
    <row r="165" spans="1:16" x14ac:dyDescent="0.25">
      <c r="A165" s="10" t="s">
        <v>1103</v>
      </c>
      <c r="B165" s="10" t="s">
        <v>255</v>
      </c>
      <c r="C165" s="136" t="s">
        <v>256</v>
      </c>
      <c r="D165" s="136" t="s">
        <v>573</v>
      </c>
      <c r="E165" s="136" t="s">
        <v>73</v>
      </c>
      <c r="F165" s="10" t="s">
        <v>934</v>
      </c>
      <c r="G165" s="10" t="s">
        <v>891</v>
      </c>
      <c r="H165" s="137">
        <v>150</v>
      </c>
      <c r="I165" s="138" t="s">
        <v>944</v>
      </c>
      <c r="J165" s="10">
        <v>5511</v>
      </c>
      <c r="K165" s="136" t="s">
        <v>106</v>
      </c>
      <c r="L165" s="10">
        <v>55</v>
      </c>
      <c r="M165" s="10" t="s">
        <v>2219</v>
      </c>
      <c r="N165" s="136" t="s">
        <v>131</v>
      </c>
      <c r="O165" s="136" t="s">
        <v>549</v>
      </c>
      <c r="P165" s="136" t="s">
        <v>85</v>
      </c>
    </row>
    <row r="166" spans="1:16" x14ac:dyDescent="0.25">
      <c r="A166" s="139" t="s">
        <v>1103</v>
      </c>
      <c r="B166" s="139" t="s">
        <v>255</v>
      </c>
      <c r="C166" s="140" t="s">
        <v>256</v>
      </c>
      <c r="D166" s="140" t="s">
        <v>573</v>
      </c>
      <c r="E166" s="140" t="s">
        <v>73</v>
      </c>
      <c r="F166" s="139" t="s">
        <v>934</v>
      </c>
      <c r="G166" s="139" t="s">
        <v>894</v>
      </c>
      <c r="H166" s="141">
        <v>540</v>
      </c>
      <c r="I166" s="142"/>
      <c r="J166" s="139">
        <v>5511</v>
      </c>
      <c r="K166" s="140" t="s">
        <v>106</v>
      </c>
      <c r="L166" s="139">
        <v>55</v>
      </c>
      <c r="M166" s="139" t="s">
        <v>2219</v>
      </c>
      <c r="N166" s="140" t="s">
        <v>131</v>
      </c>
      <c r="O166" s="140" t="s">
        <v>549</v>
      </c>
      <c r="P166" s="140" t="s">
        <v>85</v>
      </c>
    </row>
    <row r="167" spans="1:16" x14ac:dyDescent="0.25">
      <c r="A167" s="10" t="s">
        <v>1103</v>
      </c>
      <c r="B167" s="10" t="s">
        <v>255</v>
      </c>
      <c r="C167" s="136" t="s">
        <v>256</v>
      </c>
      <c r="D167" s="136" t="s">
        <v>573</v>
      </c>
      <c r="E167" s="136" t="s">
        <v>73</v>
      </c>
      <c r="F167" s="10" t="s">
        <v>934</v>
      </c>
      <c r="G167" s="10" t="s">
        <v>896</v>
      </c>
      <c r="H167" s="137">
        <v>200</v>
      </c>
      <c r="I167" s="138"/>
      <c r="J167" s="10">
        <v>5511</v>
      </c>
      <c r="K167" s="136" t="s">
        <v>106</v>
      </c>
      <c r="L167" s="10">
        <v>55</v>
      </c>
      <c r="M167" s="10" t="s">
        <v>2219</v>
      </c>
      <c r="N167" s="136" t="s">
        <v>131</v>
      </c>
      <c r="O167" s="136" t="s">
        <v>549</v>
      </c>
      <c r="P167" s="136" t="s">
        <v>85</v>
      </c>
    </row>
    <row r="168" spans="1:16" x14ac:dyDescent="0.25">
      <c r="A168" s="139" t="s">
        <v>1103</v>
      </c>
      <c r="B168" s="139" t="s">
        <v>255</v>
      </c>
      <c r="C168" s="140" t="s">
        <v>256</v>
      </c>
      <c r="D168" s="140" t="s">
        <v>573</v>
      </c>
      <c r="E168" s="140" t="s">
        <v>73</v>
      </c>
      <c r="F168" s="139" t="s">
        <v>934</v>
      </c>
      <c r="G168" s="139" t="s">
        <v>939</v>
      </c>
      <c r="H168" s="141">
        <v>116</v>
      </c>
      <c r="I168" s="142"/>
      <c r="J168" s="139">
        <v>5511</v>
      </c>
      <c r="K168" s="140" t="s">
        <v>106</v>
      </c>
      <c r="L168" s="139">
        <v>55</v>
      </c>
      <c r="M168" s="139" t="s">
        <v>2219</v>
      </c>
      <c r="N168" s="140" t="s">
        <v>131</v>
      </c>
      <c r="O168" s="140" t="s">
        <v>549</v>
      </c>
      <c r="P168" s="140" t="s">
        <v>85</v>
      </c>
    </row>
    <row r="169" spans="1:16" x14ac:dyDescent="0.25">
      <c r="A169" s="10" t="s">
        <v>1103</v>
      </c>
      <c r="B169" s="10" t="s">
        <v>255</v>
      </c>
      <c r="C169" s="136" t="s">
        <v>256</v>
      </c>
      <c r="D169" s="136" t="s">
        <v>573</v>
      </c>
      <c r="E169" s="136" t="s">
        <v>73</v>
      </c>
      <c r="F169" s="10" t="s">
        <v>934</v>
      </c>
      <c r="G169" s="10" t="s">
        <v>940</v>
      </c>
      <c r="H169" s="137">
        <v>300</v>
      </c>
      <c r="I169" s="138"/>
      <c r="J169" s="10">
        <v>5511</v>
      </c>
      <c r="K169" s="136" t="s">
        <v>106</v>
      </c>
      <c r="L169" s="10">
        <v>55</v>
      </c>
      <c r="M169" s="10" t="s">
        <v>2219</v>
      </c>
      <c r="N169" s="136" t="s">
        <v>131</v>
      </c>
      <c r="O169" s="136" t="s">
        <v>549</v>
      </c>
      <c r="P169" s="136" t="s">
        <v>85</v>
      </c>
    </row>
    <row r="170" spans="1:16" x14ac:dyDescent="0.25">
      <c r="A170" s="139" t="s">
        <v>1103</v>
      </c>
      <c r="B170" s="139" t="s">
        <v>255</v>
      </c>
      <c r="C170" s="140" t="s">
        <v>256</v>
      </c>
      <c r="D170" s="140" t="s">
        <v>573</v>
      </c>
      <c r="E170" s="140" t="s">
        <v>73</v>
      </c>
      <c r="F170" s="139" t="s">
        <v>934</v>
      </c>
      <c r="G170" s="139" t="s">
        <v>941</v>
      </c>
      <c r="H170" s="141">
        <v>4000</v>
      </c>
      <c r="I170" s="142"/>
      <c r="J170" s="139">
        <v>5511</v>
      </c>
      <c r="K170" s="140" t="s">
        <v>106</v>
      </c>
      <c r="L170" s="139">
        <v>55</v>
      </c>
      <c r="M170" s="139" t="s">
        <v>2219</v>
      </c>
      <c r="N170" s="140" t="s">
        <v>131</v>
      </c>
      <c r="O170" s="140" t="s">
        <v>549</v>
      </c>
      <c r="P170" s="140" t="s">
        <v>85</v>
      </c>
    </row>
    <row r="171" spans="1:16" x14ac:dyDescent="0.25">
      <c r="A171" s="10" t="s">
        <v>1103</v>
      </c>
      <c r="B171" s="10" t="s">
        <v>255</v>
      </c>
      <c r="C171" s="136" t="s">
        <v>256</v>
      </c>
      <c r="D171" s="136" t="s">
        <v>573</v>
      </c>
      <c r="E171" s="136" t="s">
        <v>73</v>
      </c>
      <c r="F171" s="10" t="s">
        <v>934</v>
      </c>
      <c r="G171" s="10" t="s">
        <v>942</v>
      </c>
      <c r="H171" s="137">
        <v>570</v>
      </c>
      <c r="I171" s="138"/>
      <c r="J171" s="10">
        <v>5511</v>
      </c>
      <c r="K171" s="136" t="s">
        <v>106</v>
      </c>
      <c r="L171" s="10">
        <v>55</v>
      </c>
      <c r="M171" s="10" t="s">
        <v>2219</v>
      </c>
      <c r="N171" s="136" t="s">
        <v>131</v>
      </c>
      <c r="O171" s="136" t="s">
        <v>549</v>
      </c>
      <c r="P171" s="136" t="s">
        <v>85</v>
      </c>
    </row>
    <row r="172" spans="1:16" x14ac:dyDescent="0.25">
      <c r="A172" s="139" t="s">
        <v>1103</v>
      </c>
      <c r="B172" s="139" t="s">
        <v>255</v>
      </c>
      <c r="C172" s="140" t="s">
        <v>256</v>
      </c>
      <c r="D172" s="140" t="s">
        <v>573</v>
      </c>
      <c r="E172" s="140" t="s">
        <v>73</v>
      </c>
      <c r="F172" s="139" t="s">
        <v>934</v>
      </c>
      <c r="G172" s="139" t="s">
        <v>943</v>
      </c>
      <c r="H172" s="141">
        <v>3000</v>
      </c>
      <c r="I172" s="142"/>
      <c r="J172" s="139">
        <v>5511</v>
      </c>
      <c r="K172" s="140" t="s">
        <v>106</v>
      </c>
      <c r="L172" s="139">
        <v>55</v>
      </c>
      <c r="M172" s="139" t="s">
        <v>2219</v>
      </c>
      <c r="N172" s="140" t="s">
        <v>131</v>
      </c>
      <c r="O172" s="140" t="s">
        <v>549</v>
      </c>
      <c r="P172" s="140" t="s">
        <v>85</v>
      </c>
    </row>
    <row r="173" spans="1:16" x14ac:dyDescent="0.25">
      <c r="A173" s="10" t="s">
        <v>1103</v>
      </c>
      <c r="B173" s="10" t="s">
        <v>255</v>
      </c>
      <c r="C173" s="136" t="s">
        <v>256</v>
      </c>
      <c r="D173" s="136" t="s">
        <v>573</v>
      </c>
      <c r="E173" s="136" t="s">
        <v>73</v>
      </c>
      <c r="F173" s="10" t="s">
        <v>934</v>
      </c>
      <c r="G173" s="10" t="s">
        <v>864</v>
      </c>
      <c r="H173" s="137">
        <v>300</v>
      </c>
      <c r="I173" s="138" t="s">
        <v>865</v>
      </c>
      <c r="J173" s="10">
        <v>5500</v>
      </c>
      <c r="K173" s="136" t="s">
        <v>100</v>
      </c>
      <c r="L173" s="10">
        <v>55</v>
      </c>
      <c r="M173" s="10" t="s">
        <v>2219</v>
      </c>
      <c r="N173" s="136" t="s">
        <v>131</v>
      </c>
      <c r="O173" s="136" t="s">
        <v>549</v>
      </c>
      <c r="P173" s="136" t="s">
        <v>85</v>
      </c>
    </row>
    <row r="174" spans="1:16" x14ac:dyDescent="0.25">
      <c r="A174" s="139" t="s">
        <v>1103</v>
      </c>
      <c r="B174" s="139" t="s">
        <v>255</v>
      </c>
      <c r="C174" s="140" t="s">
        <v>256</v>
      </c>
      <c r="D174" s="140" t="s">
        <v>573</v>
      </c>
      <c r="E174" s="140" t="s">
        <v>73</v>
      </c>
      <c r="F174" s="139" t="s">
        <v>934</v>
      </c>
      <c r="G174" s="139" t="s">
        <v>793</v>
      </c>
      <c r="H174" s="141">
        <v>26.4</v>
      </c>
      <c r="I174" s="142" t="s">
        <v>936</v>
      </c>
      <c r="J174" s="139">
        <v>5500</v>
      </c>
      <c r="K174" s="140" t="s">
        <v>100</v>
      </c>
      <c r="L174" s="139">
        <v>55</v>
      </c>
      <c r="M174" s="139" t="s">
        <v>2219</v>
      </c>
      <c r="N174" s="140" t="s">
        <v>131</v>
      </c>
      <c r="O174" s="140" t="s">
        <v>549</v>
      </c>
      <c r="P174" s="140" t="s">
        <v>85</v>
      </c>
    </row>
    <row r="175" spans="1:16" x14ac:dyDescent="0.25">
      <c r="A175" s="10" t="s">
        <v>1103</v>
      </c>
      <c r="B175" s="10" t="s">
        <v>255</v>
      </c>
      <c r="C175" s="136" t="s">
        <v>256</v>
      </c>
      <c r="D175" s="136" t="s">
        <v>573</v>
      </c>
      <c r="E175" s="136" t="s">
        <v>73</v>
      </c>
      <c r="F175" s="10" t="s">
        <v>934</v>
      </c>
      <c r="G175" s="10" t="s">
        <v>409</v>
      </c>
      <c r="H175" s="137">
        <v>200</v>
      </c>
      <c r="I175" s="138"/>
      <c r="J175" s="10">
        <v>5504</v>
      </c>
      <c r="K175" s="136" t="s">
        <v>102</v>
      </c>
      <c r="L175" s="10">
        <v>55</v>
      </c>
      <c r="M175" s="10" t="s">
        <v>2219</v>
      </c>
      <c r="N175" s="136" t="s">
        <v>131</v>
      </c>
      <c r="O175" s="136" t="s">
        <v>549</v>
      </c>
      <c r="P175" s="136" t="s">
        <v>85</v>
      </c>
    </row>
    <row r="176" spans="1:16" x14ac:dyDescent="0.25">
      <c r="A176" s="139" t="s">
        <v>1103</v>
      </c>
      <c r="B176" s="139" t="s">
        <v>255</v>
      </c>
      <c r="C176" s="140" t="s">
        <v>256</v>
      </c>
      <c r="D176" s="140" t="s">
        <v>573</v>
      </c>
      <c r="E176" s="140" t="s">
        <v>73</v>
      </c>
      <c r="F176" s="139" t="s">
        <v>934</v>
      </c>
      <c r="G176" s="139" t="s">
        <v>945</v>
      </c>
      <c r="H176" s="141">
        <v>3500</v>
      </c>
      <c r="I176" s="142" t="s">
        <v>198</v>
      </c>
      <c r="J176" s="139">
        <v>5513</v>
      </c>
      <c r="K176" s="140" t="s">
        <v>111</v>
      </c>
      <c r="L176" s="139">
        <v>55</v>
      </c>
      <c r="M176" s="139" t="s">
        <v>2219</v>
      </c>
      <c r="N176" s="140" t="s">
        <v>131</v>
      </c>
      <c r="O176" s="140" t="s">
        <v>549</v>
      </c>
      <c r="P176" s="140" t="s">
        <v>85</v>
      </c>
    </row>
    <row r="177" spans="1:16" x14ac:dyDescent="0.25">
      <c r="A177" s="10" t="s">
        <v>1103</v>
      </c>
      <c r="B177" s="10" t="s">
        <v>255</v>
      </c>
      <c r="C177" s="136" t="s">
        <v>256</v>
      </c>
      <c r="D177" s="136" t="s">
        <v>573</v>
      </c>
      <c r="E177" s="136" t="s">
        <v>73</v>
      </c>
      <c r="F177" s="10" t="s">
        <v>934</v>
      </c>
      <c r="G177" s="10" t="s">
        <v>946</v>
      </c>
      <c r="H177" s="137">
        <v>8000</v>
      </c>
      <c r="I177" s="138" t="s">
        <v>2101</v>
      </c>
      <c r="J177" s="10">
        <v>5513</v>
      </c>
      <c r="K177" s="136" t="s">
        <v>111</v>
      </c>
      <c r="L177" s="10">
        <v>55</v>
      </c>
      <c r="M177" s="10" t="s">
        <v>2219</v>
      </c>
      <c r="N177" s="136" t="s">
        <v>131</v>
      </c>
      <c r="O177" s="136" t="s">
        <v>549</v>
      </c>
      <c r="P177" s="136" t="s">
        <v>85</v>
      </c>
    </row>
    <row r="178" spans="1:16" x14ac:dyDescent="0.25">
      <c r="A178" s="139" t="s">
        <v>1103</v>
      </c>
      <c r="B178" s="139" t="s">
        <v>255</v>
      </c>
      <c r="C178" s="140" t="s">
        <v>256</v>
      </c>
      <c r="D178" s="140" t="s">
        <v>573</v>
      </c>
      <c r="E178" s="140" t="s">
        <v>73</v>
      </c>
      <c r="F178" s="139" t="s">
        <v>934</v>
      </c>
      <c r="G178" s="139" t="s">
        <v>442</v>
      </c>
      <c r="H178" s="141">
        <v>3600</v>
      </c>
      <c r="I178" s="142"/>
      <c r="J178" s="139">
        <v>5513</v>
      </c>
      <c r="K178" s="140" t="s">
        <v>111</v>
      </c>
      <c r="L178" s="139">
        <v>55</v>
      </c>
      <c r="M178" s="139" t="s">
        <v>2219</v>
      </c>
      <c r="N178" s="140" t="s">
        <v>131</v>
      </c>
      <c r="O178" s="140" t="s">
        <v>549</v>
      </c>
      <c r="P178" s="140" t="s">
        <v>85</v>
      </c>
    </row>
    <row r="179" spans="1:16" x14ac:dyDescent="0.25">
      <c r="A179" s="10" t="s">
        <v>1103</v>
      </c>
      <c r="B179" s="10" t="s">
        <v>255</v>
      </c>
      <c r="C179" s="136" t="s">
        <v>256</v>
      </c>
      <c r="D179" s="136" t="s">
        <v>573</v>
      </c>
      <c r="E179" s="136" t="s">
        <v>73</v>
      </c>
      <c r="F179" s="10" t="s">
        <v>934</v>
      </c>
      <c r="G179" s="10" t="s">
        <v>918</v>
      </c>
      <c r="H179" s="137">
        <v>900</v>
      </c>
      <c r="I179" s="138" t="s">
        <v>949</v>
      </c>
      <c r="J179" s="10">
        <v>5515</v>
      </c>
      <c r="K179" s="136" t="s">
        <v>112</v>
      </c>
      <c r="L179" s="10">
        <v>55</v>
      </c>
      <c r="M179" s="10" t="s">
        <v>2219</v>
      </c>
      <c r="N179" s="136" t="s">
        <v>131</v>
      </c>
      <c r="O179" s="136" t="s">
        <v>549</v>
      </c>
      <c r="P179" s="136" t="s">
        <v>85</v>
      </c>
    </row>
    <row r="180" spans="1:16" x14ac:dyDescent="0.25">
      <c r="A180" s="139" t="s">
        <v>1103</v>
      </c>
      <c r="B180" s="139" t="s">
        <v>255</v>
      </c>
      <c r="C180" s="140" t="s">
        <v>256</v>
      </c>
      <c r="D180" s="140" t="s">
        <v>573</v>
      </c>
      <c r="E180" s="140" t="s">
        <v>73</v>
      </c>
      <c r="F180" s="139" t="s">
        <v>934</v>
      </c>
      <c r="G180" s="139" t="s">
        <v>950</v>
      </c>
      <c r="H180" s="141">
        <v>2000</v>
      </c>
      <c r="I180" s="142"/>
      <c r="J180" s="139">
        <v>5515</v>
      </c>
      <c r="K180" s="140" t="s">
        <v>112</v>
      </c>
      <c r="L180" s="139">
        <v>55</v>
      </c>
      <c r="M180" s="139" t="s">
        <v>2219</v>
      </c>
      <c r="N180" s="140" t="s">
        <v>131</v>
      </c>
      <c r="O180" s="140" t="s">
        <v>549</v>
      </c>
      <c r="P180" s="140" t="s">
        <v>85</v>
      </c>
    </row>
    <row r="181" spans="1:16" x14ac:dyDescent="0.25">
      <c r="A181" s="10" t="s">
        <v>1103</v>
      </c>
      <c r="B181" s="10" t="s">
        <v>255</v>
      </c>
      <c r="C181" s="136" t="s">
        <v>256</v>
      </c>
      <c r="D181" s="136" t="s">
        <v>573</v>
      </c>
      <c r="E181" s="136" t="s">
        <v>73</v>
      </c>
      <c r="F181" s="10" t="s">
        <v>934</v>
      </c>
      <c r="G181" s="10" t="s">
        <v>912</v>
      </c>
      <c r="H181" s="137">
        <v>381.6</v>
      </c>
      <c r="I181" s="138" t="s">
        <v>948</v>
      </c>
      <c r="J181" s="10">
        <v>5514</v>
      </c>
      <c r="K181" s="136" t="s">
        <v>110</v>
      </c>
      <c r="L181" s="10">
        <v>55</v>
      </c>
      <c r="M181" s="10" t="s">
        <v>2219</v>
      </c>
      <c r="N181" s="136" t="s">
        <v>131</v>
      </c>
      <c r="O181" s="136" t="s">
        <v>549</v>
      </c>
      <c r="P181" s="136" t="s">
        <v>85</v>
      </c>
    </row>
    <row r="182" spans="1:16" x14ac:dyDescent="0.25">
      <c r="A182" s="139" t="s">
        <v>1103</v>
      </c>
      <c r="B182" s="139" t="s">
        <v>257</v>
      </c>
      <c r="C182" s="140" t="s">
        <v>258</v>
      </c>
      <c r="D182" s="140" t="s">
        <v>573</v>
      </c>
      <c r="E182" s="140" t="s">
        <v>73</v>
      </c>
      <c r="F182" s="139" t="s">
        <v>962</v>
      </c>
      <c r="G182" s="139" t="s">
        <v>963</v>
      </c>
      <c r="H182" s="141">
        <v>12950</v>
      </c>
      <c r="I182" s="142" t="s">
        <v>964</v>
      </c>
      <c r="J182" s="139">
        <v>5511</v>
      </c>
      <c r="K182" s="140" t="s">
        <v>106</v>
      </c>
      <c r="L182" s="139">
        <v>55</v>
      </c>
      <c r="M182" s="139" t="s">
        <v>2219</v>
      </c>
      <c r="N182" s="140" t="s">
        <v>131</v>
      </c>
      <c r="O182" s="140" t="s">
        <v>549</v>
      </c>
      <c r="P182" s="140" t="s">
        <v>85</v>
      </c>
    </row>
    <row r="183" spans="1:16" x14ac:dyDescent="0.25">
      <c r="A183" s="10" t="s">
        <v>1103</v>
      </c>
      <c r="B183" s="10" t="s">
        <v>257</v>
      </c>
      <c r="C183" s="136" t="s">
        <v>258</v>
      </c>
      <c r="D183" s="136" t="s">
        <v>573</v>
      </c>
      <c r="E183" s="136" t="s">
        <v>73</v>
      </c>
      <c r="F183" s="10" t="s">
        <v>962</v>
      </c>
      <c r="G183" s="10" t="s">
        <v>965</v>
      </c>
      <c r="H183" s="137">
        <v>150</v>
      </c>
      <c r="I183" s="138"/>
      <c r="J183" s="10">
        <v>5511</v>
      </c>
      <c r="K183" s="136" t="s">
        <v>106</v>
      </c>
      <c r="L183" s="10">
        <v>55</v>
      </c>
      <c r="M183" s="10" t="s">
        <v>2219</v>
      </c>
      <c r="N183" s="136" t="s">
        <v>131</v>
      </c>
      <c r="O183" s="136" t="s">
        <v>549</v>
      </c>
      <c r="P183" s="136" t="s">
        <v>85</v>
      </c>
    </row>
    <row r="184" spans="1:16" x14ac:dyDescent="0.25">
      <c r="A184" s="139" t="s">
        <v>1103</v>
      </c>
      <c r="B184" s="139" t="s">
        <v>257</v>
      </c>
      <c r="C184" s="140" t="s">
        <v>258</v>
      </c>
      <c r="D184" s="140" t="s">
        <v>573</v>
      </c>
      <c r="E184" s="140" t="s">
        <v>73</v>
      </c>
      <c r="F184" s="139" t="s">
        <v>962</v>
      </c>
      <c r="G184" s="139" t="s">
        <v>966</v>
      </c>
      <c r="H184" s="141">
        <v>2000</v>
      </c>
      <c r="I184" s="142" t="s">
        <v>967</v>
      </c>
      <c r="J184" s="139">
        <v>5511</v>
      </c>
      <c r="K184" s="140" t="s">
        <v>106</v>
      </c>
      <c r="L184" s="139">
        <v>55</v>
      </c>
      <c r="M184" s="139" t="s">
        <v>2219</v>
      </c>
      <c r="N184" s="140" t="s">
        <v>131</v>
      </c>
      <c r="O184" s="140" t="s">
        <v>549</v>
      </c>
      <c r="P184" s="140" t="s">
        <v>85</v>
      </c>
    </row>
    <row r="185" spans="1:16" x14ac:dyDescent="0.25">
      <c r="A185" s="10" t="s">
        <v>1103</v>
      </c>
      <c r="B185" s="10" t="s">
        <v>257</v>
      </c>
      <c r="C185" s="136" t="s">
        <v>258</v>
      </c>
      <c r="D185" s="136" t="s">
        <v>573</v>
      </c>
      <c r="E185" s="136" t="s">
        <v>73</v>
      </c>
      <c r="F185" s="10" t="s">
        <v>962</v>
      </c>
      <c r="G185" s="10" t="s">
        <v>968</v>
      </c>
      <c r="H185" s="137">
        <v>500</v>
      </c>
      <c r="I185" s="138"/>
      <c r="J185" s="10">
        <v>5511</v>
      </c>
      <c r="K185" s="136" t="s">
        <v>106</v>
      </c>
      <c r="L185" s="10">
        <v>55</v>
      </c>
      <c r="M185" s="10" t="s">
        <v>2219</v>
      </c>
      <c r="N185" s="136" t="s">
        <v>131</v>
      </c>
      <c r="O185" s="136" t="s">
        <v>549</v>
      </c>
      <c r="P185" s="136" t="s">
        <v>85</v>
      </c>
    </row>
    <row r="186" spans="1:16" x14ac:dyDescent="0.25">
      <c r="A186" s="139" t="s">
        <v>1103</v>
      </c>
      <c r="B186" s="139" t="s">
        <v>257</v>
      </c>
      <c r="C186" s="140" t="s">
        <v>258</v>
      </c>
      <c r="D186" s="140" t="s">
        <v>573</v>
      </c>
      <c r="E186" s="140" t="s">
        <v>73</v>
      </c>
      <c r="F186" s="139" t="s">
        <v>962</v>
      </c>
      <c r="G186" s="139" t="s">
        <v>943</v>
      </c>
      <c r="H186" s="141">
        <v>3000</v>
      </c>
      <c r="I186" s="142" t="s">
        <v>969</v>
      </c>
      <c r="J186" s="139">
        <v>5511</v>
      </c>
      <c r="K186" s="140" t="s">
        <v>106</v>
      </c>
      <c r="L186" s="139">
        <v>55</v>
      </c>
      <c r="M186" s="139" t="s">
        <v>2219</v>
      </c>
      <c r="N186" s="140" t="s">
        <v>131</v>
      </c>
      <c r="O186" s="140" t="s">
        <v>549</v>
      </c>
      <c r="P186" s="140" t="s">
        <v>85</v>
      </c>
    </row>
    <row r="187" spans="1:16" x14ac:dyDescent="0.25">
      <c r="A187" s="10" t="s">
        <v>1103</v>
      </c>
      <c r="B187" s="10" t="s">
        <v>257</v>
      </c>
      <c r="C187" s="136" t="s">
        <v>258</v>
      </c>
      <c r="D187" s="136" t="s">
        <v>573</v>
      </c>
      <c r="E187" s="136" t="s">
        <v>73</v>
      </c>
      <c r="F187" s="10" t="s">
        <v>962</v>
      </c>
      <c r="G187" s="10" t="s">
        <v>510</v>
      </c>
      <c r="H187" s="137">
        <v>600</v>
      </c>
      <c r="I187" s="138" t="s">
        <v>970</v>
      </c>
      <c r="J187" s="10">
        <v>5511</v>
      </c>
      <c r="K187" s="136" t="s">
        <v>106</v>
      </c>
      <c r="L187" s="10">
        <v>55</v>
      </c>
      <c r="M187" s="10" t="s">
        <v>2219</v>
      </c>
      <c r="N187" s="136" t="s">
        <v>131</v>
      </c>
      <c r="O187" s="136" t="s">
        <v>549</v>
      </c>
      <c r="P187" s="136" t="s">
        <v>85</v>
      </c>
    </row>
    <row r="188" spans="1:16" x14ac:dyDescent="0.25">
      <c r="A188" s="139" t="s">
        <v>1103</v>
      </c>
      <c r="B188" s="139" t="s">
        <v>257</v>
      </c>
      <c r="C188" s="140" t="s">
        <v>258</v>
      </c>
      <c r="D188" s="140" t="s">
        <v>573</v>
      </c>
      <c r="E188" s="140" t="s">
        <v>73</v>
      </c>
      <c r="F188" s="139" t="s">
        <v>962</v>
      </c>
      <c r="G188" s="139" t="s">
        <v>971</v>
      </c>
      <c r="H188" s="141">
        <v>160</v>
      </c>
      <c r="I188" s="142" t="s">
        <v>972</v>
      </c>
      <c r="J188" s="139">
        <v>5511</v>
      </c>
      <c r="K188" s="140" t="s">
        <v>106</v>
      </c>
      <c r="L188" s="139">
        <v>55</v>
      </c>
      <c r="M188" s="139" t="s">
        <v>2219</v>
      </c>
      <c r="N188" s="140" t="s">
        <v>131</v>
      </c>
      <c r="O188" s="140" t="s">
        <v>549</v>
      </c>
      <c r="P188" s="140" t="s">
        <v>85</v>
      </c>
    </row>
    <row r="189" spans="1:16" x14ac:dyDescent="0.25">
      <c r="A189" s="10" t="s">
        <v>1103</v>
      </c>
      <c r="B189" s="10" t="s">
        <v>257</v>
      </c>
      <c r="C189" s="136" t="s">
        <v>258</v>
      </c>
      <c r="D189" s="136" t="s">
        <v>573</v>
      </c>
      <c r="E189" s="136" t="s">
        <v>73</v>
      </c>
      <c r="F189" s="10" t="s">
        <v>962</v>
      </c>
      <c r="G189" s="10" t="s">
        <v>973</v>
      </c>
      <c r="H189" s="137">
        <v>155</v>
      </c>
      <c r="I189" s="138" t="s">
        <v>972</v>
      </c>
      <c r="J189" s="10">
        <v>5511</v>
      </c>
      <c r="K189" s="136" t="s">
        <v>106</v>
      </c>
      <c r="L189" s="10">
        <v>55</v>
      </c>
      <c r="M189" s="10" t="s">
        <v>2219</v>
      </c>
      <c r="N189" s="136" t="s">
        <v>131</v>
      </c>
      <c r="O189" s="136" t="s">
        <v>549</v>
      </c>
      <c r="P189" s="136" t="s">
        <v>85</v>
      </c>
    </row>
    <row r="190" spans="1:16" x14ac:dyDescent="0.25">
      <c r="A190" s="139" t="s">
        <v>1103</v>
      </c>
      <c r="B190" s="139" t="s">
        <v>257</v>
      </c>
      <c r="C190" s="140" t="s">
        <v>258</v>
      </c>
      <c r="D190" s="140" t="s">
        <v>573</v>
      </c>
      <c r="E190" s="140" t="s">
        <v>73</v>
      </c>
      <c r="F190" s="139" t="s">
        <v>962</v>
      </c>
      <c r="G190" s="139" t="s">
        <v>974</v>
      </c>
      <c r="H190" s="141">
        <v>250</v>
      </c>
      <c r="I190" s="142" t="s">
        <v>972</v>
      </c>
      <c r="J190" s="139">
        <v>5511</v>
      </c>
      <c r="K190" s="140" t="s">
        <v>106</v>
      </c>
      <c r="L190" s="139">
        <v>55</v>
      </c>
      <c r="M190" s="139" t="s">
        <v>2219</v>
      </c>
      <c r="N190" s="140" t="s">
        <v>131</v>
      </c>
      <c r="O190" s="140" t="s">
        <v>549</v>
      </c>
      <c r="P190" s="140" t="s">
        <v>85</v>
      </c>
    </row>
    <row r="191" spans="1:16" x14ac:dyDescent="0.25">
      <c r="A191" s="10" t="s">
        <v>1103</v>
      </c>
      <c r="B191" s="10" t="s">
        <v>257</v>
      </c>
      <c r="C191" s="136" t="s">
        <v>258</v>
      </c>
      <c r="D191" s="136" t="s">
        <v>573</v>
      </c>
      <c r="E191" s="136" t="s">
        <v>73</v>
      </c>
      <c r="F191" s="10" t="s">
        <v>962</v>
      </c>
      <c r="G191" s="10" t="s">
        <v>975</v>
      </c>
      <c r="H191" s="137">
        <v>13500</v>
      </c>
      <c r="I191" s="138"/>
      <c r="J191" s="10">
        <v>5511</v>
      </c>
      <c r="K191" s="136" t="s">
        <v>106</v>
      </c>
      <c r="L191" s="10">
        <v>55</v>
      </c>
      <c r="M191" s="10" t="s">
        <v>2219</v>
      </c>
      <c r="N191" s="136" t="s">
        <v>131</v>
      </c>
      <c r="O191" s="136" t="s">
        <v>549</v>
      </c>
      <c r="P191" s="136" t="s">
        <v>85</v>
      </c>
    </row>
    <row r="192" spans="1:16" x14ac:dyDescent="0.25">
      <c r="A192" s="139" t="s">
        <v>1103</v>
      </c>
      <c r="B192" s="139" t="s">
        <v>257</v>
      </c>
      <c r="C192" s="140" t="s">
        <v>258</v>
      </c>
      <c r="D192" s="140" t="s">
        <v>573</v>
      </c>
      <c r="E192" s="140" t="s">
        <v>73</v>
      </c>
      <c r="F192" s="139" t="s">
        <v>962</v>
      </c>
      <c r="G192" s="139" t="s">
        <v>976</v>
      </c>
      <c r="H192" s="141">
        <v>5000</v>
      </c>
      <c r="I192" s="142"/>
      <c r="J192" s="139">
        <v>5511</v>
      </c>
      <c r="K192" s="140" t="s">
        <v>106</v>
      </c>
      <c r="L192" s="139">
        <v>55</v>
      </c>
      <c r="M192" s="139" t="s">
        <v>2219</v>
      </c>
      <c r="N192" s="140" t="s">
        <v>131</v>
      </c>
      <c r="O192" s="140" t="s">
        <v>549</v>
      </c>
      <c r="P192" s="140" t="s">
        <v>85</v>
      </c>
    </row>
    <row r="193" spans="1:16" x14ac:dyDescent="0.25">
      <c r="A193" s="10" t="s">
        <v>1103</v>
      </c>
      <c r="B193" s="10" t="s">
        <v>257</v>
      </c>
      <c r="C193" s="136" t="s">
        <v>258</v>
      </c>
      <c r="D193" s="136" t="s">
        <v>573</v>
      </c>
      <c r="E193" s="136" t="s">
        <v>73</v>
      </c>
      <c r="F193" s="10" t="s">
        <v>962</v>
      </c>
      <c r="G193" s="10" t="s">
        <v>977</v>
      </c>
      <c r="H193" s="137">
        <v>4800</v>
      </c>
      <c r="I193" s="138"/>
      <c r="J193" s="10">
        <v>5511</v>
      </c>
      <c r="K193" s="136" t="s">
        <v>106</v>
      </c>
      <c r="L193" s="10">
        <v>55</v>
      </c>
      <c r="M193" s="10" t="s">
        <v>2219</v>
      </c>
      <c r="N193" s="136" t="s">
        <v>131</v>
      </c>
      <c r="O193" s="136" t="s">
        <v>549</v>
      </c>
      <c r="P193" s="136" t="s">
        <v>85</v>
      </c>
    </row>
    <row r="194" spans="1:16" x14ac:dyDescent="0.25">
      <c r="A194" s="139" t="s">
        <v>1103</v>
      </c>
      <c r="B194" s="139" t="s">
        <v>259</v>
      </c>
      <c r="C194" s="140" t="s">
        <v>260</v>
      </c>
      <c r="D194" s="140" t="s">
        <v>573</v>
      </c>
      <c r="E194" s="140" t="s">
        <v>73</v>
      </c>
      <c r="F194" s="139" t="s">
        <v>987</v>
      </c>
      <c r="G194" s="139" t="s">
        <v>943</v>
      </c>
      <c r="H194" s="141">
        <v>2500</v>
      </c>
      <c r="I194" s="142" t="s">
        <v>969</v>
      </c>
      <c r="J194" s="139">
        <v>5511</v>
      </c>
      <c r="K194" s="140" t="s">
        <v>106</v>
      </c>
      <c r="L194" s="139">
        <v>55</v>
      </c>
      <c r="M194" s="139" t="s">
        <v>2219</v>
      </c>
      <c r="N194" s="140" t="s">
        <v>131</v>
      </c>
      <c r="O194" s="140" t="s">
        <v>549</v>
      </c>
      <c r="P194" s="140" t="s">
        <v>85</v>
      </c>
    </row>
    <row r="195" spans="1:16" x14ac:dyDescent="0.25">
      <c r="A195" s="10" t="s">
        <v>1103</v>
      </c>
      <c r="B195" s="10" t="s">
        <v>259</v>
      </c>
      <c r="C195" s="136" t="s">
        <v>260</v>
      </c>
      <c r="D195" s="136" t="s">
        <v>573</v>
      </c>
      <c r="E195" s="136" t="s">
        <v>73</v>
      </c>
      <c r="F195" s="10" t="s">
        <v>987</v>
      </c>
      <c r="G195" s="10" t="s">
        <v>978</v>
      </c>
      <c r="H195" s="137">
        <v>400</v>
      </c>
      <c r="I195" s="138" t="s">
        <v>979</v>
      </c>
      <c r="J195" s="10">
        <v>5511</v>
      </c>
      <c r="K195" s="136" t="s">
        <v>106</v>
      </c>
      <c r="L195" s="10">
        <v>55</v>
      </c>
      <c r="M195" s="10" t="s">
        <v>2219</v>
      </c>
      <c r="N195" s="136" t="s">
        <v>131</v>
      </c>
      <c r="O195" s="136" t="s">
        <v>549</v>
      </c>
      <c r="P195" s="136" t="s">
        <v>85</v>
      </c>
    </row>
    <row r="196" spans="1:16" x14ac:dyDescent="0.25">
      <c r="A196" s="139" t="s">
        <v>1103</v>
      </c>
      <c r="B196" s="139" t="s">
        <v>259</v>
      </c>
      <c r="C196" s="140" t="s">
        <v>260</v>
      </c>
      <c r="D196" s="140" t="s">
        <v>573</v>
      </c>
      <c r="E196" s="140" t="s">
        <v>73</v>
      </c>
      <c r="F196" s="139" t="s">
        <v>987</v>
      </c>
      <c r="G196" s="139" t="s">
        <v>971</v>
      </c>
      <c r="H196" s="141">
        <v>1200</v>
      </c>
      <c r="I196" s="142" t="s">
        <v>969</v>
      </c>
      <c r="J196" s="139">
        <v>5511</v>
      </c>
      <c r="K196" s="140" t="s">
        <v>106</v>
      </c>
      <c r="L196" s="139">
        <v>55</v>
      </c>
      <c r="M196" s="139" t="s">
        <v>2219</v>
      </c>
      <c r="N196" s="140" t="s">
        <v>131</v>
      </c>
      <c r="O196" s="140" t="s">
        <v>549</v>
      </c>
      <c r="P196" s="140" t="s">
        <v>85</v>
      </c>
    </row>
    <row r="197" spans="1:16" x14ac:dyDescent="0.25">
      <c r="A197" s="10" t="s">
        <v>1103</v>
      </c>
      <c r="B197" s="10" t="s">
        <v>259</v>
      </c>
      <c r="C197" s="136" t="s">
        <v>260</v>
      </c>
      <c r="D197" s="136" t="s">
        <v>573</v>
      </c>
      <c r="E197" s="136" t="s">
        <v>73</v>
      </c>
      <c r="F197" s="10" t="s">
        <v>987</v>
      </c>
      <c r="G197" s="10" t="s">
        <v>980</v>
      </c>
      <c r="H197" s="137">
        <v>14300</v>
      </c>
      <c r="I197" s="138" t="s">
        <v>981</v>
      </c>
      <c r="J197" s="10">
        <v>5511</v>
      </c>
      <c r="K197" s="136" t="s">
        <v>106</v>
      </c>
      <c r="L197" s="10">
        <v>55</v>
      </c>
      <c r="M197" s="10" t="s">
        <v>2219</v>
      </c>
      <c r="N197" s="136" t="s">
        <v>131</v>
      </c>
      <c r="O197" s="136" t="s">
        <v>549</v>
      </c>
      <c r="P197" s="136" t="s">
        <v>85</v>
      </c>
    </row>
    <row r="198" spans="1:16" x14ac:dyDescent="0.25">
      <c r="A198" s="139" t="s">
        <v>1103</v>
      </c>
      <c r="B198" s="139" t="s">
        <v>259</v>
      </c>
      <c r="C198" s="140" t="s">
        <v>260</v>
      </c>
      <c r="D198" s="140" t="s">
        <v>573</v>
      </c>
      <c r="E198" s="140" t="s">
        <v>73</v>
      </c>
      <c r="F198" s="139" t="s">
        <v>987</v>
      </c>
      <c r="G198" s="139" t="s">
        <v>982</v>
      </c>
      <c r="H198" s="141">
        <v>6500</v>
      </c>
      <c r="I198" s="142" t="s">
        <v>983</v>
      </c>
      <c r="J198" s="139">
        <v>5511</v>
      </c>
      <c r="K198" s="140" t="s">
        <v>106</v>
      </c>
      <c r="L198" s="139">
        <v>55</v>
      </c>
      <c r="M198" s="139" t="s">
        <v>2219</v>
      </c>
      <c r="N198" s="140" t="s">
        <v>131</v>
      </c>
      <c r="O198" s="140" t="s">
        <v>549</v>
      </c>
      <c r="P198" s="140" t="s">
        <v>85</v>
      </c>
    </row>
    <row r="199" spans="1:16" x14ac:dyDescent="0.25">
      <c r="A199" s="10" t="s">
        <v>1103</v>
      </c>
      <c r="B199" s="10" t="s">
        <v>259</v>
      </c>
      <c r="C199" s="136" t="s">
        <v>260</v>
      </c>
      <c r="D199" s="136" t="s">
        <v>573</v>
      </c>
      <c r="E199" s="136" t="s">
        <v>73</v>
      </c>
      <c r="F199" s="10" t="s">
        <v>987</v>
      </c>
      <c r="G199" s="10" t="s">
        <v>984</v>
      </c>
      <c r="H199" s="137">
        <v>3600</v>
      </c>
      <c r="I199" s="138"/>
      <c r="J199" s="10">
        <v>5511</v>
      </c>
      <c r="K199" s="136" t="s">
        <v>106</v>
      </c>
      <c r="L199" s="10">
        <v>55</v>
      </c>
      <c r="M199" s="10" t="s">
        <v>2219</v>
      </c>
      <c r="N199" s="136" t="s">
        <v>131</v>
      </c>
      <c r="O199" s="136" t="s">
        <v>549</v>
      </c>
      <c r="P199" s="136" t="s">
        <v>85</v>
      </c>
    </row>
    <row r="200" spans="1:16" x14ac:dyDescent="0.25">
      <c r="A200" s="139" t="s">
        <v>1103</v>
      </c>
      <c r="B200" s="139" t="s">
        <v>259</v>
      </c>
      <c r="C200" s="140" t="s">
        <v>260</v>
      </c>
      <c r="D200" s="140" t="s">
        <v>573</v>
      </c>
      <c r="E200" s="140" t="s">
        <v>73</v>
      </c>
      <c r="F200" s="139" t="s">
        <v>987</v>
      </c>
      <c r="G200" s="139" t="s">
        <v>968</v>
      </c>
      <c r="H200" s="141">
        <v>300</v>
      </c>
      <c r="I200" s="142"/>
      <c r="J200" s="139">
        <v>5511</v>
      </c>
      <c r="K200" s="140" t="s">
        <v>106</v>
      </c>
      <c r="L200" s="139">
        <v>55</v>
      </c>
      <c r="M200" s="139" t="s">
        <v>2219</v>
      </c>
      <c r="N200" s="140" t="s">
        <v>131</v>
      </c>
      <c r="O200" s="140" t="s">
        <v>549</v>
      </c>
      <c r="P200" s="140" t="s">
        <v>85</v>
      </c>
    </row>
    <row r="201" spans="1:16" x14ac:dyDescent="0.25">
      <c r="A201" s="10" t="s">
        <v>1103</v>
      </c>
      <c r="B201" s="10" t="s">
        <v>259</v>
      </c>
      <c r="C201" s="136" t="s">
        <v>260</v>
      </c>
      <c r="D201" s="136" t="s">
        <v>573</v>
      </c>
      <c r="E201" s="136" t="s">
        <v>73</v>
      </c>
      <c r="F201" s="10" t="s">
        <v>987</v>
      </c>
      <c r="G201" s="10" t="s">
        <v>966</v>
      </c>
      <c r="H201" s="137">
        <v>1500</v>
      </c>
      <c r="I201" s="138" t="s">
        <v>985</v>
      </c>
      <c r="J201" s="10">
        <v>5511</v>
      </c>
      <c r="K201" s="136" t="s">
        <v>106</v>
      </c>
      <c r="L201" s="10">
        <v>55</v>
      </c>
      <c r="M201" s="10" t="s">
        <v>2219</v>
      </c>
      <c r="N201" s="136" t="s">
        <v>131</v>
      </c>
      <c r="O201" s="136" t="s">
        <v>549</v>
      </c>
      <c r="P201" s="136" t="s">
        <v>85</v>
      </c>
    </row>
    <row r="202" spans="1:16" x14ac:dyDescent="0.25">
      <c r="A202" s="139" t="s">
        <v>1103</v>
      </c>
      <c r="B202" s="139" t="s">
        <v>259</v>
      </c>
      <c r="C202" s="140" t="s">
        <v>260</v>
      </c>
      <c r="D202" s="140" t="s">
        <v>573</v>
      </c>
      <c r="E202" s="140" t="s">
        <v>73</v>
      </c>
      <c r="F202" s="139" t="s">
        <v>987</v>
      </c>
      <c r="G202" s="139" t="s">
        <v>986</v>
      </c>
      <c r="H202" s="141">
        <v>500</v>
      </c>
      <c r="I202" s="142"/>
      <c r="J202" s="139">
        <v>5511</v>
      </c>
      <c r="K202" s="140" t="s">
        <v>106</v>
      </c>
      <c r="L202" s="139">
        <v>55</v>
      </c>
      <c r="M202" s="139" t="s">
        <v>2219</v>
      </c>
      <c r="N202" s="140" t="s">
        <v>131</v>
      </c>
      <c r="O202" s="140" t="s">
        <v>549</v>
      </c>
      <c r="P202" s="140" t="s">
        <v>85</v>
      </c>
    </row>
    <row r="203" spans="1:16" x14ac:dyDescent="0.25">
      <c r="A203" s="10" t="s">
        <v>1103</v>
      </c>
      <c r="B203" s="10" t="s">
        <v>259</v>
      </c>
      <c r="C203" s="136" t="s">
        <v>260</v>
      </c>
      <c r="D203" s="136" t="s">
        <v>573</v>
      </c>
      <c r="E203" s="136" t="s">
        <v>73</v>
      </c>
      <c r="F203" s="10" t="s">
        <v>987</v>
      </c>
      <c r="G203" s="10" t="s">
        <v>1216</v>
      </c>
      <c r="H203" s="137">
        <v>580</v>
      </c>
      <c r="I203" s="138"/>
      <c r="J203" s="10">
        <v>5514</v>
      </c>
      <c r="K203" s="136" t="s">
        <v>110</v>
      </c>
      <c r="L203" s="10">
        <v>55</v>
      </c>
      <c r="M203" s="10" t="s">
        <v>2219</v>
      </c>
      <c r="N203" s="136" t="s">
        <v>131</v>
      </c>
      <c r="O203" s="136" t="s">
        <v>549</v>
      </c>
      <c r="P203" s="136" t="s">
        <v>85</v>
      </c>
    </row>
    <row r="204" spans="1:16" x14ac:dyDescent="0.25">
      <c r="A204" s="139" t="s">
        <v>1103</v>
      </c>
      <c r="B204" s="139" t="s">
        <v>261</v>
      </c>
      <c r="C204" s="140" t="s">
        <v>262</v>
      </c>
      <c r="D204" s="140" t="s">
        <v>573</v>
      </c>
      <c r="E204" s="140" t="s">
        <v>73</v>
      </c>
      <c r="F204" s="139" t="s">
        <v>992</v>
      </c>
      <c r="G204" s="139" t="s">
        <v>971</v>
      </c>
      <c r="H204" s="141">
        <v>235</v>
      </c>
      <c r="I204" s="142" t="s">
        <v>994</v>
      </c>
      <c r="J204" s="139">
        <v>5511</v>
      </c>
      <c r="K204" s="140" t="s">
        <v>106</v>
      </c>
      <c r="L204" s="139">
        <v>55</v>
      </c>
      <c r="M204" s="139" t="s">
        <v>2219</v>
      </c>
      <c r="N204" s="140" t="s">
        <v>131</v>
      </c>
      <c r="O204" s="140" t="s">
        <v>549</v>
      </c>
      <c r="P204" s="140" t="s">
        <v>85</v>
      </c>
    </row>
    <row r="205" spans="1:16" x14ac:dyDescent="0.25">
      <c r="A205" s="10" t="s">
        <v>1103</v>
      </c>
      <c r="B205" s="10" t="s">
        <v>261</v>
      </c>
      <c r="C205" s="136" t="s">
        <v>262</v>
      </c>
      <c r="D205" s="136" t="s">
        <v>573</v>
      </c>
      <c r="E205" s="136" t="s">
        <v>73</v>
      </c>
      <c r="F205" s="10" t="s">
        <v>992</v>
      </c>
      <c r="G205" s="10" t="s">
        <v>995</v>
      </c>
      <c r="H205" s="137">
        <v>92.4</v>
      </c>
      <c r="I205" s="138" t="s">
        <v>994</v>
      </c>
      <c r="J205" s="10">
        <v>5511</v>
      </c>
      <c r="K205" s="136" t="s">
        <v>106</v>
      </c>
      <c r="L205" s="10">
        <v>55</v>
      </c>
      <c r="M205" s="10" t="s">
        <v>2219</v>
      </c>
      <c r="N205" s="136" t="s">
        <v>131</v>
      </c>
      <c r="O205" s="136" t="s">
        <v>549</v>
      </c>
      <c r="P205" s="136" t="s">
        <v>85</v>
      </c>
    </row>
    <row r="206" spans="1:16" x14ac:dyDescent="0.25">
      <c r="A206" s="139" t="s">
        <v>1103</v>
      </c>
      <c r="B206" s="139" t="s">
        <v>261</v>
      </c>
      <c r="C206" s="140" t="s">
        <v>262</v>
      </c>
      <c r="D206" s="140" t="s">
        <v>573</v>
      </c>
      <c r="E206" s="140" t="s">
        <v>73</v>
      </c>
      <c r="F206" s="139" t="s">
        <v>992</v>
      </c>
      <c r="G206" s="139" t="s">
        <v>510</v>
      </c>
      <c r="H206" s="141">
        <v>1400</v>
      </c>
      <c r="I206" s="142" t="s">
        <v>996</v>
      </c>
      <c r="J206" s="139">
        <v>5511</v>
      </c>
      <c r="K206" s="140" t="s">
        <v>106</v>
      </c>
      <c r="L206" s="139">
        <v>55</v>
      </c>
      <c r="M206" s="139" t="s">
        <v>2219</v>
      </c>
      <c r="N206" s="140" t="s">
        <v>131</v>
      </c>
      <c r="O206" s="140" t="s">
        <v>549</v>
      </c>
      <c r="P206" s="140" t="s">
        <v>85</v>
      </c>
    </row>
    <row r="207" spans="1:16" x14ac:dyDescent="0.25">
      <c r="A207" s="10" t="s">
        <v>1103</v>
      </c>
      <c r="B207" s="10" t="s">
        <v>261</v>
      </c>
      <c r="C207" s="136" t="s">
        <v>262</v>
      </c>
      <c r="D207" s="136" t="s">
        <v>573</v>
      </c>
      <c r="E207" s="136" t="s">
        <v>73</v>
      </c>
      <c r="F207" s="10" t="s">
        <v>992</v>
      </c>
      <c r="G207" s="10" t="s">
        <v>971</v>
      </c>
      <c r="H207" s="137">
        <v>84</v>
      </c>
      <c r="I207" s="138" t="s">
        <v>997</v>
      </c>
      <c r="J207" s="10">
        <v>5511</v>
      </c>
      <c r="K207" s="136" t="s">
        <v>106</v>
      </c>
      <c r="L207" s="10">
        <v>55</v>
      </c>
      <c r="M207" s="10" t="s">
        <v>2219</v>
      </c>
      <c r="N207" s="136" t="s">
        <v>131</v>
      </c>
      <c r="O207" s="136" t="s">
        <v>549</v>
      </c>
      <c r="P207" s="136" t="s">
        <v>85</v>
      </c>
    </row>
    <row r="208" spans="1:16" x14ac:dyDescent="0.25">
      <c r="A208" s="139" t="s">
        <v>1103</v>
      </c>
      <c r="B208" s="139" t="s">
        <v>261</v>
      </c>
      <c r="C208" s="140" t="s">
        <v>262</v>
      </c>
      <c r="D208" s="140" t="s">
        <v>573</v>
      </c>
      <c r="E208" s="140" t="s">
        <v>73</v>
      </c>
      <c r="F208" s="139" t="s">
        <v>992</v>
      </c>
      <c r="G208" s="139" t="s">
        <v>971</v>
      </c>
      <c r="H208" s="141">
        <v>350</v>
      </c>
      <c r="I208" s="142" t="s">
        <v>998</v>
      </c>
      <c r="J208" s="139">
        <v>5511</v>
      </c>
      <c r="K208" s="140" t="s">
        <v>106</v>
      </c>
      <c r="L208" s="139">
        <v>55</v>
      </c>
      <c r="M208" s="139" t="s">
        <v>2219</v>
      </c>
      <c r="N208" s="140" t="s">
        <v>131</v>
      </c>
      <c r="O208" s="140" t="s">
        <v>549</v>
      </c>
      <c r="P208" s="140" t="s">
        <v>85</v>
      </c>
    </row>
    <row r="209" spans="1:16" x14ac:dyDescent="0.25">
      <c r="A209" s="10" t="s">
        <v>1103</v>
      </c>
      <c r="B209" s="10" t="s">
        <v>261</v>
      </c>
      <c r="C209" s="136" t="s">
        <v>262</v>
      </c>
      <c r="D209" s="136" t="s">
        <v>573</v>
      </c>
      <c r="E209" s="136" t="s">
        <v>73</v>
      </c>
      <c r="F209" s="10" t="s">
        <v>992</v>
      </c>
      <c r="G209" s="10" t="s">
        <v>999</v>
      </c>
      <c r="H209" s="137">
        <v>3600</v>
      </c>
      <c r="I209" s="138"/>
      <c r="J209" s="10">
        <v>5511</v>
      </c>
      <c r="K209" s="136" t="s">
        <v>106</v>
      </c>
      <c r="L209" s="10">
        <v>55</v>
      </c>
      <c r="M209" s="10" t="s">
        <v>2219</v>
      </c>
      <c r="N209" s="136" t="s">
        <v>131</v>
      </c>
      <c r="O209" s="136" t="s">
        <v>549</v>
      </c>
      <c r="P209" s="136" t="s">
        <v>85</v>
      </c>
    </row>
    <row r="210" spans="1:16" x14ac:dyDescent="0.25">
      <c r="A210" s="139" t="s">
        <v>1103</v>
      </c>
      <c r="B210" s="139" t="s">
        <v>261</v>
      </c>
      <c r="C210" s="140" t="s">
        <v>262</v>
      </c>
      <c r="D210" s="140" t="s">
        <v>573</v>
      </c>
      <c r="E210" s="140" t="s">
        <v>73</v>
      </c>
      <c r="F210" s="139" t="s">
        <v>992</v>
      </c>
      <c r="G210" s="139" t="s">
        <v>963</v>
      </c>
      <c r="H210" s="141">
        <v>3000</v>
      </c>
      <c r="I210" s="142"/>
      <c r="J210" s="139">
        <v>5511</v>
      </c>
      <c r="K210" s="140" t="s">
        <v>106</v>
      </c>
      <c r="L210" s="139">
        <v>55</v>
      </c>
      <c r="M210" s="139" t="s">
        <v>2219</v>
      </c>
      <c r="N210" s="140" t="s">
        <v>131</v>
      </c>
      <c r="O210" s="140" t="s">
        <v>549</v>
      </c>
      <c r="P210" s="140" t="s">
        <v>85</v>
      </c>
    </row>
    <row r="211" spans="1:16" x14ac:dyDescent="0.25">
      <c r="A211" s="10" t="s">
        <v>1103</v>
      </c>
      <c r="B211" s="10" t="s">
        <v>261</v>
      </c>
      <c r="C211" s="136" t="s">
        <v>262</v>
      </c>
      <c r="D211" s="136" t="s">
        <v>573</v>
      </c>
      <c r="E211" s="136" t="s">
        <v>73</v>
      </c>
      <c r="F211" s="10" t="s">
        <v>992</v>
      </c>
      <c r="G211" s="10" t="s">
        <v>943</v>
      </c>
      <c r="H211" s="137">
        <v>18000</v>
      </c>
      <c r="I211" s="138"/>
      <c r="J211" s="10">
        <v>5511</v>
      </c>
      <c r="K211" s="136" t="s">
        <v>106</v>
      </c>
      <c r="L211" s="10">
        <v>55</v>
      </c>
      <c r="M211" s="10" t="s">
        <v>2219</v>
      </c>
      <c r="N211" s="136" t="s">
        <v>131</v>
      </c>
      <c r="O211" s="136" t="s">
        <v>549</v>
      </c>
      <c r="P211" s="136" t="s">
        <v>85</v>
      </c>
    </row>
    <row r="212" spans="1:16" x14ac:dyDescent="0.25">
      <c r="A212" s="139" t="s">
        <v>1103</v>
      </c>
      <c r="B212" s="139" t="s">
        <v>261</v>
      </c>
      <c r="C212" s="140" t="s">
        <v>262</v>
      </c>
      <c r="D212" s="140" t="s">
        <v>573</v>
      </c>
      <c r="E212" s="140" t="s">
        <v>73</v>
      </c>
      <c r="F212" s="139" t="s">
        <v>992</v>
      </c>
      <c r="G212" s="139" t="s">
        <v>1000</v>
      </c>
      <c r="H212" s="141">
        <v>1000</v>
      </c>
      <c r="I212" s="142" t="s">
        <v>1001</v>
      </c>
      <c r="J212" s="139">
        <v>5511</v>
      </c>
      <c r="K212" s="140" t="s">
        <v>106</v>
      </c>
      <c r="L212" s="139">
        <v>55</v>
      </c>
      <c r="M212" s="139" t="s">
        <v>2219</v>
      </c>
      <c r="N212" s="140" t="s">
        <v>131</v>
      </c>
      <c r="O212" s="140" t="s">
        <v>549</v>
      </c>
      <c r="P212" s="140" t="s">
        <v>85</v>
      </c>
    </row>
    <row r="213" spans="1:16" x14ac:dyDescent="0.25">
      <c r="A213" s="10" t="s">
        <v>1103</v>
      </c>
      <c r="B213" s="10" t="s">
        <v>261</v>
      </c>
      <c r="C213" s="136" t="s">
        <v>262</v>
      </c>
      <c r="D213" s="136" t="s">
        <v>573</v>
      </c>
      <c r="E213" s="136" t="s">
        <v>73</v>
      </c>
      <c r="F213" s="10" t="s">
        <v>992</v>
      </c>
      <c r="G213" s="10" t="s">
        <v>1002</v>
      </c>
      <c r="H213" s="137">
        <v>84</v>
      </c>
      <c r="I213" s="138"/>
      <c r="J213" s="10">
        <v>5511</v>
      </c>
      <c r="K213" s="136" t="s">
        <v>106</v>
      </c>
      <c r="L213" s="10">
        <v>55</v>
      </c>
      <c r="M213" s="10" t="s">
        <v>2219</v>
      </c>
      <c r="N213" s="136" t="s">
        <v>131</v>
      </c>
      <c r="O213" s="136" t="s">
        <v>549</v>
      </c>
      <c r="P213" s="136" t="s">
        <v>85</v>
      </c>
    </row>
    <row r="214" spans="1:16" x14ac:dyDescent="0.25">
      <c r="A214" s="139" t="s">
        <v>1103</v>
      </c>
      <c r="B214" s="139" t="s">
        <v>261</v>
      </c>
      <c r="C214" s="140" t="s">
        <v>262</v>
      </c>
      <c r="D214" s="140" t="s">
        <v>573</v>
      </c>
      <c r="E214" s="140" t="s">
        <v>73</v>
      </c>
      <c r="F214" s="139" t="s">
        <v>992</v>
      </c>
      <c r="G214" s="139" t="s">
        <v>1003</v>
      </c>
      <c r="H214" s="141">
        <v>1500</v>
      </c>
      <c r="I214" s="142" t="s">
        <v>1004</v>
      </c>
      <c r="J214" s="139">
        <v>5511</v>
      </c>
      <c r="K214" s="140" t="s">
        <v>106</v>
      </c>
      <c r="L214" s="139">
        <v>55</v>
      </c>
      <c r="M214" s="139" t="s">
        <v>2219</v>
      </c>
      <c r="N214" s="140" t="s">
        <v>131</v>
      </c>
      <c r="O214" s="140" t="s">
        <v>549</v>
      </c>
      <c r="P214" s="140" t="s">
        <v>85</v>
      </c>
    </row>
    <row r="215" spans="1:16" x14ac:dyDescent="0.25">
      <c r="A215" s="10" t="s">
        <v>1103</v>
      </c>
      <c r="B215" s="10" t="s">
        <v>261</v>
      </c>
      <c r="C215" s="136" t="s">
        <v>262</v>
      </c>
      <c r="D215" s="136" t="s">
        <v>573</v>
      </c>
      <c r="E215" s="136" t="s">
        <v>73</v>
      </c>
      <c r="F215" s="10" t="s">
        <v>992</v>
      </c>
      <c r="G215" s="10" t="s">
        <v>1005</v>
      </c>
      <c r="H215" s="137">
        <v>314.32</v>
      </c>
      <c r="I215" s="138" t="s">
        <v>1006</v>
      </c>
      <c r="J215" s="10">
        <v>5511</v>
      </c>
      <c r="K215" s="136" t="s">
        <v>106</v>
      </c>
      <c r="L215" s="10">
        <v>55</v>
      </c>
      <c r="M215" s="10" t="s">
        <v>2219</v>
      </c>
      <c r="N215" s="136" t="s">
        <v>131</v>
      </c>
      <c r="O215" s="136" t="s">
        <v>549</v>
      </c>
      <c r="P215" s="136" t="s">
        <v>85</v>
      </c>
    </row>
    <row r="216" spans="1:16" x14ac:dyDescent="0.25">
      <c r="A216" s="139" t="s">
        <v>1103</v>
      </c>
      <c r="B216" s="139" t="s">
        <v>261</v>
      </c>
      <c r="C216" s="140" t="s">
        <v>262</v>
      </c>
      <c r="D216" s="140" t="s">
        <v>573</v>
      </c>
      <c r="E216" s="140" t="s">
        <v>73</v>
      </c>
      <c r="F216" s="139" t="s">
        <v>992</v>
      </c>
      <c r="G216" s="139" t="s">
        <v>1007</v>
      </c>
      <c r="H216" s="141">
        <v>14.399999999999999</v>
      </c>
      <c r="I216" s="142" t="s">
        <v>997</v>
      </c>
      <c r="J216" s="139">
        <v>5511</v>
      </c>
      <c r="K216" s="140" t="s">
        <v>106</v>
      </c>
      <c r="L216" s="139">
        <v>55</v>
      </c>
      <c r="M216" s="139" t="s">
        <v>2219</v>
      </c>
      <c r="N216" s="140" t="s">
        <v>131</v>
      </c>
      <c r="O216" s="140" t="s">
        <v>549</v>
      </c>
      <c r="P216" s="140" t="s">
        <v>85</v>
      </c>
    </row>
    <row r="217" spans="1:16" x14ac:dyDescent="0.25">
      <c r="A217" s="10" t="s">
        <v>1103</v>
      </c>
      <c r="B217" s="10" t="s">
        <v>261</v>
      </c>
      <c r="C217" s="136" t="s">
        <v>262</v>
      </c>
      <c r="D217" s="136" t="s">
        <v>573</v>
      </c>
      <c r="E217" s="136" t="s">
        <v>73</v>
      </c>
      <c r="F217" s="10" t="s">
        <v>992</v>
      </c>
      <c r="G217" s="10" t="s">
        <v>1008</v>
      </c>
      <c r="H217" s="137">
        <v>384</v>
      </c>
      <c r="I217" s="138" t="s">
        <v>997</v>
      </c>
      <c r="J217" s="10">
        <v>5511</v>
      </c>
      <c r="K217" s="136" t="s">
        <v>106</v>
      </c>
      <c r="L217" s="10">
        <v>55</v>
      </c>
      <c r="M217" s="10" t="s">
        <v>2219</v>
      </c>
      <c r="N217" s="136" t="s">
        <v>131</v>
      </c>
      <c r="O217" s="136" t="s">
        <v>549</v>
      </c>
      <c r="P217" s="136" t="s">
        <v>85</v>
      </c>
    </row>
    <row r="218" spans="1:16" x14ac:dyDescent="0.25">
      <c r="A218" s="139" t="s">
        <v>1103</v>
      </c>
      <c r="B218" s="139" t="s">
        <v>261</v>
      </c>
      <c r="C218" s="140" t="s">
        <v>262</v>
      </c>
      <c r="D218" s="140" t="s">
        <v>573</v>
      </c>
      <c r="E218" s="140" t="s">
        <v>73</v>
      </c>
      <c r="F218" s="139" t="s">
        <v>992</v>
      </c>
      <c r="G218" s="139" t="s">
        <v>1009</v>
      </c>
      <c r="H218" s="141">
        <v>1500</v>
      </c>
      <c r="I218" s="142"/>
      <c r="J218" s="139">
        <v>5511</v>
      </c>
      <c r="K218" s="140" t="s">
        <v>106</v>
      </c>
      <c r="L218" s="139">
        <v>55</v>
      </c>
      <c r="M218" s="139" t="s">
        <v>2219</v>
      </c>
      <c r="N218" s="140" t="s">
        <v>131</v>
      </c>
      <c r="O218" s="140" t="s">
        <v>549</v>
      </c>
      <c r="P218" s="140" t="s">
        <v>85</v>
      </c>
    </row>
    <row r="219" spans="1:16" x14ac:dyDescent="0.25">
      <c r="A219" s="10" t="s">
        <v>1103</v>
      </c>
      <c r="B219" s="10" t="s">
        <v>261</v>
      </c>
      <c r="C219" s="136" t="s">
        <v>262</v>
      </c>
      <c r="D219" s="136" t="s">
        <v>573</v>
      </c>
      <c r="E219" s="136" t="s">
        <v>73</v>
      </c>
      <c r="F219" s="10" t="s">
        <v>992</v>
      </c>
      <c r="G219" s="10" t="s">
        <v>977</v>
      </c>
      <c r="H219" s="137">
        <v>3200</v>
      </c>
      <c r="I219" s="138" t="s">
        <v>1010</v>
      </c>
      <c r="J219" s="10">
        <v>5511</v>
      </c>
      <c r="K219" s="136" t="s">
        <v>106</v>
      </c>
      <c r="L219" s="10">
        <v>55</v>
      </c>
      <c r="M219" s="10" t="s">
        <v>2219</v>
      </c>
      <c r="N219" s="136" t="s">
        <v>131</v>
      </c>
      <c r="O219" s="136" t="s">
        <v>549</v>
      </c>
      <c r="P219" s="136" t="s">
        <v>85</v>
      </c>
    </row>
    <row r="220" spans="1:16" x14ac:dyDescent="0.25">
      <c r="A220" s="139" t="s">
        <v>1103</v>
      </c>
      <c r="B220" s="139" t="s">
        <v>261</v>
      </c>
      <c r="C220" s="140" t="s">
        <v>262</v>
      </c>
      <c r="D220" s="140" t="s">
        <v>573</v>
      </c>
      <c r="E220" s="140" t="s">
        <v>73</v>
      </c>
      <c r="F220" s="139" t="s">
        <v>992</v>
      </c>
      <c r="G220" s="139" t="s">
        <v>974</v>
      </c>
      <c r="H220" s="141">
        <v>300</v>
      </c>
      <c r="I220" s="142"/>
      <c r="J220" s="139">
        <v>5511</v>
      </c>
      <c r="K220" s="140" t="s">
        <v>106</v>
      </c>
      <c r="L220" s="139">
        <v>55</v>
      </c>
      <c r="M220" s="139" t="s">
        <v>2219</v>
      </c>
      <c r="N220" s="140" t="s">
        <v>131</v>
      </c>
      <c r="O220" s="140" t="s">
        <v>549</v>
      </c>
      <c r="P220" s="140" t="s">
        <v>85</v>
      </c>
    </row>
    <row r="221" spans="1:16" x14ac:dyDescent="0.25">
      <c r="A221" s="10" t="s">
        <v>1103</v>
      </c>
      <c r="B221" s="10" t="s">
        <v>261</v>
      </c>
      <c r="C221" s="136" t="s">
        <v>262</v>
      </c>
      <c r="D221" s="136" t="s">
        <v>573</v>
      </c>
      <c r="E221" s="136" t="s">
        <v>73</v>
      </c>
      <c r="F221" s="10" t="s">
        <v>992</v>
      </c>
      <c r="G221" s="10" t="s">
        <v>1932</v>
      </c>
      <c r="H221" s="137">
        <v>6000</v>
      </c>
      <c r="I221" s="138"/>
      <c r="J221" s="10">
        <v>5511</v>
      </c>
      <c r="K221" s="136" t="s">
        <v>106</v>
      </c>
      <c r="L221" s="10">
        <v>55</v>
      </c>
      <c r="M221" s="10" t="s">
        <v>2219</v>
      </c>
      <c r="N221" s="136" t="s">
        <v>131</v>
      </c>
      <c r="O221" s="136" t="s">
        <v>549</v>
      </c>
      <c r="P221" s="136" t="s">
        <v>85</v>
      </c>
    </row>
    <row r="222" spans="1:16" x14ac:dyDescent="0.25">
      <c r="A222" s="139" t="s">
        <v>1103</v>
      </c>
      <c r="B222" s="139" t="s">
        <v>261</v>
      </c>
      <c r="C222" s="140" t="s">
        <v>262</v>
      </c>
      <c r="D222" s="140" t="s">
        <v>573</v>
      </c>
      <c r="E222" s="140" t="s">
        <v>73</v>
      </c>
      <c r="F222" s="139" t="s">
        <v>992</v>
      </c>
      <c r="G222" s="139" t="s">
        <v>993</v>
      </c>
      <c r="H222" s="141">
        <v>300</v>
      </c>
      <c r="I222" s="142"/>
      <c r="J222" s="139">
        <v>5500</v>
      </c>
      <c r="K222" s="140" t="s">
        <v>100</v>
      </c>
      <c r="L222" s="139">
        <v>55</v>
      </c>
      <c r="M222" s="139" t="s">
        <v>2219</v>
      </c>
      <c r="N222" s="140" t="s">
        <v>131</v>
      </c>
      <c r="O222" s="140" t="s">
        <v>549</v>
      </c>
      <c r="P222" s="140" t="s">
        <v>85</v>
      </c>
    </row>
    <row r="223" spans="1:16" x14ac:dyDescent="0.25">
      <c r="A223" s="10" t="s">
        <v>1103</v>
      </c>
      <c r="B223" s="10" t="s">
        <v>261</v>
      </c>
      <c r="C223" s="136" t="s">
        <v>262</v>
      </c>
      <c r="D223" s="136" t="s">
        <v>573</v>
      </c>
      <c r="E223" s="136" t="s">
        <v>73</v>
      </c>
      <c r="F223" s="10" t="s">
        <v>992</v>
      </c>
      <c r="G223" s="10" t="s">
        <v>442</v>
      </c>
      <c r="H223" s="137">
        <v>3600</v>
      </c>
      <c r="I223" s="138" t="s">
        <v>1011</v>
      </c>
      <c r="J223" s="10">
        <v>5513</v>
      </c>
      <c r="K223" s="136" t="s">
        <v>111</v>
      </c>
      <c r="L223" s="10">
        <v>55</v>
      </c>
      <c r="M223" s="10" t="s">
        <v>2219</v>
      </c>
      <c r="N223" s="136" t="s">
        <v>131</v>
      </c>
      <c r="O223" s="136" t="s">
        <v>549</v>
      </c>
      <c r="P223" s="136" t="s">
        <v>85</v>
      </c>
    </row>
    <row r="224" spans="1:16" x14ac:dyDescent="0.25">
      <c r="A224" s="139" t="s">
        <v>1103</v>
      </c>
      <c r="B224" s="139" t="s">
        <v>261</v>
      </c>
      <c r="C224" s="140" t="s">
        <v>262</v>
      </c>
      <c r="D224" s="140" t="s">
        <v>573</v>
      </c>
      <c r="E224" s="140" t="s">
        <v>73</v>
      </c>
      <c r="F224" s="139" t="s">
        <v>992</v>
      </c>
      <c r="G224" s="139" t="s">
        <v>1012</v>
      </c>
      <c r="H224" s="141">
        <v>30</v>
      </c>
      <c r="I224" s="142"/>
      <c r="J224" s="139">
        <v>5513</v>
      </c>
      <c r="K224" s="140" t="s">
        <v>111</v>
      </c>
      <c r="L224" s="139">
        <v>55</v>
      </c>
      <c r="M224" s="139" t="s">
        <v>2219</v>
      </c>
      <c r="N224" s="140" t="s">
        <v>131</v>
      </c>
      <c r="O224" s="140" t="s">
        <v>549</v>
      </c>
      <c r="P224" s="140" t="s">
        <v>85</v>
      </c>
    </row>
    <row r="225" spans="1:16" x14ac:dyDescent="0.25">
      <c r="A225" s="10" t="s">
        <v>1103</v>
      </c>
      <c r="B225" s="10" t="s">
        <v>261</v>
      </c>
      <c r="C225" s="136" t="s">
        <v>262</v>
      </c>
      <c r="D225" s="136" t="s">
        <v>573</v>
      </c>
      <c r="E225" s="136" t="s">
        <v>73</v>
      </c>
      <c r="F225" s="10" t="s">
        <v>992</v>
      </c>
      <c r="G225" s="10" t="s">
        <v>1013</v>
      </c>
      <c r="H225" s="137">
        <v>250</v>
      </c>
      <c r="I225" s="138"/>
      <c r="J225" s="10">
        <v>5513</v>
      </c>
      <c r="K225" s="136" t="s">
        <v>111</v>
      </c>
      <c r="L225" s="10">
        <v>55</v>
      </c>
      <c r="M225" s="10" t="s">
        <v>2219</v>
      </c>
      <c r="N225" s="136" t="s">
        <v>131</v>
      </c>
      <c r="O225" s="136" t="s">
        <v>549</v>
      </c>
      <c r="P225" s="136" t="s">
        <v>85</v>
      </c>
    </row>
    <row r="226" spans="1:16" x14ac:dyDescent="0.25">
      <c r="A226" s="139" t="s">
        <v>1103</v>
      </c>
      <c r="B226" s="139" t="s">
        <v>261</v>
      </c>
      <c r="C226" s="140" t="s">
        <v>262</v>
      </c>
      <c r="D226" s="140" t="s">
        <v>573</v>
      </c>
      <c r="E226" s="140" t="s">
        <v>73</v>
      </c>
      <c r="F226" s="139" t="s">
        <v>992</v>
      </c>
      <c r="G226" s="139" t="s">
        <v>1014</v>
      </c>
      <c r="H226" s="141">
        <v>160</v>
      </c>
      <c r="I226" s="142"/>
      <c r="J226" s="139">
        <v>5513</v>
      </c>
      <c r="K226" s="140" t="s">
        <v>111</v>
      </c>
      <c r="L226" s="139">
        <v>55</v>
      </c>
      <c r="M226" s="139" t="s">
        <v>2219</v>
      </c>
      <c r="N226" s="140" t="s">
        <v>131</v>
      </c>
      <c r="O226" s="140" t="s">
        <v>549</v>
      </c>
      <c r="P226" s="140" t="s">
        <v>85</v>
      </c>
    </row>
    <row r="227" spans="1:16" x14ac:dyDescent="0.25">
      <c r="A227" s="10" t="s">
        <v>1103</v>
      </c>
      <c r="B227" s="10" t="s">
        <v>261</v>
      </c>
      <c r="C227" s="136" t="s">
        <v>262</v>
      </c>
      <c r="D227" s="136" t="s">
        <v>573</v>
      </c>
      <c r="E227" s="136" t="s">
        <v>73</v>
      </c>
      <c r="F227" s="10" t="s">
        <v>992</v>
      </c>
      <c r="G227" s="10" t="s">
        <v>1015</v>
      </c>
      <c r="H227" s="137">
        <v>3600</v>
      </c>
      <c r="I227" s="138"/>
      <c r="J227" s="10">
        <v>5513</v>
      </c>
      <c r="K227" s="136" t="s">
        <v>111</v>
      </c>
      <c r="L227" s="10">
        <v>55</v>
      </c>
      <c r="M227" s="10" t="s">
        <v>2219</v>
      </c>
      <c r="N227" s="136" t="s">
        <v>131</v>
      </c>
      <c r="O227" s="136" t="s">
        <v>549</v>
      </c>
      <c r="P227" s="136" t="s">
        <v>85</v>
      </c>
    </row>
    <row r="228" spans="1:16" x14ac:dyDescent="0.25">
      <c r="A228" s="139" t="s">
        <v>1103</v>
      </c>
      <c r="B228" s="139" t="s">
        <v>261</v>
      </c>
      <c r="C228" s="140" t="s">
        <v>262</v>
      </c>
      <c r="D228" s="140" t="s">
        <v>573</v>
      </c>
      <c r="E228" s="140" t="s">
        <v>73</v>
      </c>
      <c r="F228" s="139" t="s">
        <v>992</v>
      </c>
      <c r="G228" s="139" t="s">
        <v>1016</v>
      </c>
      <c r="H228" s="141">
        <v>70</v>
      </c>
      <c r="I228" s="142"/>
      <c r="J228" s="139">
        <v>5513</v>
      </c>
      <c r="K228" s="140" t="s">
        <v>111</v>
      </c>
      <c r="L228" s="139">
        <v>55</v>
      </c>
      <c r="M228" s="139" t="s">
        <v>2219</v>
      </c>
      <c r="N228" s="140" t="s">
        <v>131</v>
      </c>
      <c r="O228" s="140" t="s">
        <v>549</v>
      </c>
      <c r="P228" s="140" t="s">
        <v>85</v>
      </c>
    </row>
    <row r="229" spans="1:16" x14ac:dyDescent="0.25">
      <c r="A229" s="10" t="s">
        <v>1103</v>
      </c>
      <c r="B229" s="10" t="s">
        <v>261</v>
      </c>
      <c r="C229" s="136" t="s">
        <v>262</v>
      </c>
      <c r="D229" s="136" t="s">
        <v>573</v>
      </c>
      <c r="E229" s="136" t="s">
        <v>73</v>
      </c>
      <c r="F229" s="10" t="s">
        <v>992</v>
      </c>
      <c r="G229" s="10" t="s">
        <v>1017</v>
      </c>
      <c r="H229" s="137">
        <v>400</v>
      </c>
      <c r="I229" s="138"/>
      <c r="J229" s="10">
        <v>5513</v>
      </c>
      <c r="K229" s="136" t="s">
        <v>111</v>
      </c>
      <c r="L229" s="10">
        <v>55</v>
      </c>
      <c r="M229" s="10" t="s">
        <v>2219</v>
      </c>
      <c r="N229" s="136" t="s">
        <v>131</v>
      </c>
      <c r="O229" s="136" t="s">
        <v>549</v>
      </c>
      <c r="P229" s="136" t="s">
        <v>85</v>
      </c>
    </row>
    <row r="230" spans="1:16" x14ac:dyDescent="0.25">
      <c r="A230" s="139" t="s">
        <v>1103</v>
      </c>
      <c r="B230" s="139" t="s">
        <v>261</v>
      </c>
      <c r="C230" s="140" t="s">
        <v>262</v>
      </c>
      <c r="D230" s="140" t="s">
        <v>573</v>
      </c>
      <c r="E230" s="140" t="s">
        <v>73</v>
      </c>
      <c r="F230" s="139" t="s">
        <v>992</v>
      </c>
      <c r="G230" s="139" t="s">
        <v>1018</v>
      </c>
      <c r="H230" s="141">
        <v>800</v>
      </c>
      <c r="I230" s="142"/>
      <c r="J230" s="139">
        <v>5513</v>
      </c>
      <c r="K230" s="140" t="s">
        <v>111</v>
      </c>
      <c r="L230" s="139">
        <v>55</v>
      </c>
      <c r="M230" s="139" t="s">
        <v>2219</v>
      </c>
      <c r="N230" s="140" t="s">
        <v>131</v>
      </c>
      <c r="O230" s="140" t="s">
        <v>549</v>
      </c>
      <c r="P230" s="140" t="s">
        <v>85</v>
      </c>
    </row>
    <row r="231" spans="1:16" x14ac:dyDescent="0.25">
      <c r="A231" s="10" t="s">
        <v>1103</v>
      </c>
      <c r="B231" s="10" t="s">
        <v>261</v>
      </c>
      <c r="C231" s="136" t="s">
        <v>262</v>
      </c>
      <c r="D231" s="136" t="s">
        <v>573</v>
      </c>
      <c r="E231" s="136" t="s">
        <v>73</v>
      </c>
      <c r="F231" s="10" t="s">
        <v>992</v>
      </c>
      <c r="G231" s="10" t="s">
        <v>1019</v>
      </c>
      <c r="H231" s="137">
        <v>400</v>
      </c>
      <c r="I231" s="138"/>
      <c r="J231" s="10">
        <v>5540</v>
      </c>
      <c r="K231" s="136" t="s">
        <v>121</v>
      </c>
      <c r="L231" s="10">
        <v>55</v>
      </c>
      <c r="M231" s="10" t="s">
        <v>2219</v>
      </c>
      <c r="N231" s="136" t="s">
        <v>131</v>
      </c>
      <c r="O231" s="136" t="s">
        <v>549</v>
      </c>
      <c r="P231" s="136" t="s">
        <v>85</v>
      </c>
    </row>
    <row r="232" spans="1:16" x14ac:dyDescent="0.25">
      <c r="A232" s="147" t="s">
        <v>1103</v>
      </c>
      <c r="B232" s="147" t="s">
        <v>261</v>
      </c>
      <c r="C232" s="148" t="s">
        <v>262</v>
      </c>
      <c r="D232" s="148" t="s">
        <v>573</v>
      </c>
      <c r="E232" s="148" t="s">
        <v>73</v>
      </c>
      <c r="F232" s="147" t="s">
        <v>992</v>
      </c>
      <c r="G232" s="147" t="s">
        <v>1020</v>
      </c>
      <c r="H232" s="149">
        <v>7000</v>
      </c>
      <c r="I232" s="150" t="s">
        <v>994</v>
      </c>
      <c r="J232" s="147">
        <v>5511</v>
      </c>
      <c r="K232" s="148" t="s">
        <v>106</v>
      </c>
      <c r="L232" s="147">
        <v>55</v>
      </c>
      <c r="M232" s="147" t="s">
        <v>2219</v>
      </c>
      <c r="N232" s="148" t="s">
        <v>131</v>
      </c>
      <c r="O232" s="148" t="s">
        <v>549</v>
      </c>
      <c r="P232" s="148" t="s">
        <v>85</v>
      </c>
    </row>
    <row r="233" spans="1:16" x14ac:dyDescent="0.25">
      <c r="A233" s="10" t="s">
        <v>1103</v>
      </c>
      <c r="B233" s="10" t="s">
        <v>263</v>
      </c>
      <c r="C233" s="136" t="s">
        <v>264</v>
      </c>
      <c r="D233" s="136" t="s">
        <v>573</v>
      </c>
      <c r="E233" s="136" t="s">
        <v>73</v>
      </c>
      <c r="F233" s="10" t="s">
        <v>1919</v>
      </c>
      <c r="G233" s="10" t="s">
        <v>1920</v>
      </c>
      <c r="H233" s="137">
        <v>21000</v>
      </c>
      <c r="I233" s="138"/>
      <c r="J233" s="10">
        <v>5511</v>
      </c>
      <c r="K233" s="136" t="s">
        <v>106</v>
      </c>
      <c r="L233" s="10">
        <v>55</v>
      </c>
      <c r="M233" s="10" t="s">
        <v>2219</v>
      </c>
      <c r="N233" s="136" t="s">
        <v>131</v>
      </c>
      <c r="O233" s="136" t="s">
        <v>549</v>
      </c>
      <c r="P233" s="136" t="s">
        <v>85</v>
      </c>
    </row>
    <row r="234" spans="1:16" x14ac:dyDescent="0.25">
      <c r="A234" s="139" t="s">
        <v>1103</v>
      </c>
      <c r="B234" s="139" t="s">
        <v>263</v>
      </c>
      <c r="C234" s="140" t="s">
        <v>264</v>
      </c>
      <c r="D234" s="140" t="s">
        <v>573</v>
      </c>
      <c r="E234" s="140" t="s">
        <v>73</v>
      </c>
      <c r="F234" s="139" t="s">
        <v>1919</v>
      </c>
      <c r="G234" s="139" t="s">
        <v>1921</v>
      </c>
      <c r="H234" s="141">
        <v>192</v>
      </c>
      <c r="I234" s="142" t="s">
        <v>1216</v>
      </c>
      <c r="J234" s="139">
        <v>5511</v>
      </c>
      <c r="K234" s="140" t="s">
        <v>106</v>
      </c>
      <c r="L234" s="139">
        <v>55</v>
      </c>
      <c r="M234" s="139" t="s">
        <v>2219</v>
      </c>
      <c r="N234" s="140" t="s">
        <v>131</v>
      </c>
      <c r="O234" s="140" t="s">
        <v>549</v>
      </c>
      <c r="P234" s="140" t="s">
        <v>85</v>
      </c>
    </row>
    <row r="235" spans="1:16" x14ac:dyDescent="0.25">
      <c r="A235" s="10" t="s">
        <v>1103</v>
      </c>
      <c r="B235" s="10" t="s">
        <v>263</v>
      </c>
      <c r="C235" s="136" t="s">
        <v>264</v>
      </c>
      <c r="D235" s="136" t="s">
        <v>573</v>
      </c>
      <c r="E235" s="136" t="s">
        <v>73</v>
      </c>
      <c r="F235" s="10" t="s">
        <v>1919</v>
      </c>
      <c r="G235" s="10" t="s">
        <v>1924</v>
      </c>
      <c r="H235" s="137">
        <v>1600</v>
      </c>
      <c r="I235" s="138" t="s">
        <v>1925</v>
      </c>
      <c r="J235" s="10">
        <v>5511</v>
      </c>
      <c r="K235" s="136" t="s">
        <v>106</v>
      </c>
      <c r="L235" s="10">
        <v>55</v>
      </c>
      <c r="M235" s="10" t="s">
        <v>2219</v>
      </c>
      <c r="N235" s="136" t="s">
        <v>131</v>
      </c>
      <c r="O235" s="136" t="s">
        <v>549</v>
      </c>
      <c r="P235" s="136" t="s">
        <v>85</v>
      </c>
    </row>
    <row r="236" spans="1:16" x14ac:dyDescent="0.25">
      <c r="A236" s="139" t="s">
        <v>1103</v>
      </c>
      <c r="B236" s="139" t="s">
        <v>263</v>
      </c>
      <c r="C236" s="140" t="s">
        <v>264</v>
      </c>
      <c r="D236" s="140" t="s">
        <v>573</v>
      </c>
      <c r="E236" s="140" t="s">
        <v>73</v>
      </c>
      <c r="F236" s="139" t="s">
        <v>1919</v>
      </c>
      <c r="G236" s="139" t="s">
        <v>1926</v>
      </c>
      <c r="H236" s="141">
        <v>97.199999999999989</v>
      </c>
      <c r="I236" s="142"/>
      <c r="J236" s="139">
        <v>5511</v>
      </c>
      <c r="K236" s="140" t="s">
        <v>106</v>
      </c>
      <c r="L236" s="139">
        <v>55</v>
      </c>
      <c r="M236" s="139" t="s">
        <v>2219</v>
      </c>
      <c r="N236" s="140" t="s">
        <v>131</v>
      </c>
      <c r="O236" s="140" t="s">
        <v>549</v>
      </c>
      <c r="P236" s="140" t="s">
        <v>85</v>
      </c>
    </row>
    <row r="237" spans="1:16" x14ac:dyDescent="0.25">
      <c r="A237" s="10" t="s">
        <v>1103</v>
      </c>
      <c r="B237" s="10" t="s">
        <v>263</v>
      </c>
      <c r="C237" s="136" t="s">
        <v>264</v>
      </c>
      <c r="D237" s="136" t="s">
        <v>573</v>
      </c>
      <c r="E237" s="136" t="s">
        <v>73</v>
      </c>
      <c r="F237" s="10" t="s">
        <v>1919</v>
      </c>
      <c r="G237" s="10" t="s">
        <v>1927</v>
      </c>
      <c r="H237" s="137">
        <v>2200</v>
      </c>
      <c r="I237" s="138" t="s">
        <v>1928</v>
      </c>
      <c r="J237" s="10">
        <v>5511</v>
      </c>
      <c r="K237" s="136" t="s">
        <v>106</v>
      </c>
      <c r="L237" s="10">
        <v>55</v>
      </c>
      <c r="M237" s="10" t="s">
        <v>2219</v>
      </c>
      <c r="N237" s="136" t="s">
        <v>131</v>
      </c>
      <c r="O237" s="136" t="s">
        <v>549</v>
      </c>
      <c r="P237" s="136" t="s">
        <v>85</v>
      </c>
    </row>
    <row r="238" spans="1:16" x14ac:dyDescent="0.25">
      <c r="A238" s="139" t="s">
        <v>1103</v>
      </c>
      <c r="B238" s="139" t="s">
        <v>263</v>
      </c>
      <c r="C238" s="140" t="s">
        <v>264</v>
      </c>
      <c r="D238" s="140" t="s">
        <v>573</v>
      </c>
      <c r="E238" s="140" t="s">
        <v>73</v>
      </c>
      <c r="F238" s="139" t="s">
        <v>1919</v>
      </c>
      <c r="G238" s="139" t="s">
        <v>1929</v>
      </c>
      <c r="H238" s="141">
        <v>9000</v>
      </c>
      <c r="I238" s="142"/>
      <c r="J238" s="139">
        <v>5511</v>
      </c>
      <c r="K238" s="140" t="s">
        <v>106</v>
      </c>
      <c r="L238" s="139">
        <v>55</v>
      </c>
      <c r="M238" s="139" t="s">
        <v>2219</v>
      </c>
      <c r="N238" s="140" t="s">
        <v>131</v>
      </c>
      <c r="O238" s="140" t="s">
        <v>549</v>
      </c>
      <c r="P238" s="140" t="s">
        <v>85</v>
      </c>
    </row>
    <row r="239" spans="1:16" x14ac:dyDescent="0.25">
      <c r="A239" s="10" t="s">
        <v>1103</v>
      </c>
      <c r="B239" s="10" t="s">
        <v>263</v>
      </c>
      <c r="C239" s="136" t="s">
        <v>264</v>
      </c>
      <c r="D239" s="136" t="s">
        <v>573</v>
      </c>
      <c r="E239" s="136" t="s">
        <v>73</v>
      </c>
      <c r="F239" s="10" t="s">
        <v>1919</v>
      </c>
      <c r="G239" s="10" t="s">
        <v>1930</v>
      </c>
      <c r="H239" s="137">
        <v>4500</v>
      </c>
      <c r="I239" s="138"/>
      <c r="J239" s="10">
        <v>5511</v>
      </c>
      <c r="K239" s="136" t="s">
        <v>106</v>
      </c>
      <c r="L239" s="10">
        <v>55</v>
      </c>
      <c r="M239" s="10" t="s">
        <v>2219</v>
      </c>
      <c r="N239" s="136" t="s">
        <v>131</v>
      </c>
      <c r="O239" s="136" t="s">
        <v>549</v>
      </c>
      <c r="P239" s="136" t="s">
        <v>85</v>
      </c>
    </row>
    <row r="240" spans="1:16" x14ac:dyDescent="0.25">
      <c r="A240" s="139" t="s">
        <v>1103</v>
      </c>
      <c r="B240" s="139" t="s">
        <v>263</v>
      </c>
      <c r="C240" s="140" t="s">
        <v>264</v>
      </c>
      <c r="D240" s="140" t="s">
        <v>573</v>
      </c>
      <c r="E240" s="140" t="s">
        <v>73</v>
      </c>
      <c r="F240" s="139" t="s">
        <v>1919</v>
      </c>
      <c r="G240" s="139" t="s">
        <v>1931</v>
      </c>
      <c r="H240" s="141">
        <v>20000</v>
      </c>
      <c r="I240" s="142"/>
      <c r="J240" s="139">
        <v>5511</v>
      </c>
      <c r="K240" s="140" t="s">
        <v>106</v>
      </c>
      <c r="L240" s="139">
        <v>55</v>
      </c>
      <c r="M240" s="139" t="s">
        <v>2219</v>
      </c>
      <c r="N240" s="140" t="s">
        <v>131</v>
      </c>
      <c r="O240" s="140" t="s">
        <v>549</v>
      </c>
      <c r="P240" s="140" t="s">
        <v>85</v>
      </c>
    </row>
    <row r="241" spans="1:16" x14ac:dyDescent="0.25">
      <c r="A241" s="10" t="s">
        <v>1103</v>
      </c>
      <c r="B241" s="10" t="s">
        <v>263</v>
      </c>
      <c r="C241" s="136" t="s">
        <v>264</v>
      </c>
      <c r="D241" s="136" t="s">
        <v>573</v>
      </c>
      <c r="E241" s="136" t="s">
        <v>73</v>
      </c>
      <c r="F241" s="10" t="s">
        <v>1919</v>
      </c>
      <c r="G241" s="10" t="s">
        <v>1932</v>
      </c>
      <c r="H241" s="137">
        <v>6000</v>
      </c>
      <c r="I241" s="138"/>
      <c r="J241" s="10">
        <v>5511</v>
      </c>
      <c r="K241" s="136" t="s">
        <v>106</v>
      </c>
      <c r="L241" s="10">
        <v>55</v>
      </c>
      <c r="M241" s="10" t="s">
        <v>2219</v>
      </c>
      <c r="N241" s="136" t="s">
        <v>131</v>
      </c>
      <c r="O241" s="136" t="s">
        <v>549</v>
      </c>
      <c r="P241" s="136" t="s">
        <v>85</v>
      </c>
    </row>
    <row r="242" spans="1:16" x14ac:dyDescent="0.25">
      <c r="A242" s="139" t="s">
        <v>1103</v>
      </c>
      <c r="B242" s="139" t="s">
        <v>263</v>
      </c>
      <c r="C242" s="140" t="s">
        <v>264</v>
      </c>
      <c r="D242" s="140" t="s">
        <v>573</v>
      </c>
      <c r="E242" s="140" t="s">
        <v>73</v>
      </c>
      <c r="F242" s="139" t="s">
        <v>648</v>
      </c>
      <c r="G242" s="139" t="s">
        <v>1592</v>
      </c>
      <c r="H242" s="141">
        <v>2000</v>
      </c>
      <c r="I242" s="142"/>
      <c r="J242" s="139">
        <v>5512</v>
      </c>
      <c r="K242" s="140" t="s">
        <v>109</v>
      </c>
      <c r="L242" s="139">
        <v>55</v>
      </c>
      <c r="M242" s="139" t="s">
        <v>2219</v>
      </c>
      <c r="N242" s="140" t="s">
        <v>131</v>
      </c>
      <c r="O242" s="140" t="s">
        <v>549</v>
      </c>
      <c r="P242" s="140" t="s">
        <v>85</v>
      </c>
    </row>
    <row r="243" spans="1:16" x14ac:dyDescent="0.25">
      <c r="A243" s="10" t="s">
        <v>1103</v>
      </c>
      <c r="B243" s="10" t="s">
        <v>263</v>
      </c>
      <c r="C243" s="136" t="s">
        <v>264</v>
      </c>
      <c r="D243" s="136" t="s">
        <v>573</v>
      </c>
      <c r="E243" s="136" t="s">
        <v>73</v>
      </c>
      <c r="F243" s="10" t="s">
        <v>1919</v>
      </c>
      <c r="G243" s="10" t="s">
        <v>1918</v>
      </c>
      <c r="H243" s="137">
        <v>255.84</v>
      </c>
      <c r="I243" s="138"/>
      <c r="J243" s="10">
        <v>5500</v>
      </c>
      <c r="K243" s="136" t="s">
        <v>100</v>
      </c>
      <c r="L243" s="10">
        <v>55</v>
      </c>
      <c r="M243" s="10" t="s">
        <v>2219</v>
      </c>
      <c r="N243" s="136" t="s">
        <v>131</v>
      </c>
      <c r="O243" s="136" t="s">
        <v>549</v>
      </c>
      <c r="P243" s="136" t="s">
        <v>85</v>
      </c>
    </row>
    <row r="244" spans="1:16" x14ac:dyDescent="0.25">
      <c r="A244" s="139" t="s">
        <v>1103</v>
      </c>
      <c r="B244" s="139" t="s">
        <v>263</v>
      </c>
      <c r="C244" s="140" t="s">
        <v>264</v>
      </c>
      <c r="D244" s="140" t="s">
        <v>573</v>
      </c>
      <c r="E244" s="140" t="s">
        <v>73</v>
      </c>
      <c r="F244" s="139" t="s">
        <v>1919</v>
      </c>
      <c r="G244" s="139" t="s">
        <v>442</v>
      </c>
      <c r="H244" s="141">
        <v>650</v>
      </c>
      <c r="I244" s="142" t="s">
        <v>1933</v>
      </c>
      <c r="J244" s="139">
        <v>5513</v>
      </c>
      <c r="K244" s="140" t="s">
        <v>111</v>
      </c>
      <c r="L244" s="139">
        <v>55</v>
      </c>
      <c r="M244" s="139" t="s">
        <v>2219</v>
      </c>
      <c r="N244" s="140" t="s">
        <v>131</v>
      </c>
      <c r="O244" s="140" t="s">
        <v>549</v>
      </c>
      <c r="P244" s="140" t="s">
        <v>85</v>
      </c>
    </row>
    <row r="245" spans="1:16" x14ac:dyDescent="0.25">
      <c r="A245" s="10" t="s">
        <v>1103</v>
      </c>
      <c r="B245" s="10" t="s">
        <v>263</v>
      </c>
      <c r="C245" s="136" t="s">
        <v>264</v>
      </c>
      <c r="D245" s="136" t="s">
        <v>573</v>
      </c>
      <c r="E245" s="136" t="s">
        <v>73</v>
      </c>
      <c r="F245" s="10" t="s">
        <v>1919</v>
      </c>
      <c r="G245" s="10" t="s">
        <v>1934</v>
      </c>
      <c r="H245" s="137">
        <v>1670</v>
      </c>
      <c r="I245" s="138"/>
      <c r="J245" s="10">
        <v>5513</v>
      </c>
      <c r="K245" s="136" t="s">
        <v>111</v>
      </c>
      <c r="L245" s="10">
        <v>55</v>
      </c>
      <c r="M245" s="10" t="s">
        <v>2219</v>
      </c>
      <c r="N245" s="136" t="s">
        <v>131</v>
      </c>
      <c r="O245" s="136" t="s">
        <v>549</v>
      </c>
      <c r="P245" s="136" t="s">
        <v>85</v>
      </c>
    </row>
    <row r="246" spans="1:16" x14ac:dyDescent="0.25">
      <c r="A246" s="139" t="s">
        <v>1103</v>
      </c>
      <c r="B246" s="139" t="s">
        <v>263</v>
      </c>
      <c r="C246" s="140" t="s">
        <v>264</v>
      </c>
      <c r="D246" s="140" t="s">
        <v>573</v>
      </c>
      <c r="E246" s="140" t="s">
        <v>73</v>
      </c>
      <c r="F246" s="139" t="s">
        <v>1919</v>
      </c>
      <c r="G246" s="139" t="s">
        <v>1935</v>
      </c>
      <c r="H246" s="141">
        <v>1998</v>
      </c>
      <c r="I246" s="142"/>
      <c r="J246" s="139">
        <v>5513</v>
      </c>
      <c r="K246" s="140" t="s">
        <v>111</v>
      </c>
      <c r="L246" s="139">
        <v>55</v>
      </c>
      <c r="M246" s="139" t="s">
        <v>2219</v>
      </c>
      <c r="N246" s="140" t="s">
        <v>131</v>
      </c>
      <c r="O246" s="140" t="s">
        <v>549</v>
      </c>
      <c r="P246" s="140" t="s">
        <v>85</v>
      </c>
    </row>
    <row r="247" spans="1:16" x14ac:dyDescent="0.25">
      <c r="A247" s="10" t="s">
        <v>1103</v>
      </c>
      <c r="B247" s="10" t="s">
        <v>263</v>
      </c>
      <c r="C247" s="136" t="s">
        <v>264</v>
      </c>
      <c r="D247" s="136" t="s">
        <v>573</v>
      </c>
      <c r="E247" s="136" t="s">
        <v>73</v>
      </c>
      <c r="F247" s="10" t="s">
        <v>1919</v>
      </c>
      <c r="G247" s="10" t="s">
        <v>1936</v>
      </c>
      <c r="H247" s="137">
        <v>210</v>
      </c>
      <c r="I247" s="138"/>
      <c r="J247" s="10">
        <v>5513</v>
      </c>
      <c r="K247" s="136" t="s">
        <v>111</v>
      </c>
      <c r="L247" s="10">
        <v>55</v>
      </c>
      <c r="M247" s="10" t="s">
        <v>2219</v>
      </c>
      <c r="N247" s="136" t="s">
        <v>131</v>
      </c>
      <c r="O247" s="136" t="s">
        <v>549</v>
      </c>
      <c r="P247" s="136" t="s">
        <v>85</v>
      </c>
    </row>
    <row r="248" spans="1:16" x14ac:dyDescent="0.25">
      <c r="A248" s="139" t="s">
        <v>1103</v>
      </c>
      <c r="B248" s="139" t="s">
        <v>263</v>
      </c>
      <c r="C248" s="140" t="s">
        <v>264</v>
      </c>
      <c r="D248" s="140" t="s">
        <v>573</v>
      </c>
      <c r="E248" s="140" t="s">
        <v>73</v>
      </c>
      <c r="F248" s="139" t="s">
        <v>1919</v>
      </c>
      <c r="G248" s="139" t="s">
        <v>901</v>
      </c>
      <c r="H248" s="141">
        <v>2607.2400000000002</v>
      </c>
      <c r="I248" s="142" t="s">
        <v>1937</v>
      </c>
      <c r="J248" s="139">
        <v>5513</v>
      </c>
      <c r="K248" s="140" t="s">
        <v>111</v>
      </c>
      <c r="L248" s="139">
        <v>55</v>
      </c>
      <c r="M248" s="139" t="s">
        <v>2219</v>
      </c>
      <c r="N248" s="140" t="s">
        <v>131</v>
      </c>
      <c r="O248" s="140" t="s">
        <v>549</v>
      </c>
      <c r="P248" s="140" t="s">
        <v>85</v>
      </c>
    </row>
    <row r="249" spans="1:16" x14ac:dyDescent="0.25">
      <c r="A249" s="10" t="s">
        <v>1103</v>
      </c>
      <c r="B249" s="10" t="s">
        <v>263</v>
      </c>
      <c r="C249" s="136" t="s">
        <v>264</v>
      </c>
      <c r="D249" s="136" t="s">
        <v>573</v>
      </c>
      <c r="E249" s="136" t="s">
        <v>73</v>
      </c>
      <c r="F249" s="10" t="s">
        <v>1919</v>
      </c>
      <c r="G249" s="10" t="s">
        <v>1938</v>
      </c>
      <c r="H249" s="137">
        <v>1400</v>
      </c>
      <c r="I249" s="138" t="s">
        <v>1939</v>
      </c>
      <c r="J249" s="10">
        <v>5513</v>
      </c>
      <c r="K249" s="136" t="s">
        <v>111</v>
      </c>
      <c r="L249" s="10">
        <v>55</v>
      </c>
      <c r="M249" s="10" t="s">
        <v>2219</v>
      </c>
      <c r="N249" s="136" t="s">
        <v>131</v>
      </c>
      <c r="O249" s="136" t="s">
        <v>549</v>
      </c>
      <c r="P249" s="136" t="s">
        <v>85</v>
      </c>
    </row>
    <row r="250" spans="1:16" x14ac:dyDescent="0.25">
      <c r="A250" s="139" t="s">
        <v>1103</v>
      </c>
      <c r="B250" s="139" t="s">
        <v>263</v>
      </c>
      <c r="C250" s="140" t="s">
        <v>264</v>
      </c>
      <c r="D250" s="140" t="s">
        <v>573</v>
      </c>
      <c r="E250" s="140" t="s">
        <v>73</v>
      </c>
      <c r="F250" s="139" t="s">
        <v>1919</v>
      </c>
      <c r="G250" s="139" t="s">
        <v>198</v>
      </c>
      <c r="H250" s="141">
        <v>13000</v>
      </c>
      <c r="I250" s="142"/>
      <c r="J250" s="139">
        <v>5513</v>
      </c>
      <c r="K250" s="140" t="s">
        <v>111</v>
      </c>
      <c r="L250" s="139">
        <v>55</v>
      </c>
      <c r="M250" s="139" t="s">
        <v>2219</v>
      </c>
      <c r="N250" s="140" t="s">
        <v>131</v>
      </c>
      <c r="O250" s="140" t="s">
        <v>549</v>
      </c>
      <c r="P250" s="140" t="s">
        <v>85</v>
      </c>
    </row>
    <row r="251" spans="1:16" x14ac:dyDescent="0.25">
      <c r="A251" s="10" t="s">
        <v>1103</v>
      </c>
      <c r="B251" s="10" t="s">
        <v>263</v>
      </c>
      <c r="C251" s="136" t="s">
        <v>264</v>
      </c>
      <c r="D251" s="136" t="s">
        <v>573</v>
      </c>
      <c r="E251" s="136" t="s">
        <v>73</v>
      </c>
      <c r="F251" s="10" t="s">
        <v>1919</v>
      </c>
      <c r="G251" s="10" t="s">
        <v>1940</v>
      </c>
      <c r="H251" s="137">
        <v>3000</v>
      </c>
      <c r="I251" s="138"/>
      <c r="J251" s="10">
        <v>5513</v>
      </c>
      <c r="K251" s="136" t="s">
        <v>111</v>
      </c>
      <c r="L251" s="10">
        <v>55</v>
      </c>
      <c r="M251" s="10" t="s">
        <v>2219</v>
      </c>
      <c r="N251" s="136" t="s">
        <v>131</v>
      </c>
      <c r="O251" s="136" t="s">
        <v>549</v>
      </c>
      <c r="P251" s="136" t="s">
        <v>85</v>
      </c>
    </row>
    <row r="252" spans="1:16" x14ac:dyDescent="0.25">
      <c r="A252" s="139" t="s">
        <v>1103</v>
      </c>
      <c r="B252" s="139" t="s">
        <v>263</v>
      </c>
      <c r="C252" s="140" t="s">
        <v>264</v>
      </c>
      <c r="D252" s="140" t="s">
        <v>573</v>
      </c>
      <c r="E252" s="140" t="s">
        <v>73</v>
      </c>
      <c r="F252" s="139" t="s">
        <v>1919</v>
      </c>
      <c r="G252" s="139" t="s">
        <v>1941</v>
      </c>
      <c r="H252" s="141">
        <v>4000</v>
      </c>
      <c r="I252" s="142"/>
      <c r="J252" s="139">
        <v>5513</v>
      </c>
      <c r="K252" s="140" t="s">
        <v>111</v>
      </c>
      <c r="L252" s="139">
        <v>55</v>
      </c>
      <c r="M252" s="139" t="s">
        <v>2219</v>
      </c>
      <c r="N252" s="140" t="s">
        <v>131</v>
      </c>
      <c r="O252" s="140" t="s">
        <v>549</v>
      </c>
      <c r="P252" s="140" t="s">
        <v>85</v>
      </c>
    </row>
    <row r="253" spans="1:16" x14ac:dyDescent="0.25">
      <c r="A253" s="10" t="s">
        <v>1103</v>
      </c>
      <c r="B253" s="10" t="s">
        <v>263</v>
      </c>
      <c r="C253" s="136" t="s">
        <v>264</v>
      </c>
      <c r="D253" s="136" t="s">
        <v>573</v>
      </c>
      <c r="E253" s="136" t="s">
        <v>73</v>
      </c>
      <c r="F253" s="10" t="s">
        <v>1919</v>
      </c>
      <c r="G253" s="10" t="s">
        <v>1942</v>
      </c>
      <c r="H253" s="137">
        <v>6000</v>
      </c>
      <c r="I253" s="138"/>
      <c r="J253" s="10">
        <v>5515</v>
      </c>
      <c r="K253" s="136" t="s">
        <v>112</v>
      </c>
      <c r="L253" s="10">
        <v>55</v>
      </c>
      <c r="M253" s="10" t="s">
        <v>2219</v>
      </c>
      <c r="N253" s="136" t="s">
        <v>131</v>
      </c>
      <c r="O253" s="136" t="s">
        <v>549</v>
      </c>
      <c r="P253" s="136" t="s">
        <v>85</v>
      </c>
    </row>
    <row r="254" spans="1:16" x14ac:dyDescent="0.25">
      <c r="A254" s="139" t="s">
        <v>1103</v>
      </c>
      <c r="B254" s="139" t="s">
        <v>265</v>
      </c>
      <c r="C254" s="140" t="s">
        <v>266</v>
      </c>
      <c r="D254" s="140" t="s">
        <v>573</v>
      </c>
      <c r="E254" s="140" t="s">
        <v>73</v>
      </c>
      <c r="F254" s="139" t="s">
        <v>1023</v>
      </c>
      <c r="G254" s="139" t="s">
        <v>1021</v>
      </c>
      <c r="H254" s="141">
        <v>8600</v>
      </c>
      <c r="I254" s="142"/>
      <c r="J254" s="139">
        <v>5511</v>
      </c>
      <c r="K254" s="140" t="s">
        <v>106</v>
      </c>
      <c r="L254" s="139">
        <v>55</v>
      </c>
      <c r="M254" s="139" t="s">
        <v>2219</v>
      </c>
      <c r="N254" s="140" t="s">
        <v>131</v>
      </c>
      <c r="O254" s="140" t="s">
        <v>549</v>
      </c>
      <c r="P254" s="140" t="s">
        <v>85</v>
      </c>
    </row>
    <row r="255" spans="1:16" x14ac:dyDescent="0.25">
      <c r="A255" s="10" t="s">
        <v>1103</v>
      </c>
      <c r="B255" s="10" t="s">
        <v>265</v>
      </c>
      <c r="C255" s="136" t="s">
        <v>266</v>
      </c>
      <c r="D255" s="136" t="s">
        <v>573</v>
      </c>
      <c r="E255" s="136" t="s">
        <v>73</v>
      </c>
      <c r="F255" s="10" t="s">
        <v>1023</v>
      </c>
      <c r="G255" s="10" t="s">
        <v>971</v>
      </c>
      <c r="H255" s="137">
        <v>35</v>
      </c>
      <c r="I255" s="138"/>
      <c r="J255" s="10">
        <v>5511</v>
      </c>
      <c r="K255" s="136" t="s">
        <v>106</v>
      </c>
      <c r="L255" s="10">
        <v>55</v>
      </c>
      <c r="M255" s="10" t="s">
        <v>2219</v>
      </c>
      <c r="N255" s="136" t="s">
        <v>131</v>
      </c>
      <c r="O255" s="136" t="s">
        <v>549</v>
      </c>
      <c r="P255" s="136" t="s">
        <v>85</v>
      </c>
    </row>
    <row r="256" spans="1:16" x14ac:dyDescent="0.25">
      <c r="A256" s="139" t="s">
        <v>1103</v>
      </c>
      <c r="B256" s="139" t="s">
        <v>265</v>
      </c>
      <c r="C256" s="140" t="s">
        <v>266</v>
      </c>
      <c r="D256" s="140" t="s">
        <v>573</v>
      </c>
      <c r="E256" s="140" t="s">
        <v>73</v>
      </c>
      <c r="F256" s="139" t="s">
        <v>1023</v>
      </c>
      <c r="G256" s="139" t="s">
        <v>510</v>
      </c>
      <c r="H256" s="141">
        <v>800</v>
      </c>
      <c r="I256" s="142"/>
      <c r="J256" s="139">
        <v>5511</v>
      </c>
      <c r="K256" s="140" t="s">
        <v>106</v>
      </c>
      <c r="L256" s="139">
        <v>55</v>
      </c>
      <c r="M256" s="139" t="s">
        <v>2219</v>
      </c>
      <c r="N256" s="140" t="s">
        <v>131</v>
      </c>
      <c r="O256" s="140" t="s">
        <v>549</v>
      </c>
      <c r="P256" s="140" t="s">
        <v>85</v>
      </c>
    </row>
    <row r="257" spans="1:16" x14ac:dyDescent="0.25">
      <c r="A257" s="10" t="s">
        <v>1103</v>
      </c>
      <c r="B257" s="10" t="s">
        <v>265</v>
      </c>
      <c r="C257" s="136" t="s">
        <v>266</v>
      </c>
      <c r="D257" s="136" t="s">
        <v>573</v>
      </c>
      <c r="E257" s="136" t="s">
        <v>73</v>
      </c>
      <c r="F257" s="10" t="s">
        <v>1023</v>
      </c>
      <c r="G257" s="10" t="s">
        <v>943</v>
      </c>
      <c r="H257" s="137">
        <v>1700</v>
      </c>
      <c r="I257" s="138"/>
      <c r="J257" s="10">
        <v>5511</v>
      </c>
      <c r="K257" s="136" t="s">
        <v>106</v>
      </c>
      <c r="L257" s="10">
        <v>55</v>
      </c>
      <c r="M257" s="10" t="s">
        <v>2219</v>
      </c>
      <c r="N257" s="136" t="s">
        <v>131</v>
      </c>
      <c r="O257" s="136" t="s">
        <v>549</v>
      </c>
      <c r="P257" s="136" t="s">
        <v>85</v>
      </c>
    </row>
    <row r="258" spans="1:16" x14ac:dyDescent="0.25">
      <c r="A258" s="139" t="s">
        <v>1103</v>
      </c>
      <c r="B258" s="139" t="s">
        <v>265</v>
      </c>
      <c r="C258" s="140" t="s">
        <v>266</v>
      </c>
      <c r="D258" s="140" t="s">
        <v>573</v>
      </c>
      <c r="E258" s="140" t="s">
        <v>73</v>
      </c>
      <c r="F258" s="139" t="s">
        <v>1023</v>
      </c>
      <c r="G258" s="139" t="s">
        <v>1022</v>
      </c>
      <c r="H258" s="141">
        <v>4500</v>
      </c>
      <c r="I258" s="142"/>
      <c r="J258" s="139">
        <v>5511</v>
      </c>
      <c r="K258" s="140" t="s">
        <v>106</v>
      </c>
      <c r="L258" s="139">
        <v>55</v>
      </c>
      <c r="M258" s="139" t="s">
        <v>2219</v>
      </c>
      <c r="N258" s="140" t="s">
        <v>131</v>
      </c>
      <c r="O258" s="140" t="s">
        <v>549</v>
      </c>
      <c r="P258" s="140" t="s">
        <v>85</v>
      </c>
    </row>
    <row r="259" spans="1:16" x14ac:dyDescent="0.25">
      <c r="A259" s="10" t="s">
        <v>1103</v>
      </c>
      <c r="B259" s="10" t="s">
        <v>265</v>
      </c>
      <c r="C259" s="136" t="s">
        <v>266</v>
      </c>
      <c r="D259" s="136" t="s">
        <v>573</v>
      </c>
      <c r="E259" s="136" t="s">
        <v>73</v>
      </c>
      <c r="F259" s="10" t="s">
        <v>1023</v>
      </c>
      <c r="G259" s="10" t="s">
        <v>1000</v>
      </c>
      <c r="H259" s="137">
        <v>600</v>
      </c>
      <c r="I259" s="138"/>
      <c r="J259" s="10">
        <v>5511</v>
      </c>
      <c r="K259" s="136" t="s">
        <v>106</v>
      </c>
      <c r="L259" s="10">
        <v>55</v>
      </c>
      <c r="M259" s="10" t="s">
        <v>2219</v>
      </c>
      <c r="N259" s="136" t="s">
        <v>131</v>
      </c>
      <c r="O259" s="136" t="s">
        <v>549</v>
      </c>
      <c r="P259" s="136" t="s">
        <v>85</v>
      </c>
    </row>
    <row r="260" spans="1:16" x14ac:dyDescent="0.25">
      <c r="A260" s="139" t="s">
        <v>1103</v>
      </c>
      <c r="B260" s="139" t="s">
        <v>265</v>
      </c>
      <c r="C260" s="140" t="s">
        <v>266</v>
      </c>
      <c r="D260" s="140" t="s">
        <v>573</v>
      </c>
      <c r="E260" s="140" t="s">
        <v>73</v>
      </c>
      <c r="F260" s="139" t="s">
        <v>1023</v>
      </c>
      <c r="G260" s="139" t="s">
        <v>978</v>
      </c>
      <c r="H260" s="141">
        <v>225</v>
      </c>
      <c r="I260" s="142"/>
      <c r="J260" s="139">
        <v>5511</v>
      </c>
      <c r="K260" s="140" t="s">
        <v>106</v>
      </c>
      <c r="L260" s="139">
        <v>55</v>
      </c>
      <c r="M260" s="139" t="s">
        <v>2219</v>
      </c>
      <c r="N260" s="140" t="s">
        <v>131</v>
      </c>
      <c r="O260" s="140" t="s">
        <v>549</v>
      </c>
      <c r="P260" s="140" t="s">
        <v>85</v>
      </c>
    </row>
    <row r="261" spans="1:16" x14ac:dyDescent="0.25">
      <c r="A261" s="10" t="s">
        <v>1103</v>
      </c>
      <c r="B261" s="10" t="s">
        <v>267</v>
      </c>
      <c r="C261" s="136" t="s">
        <v>268</v>
      </c>
      <c r="D261" s="136" t="s">
        <v>573</v>
      </c>
      <c r="E261" s="136" t="s">
        <v>73</v>
      </c>
      <c r="F261" s="10" t="s">
        <v>1023</v>
      </c>
      <c r="G261" s="10" t="s">
        <v>1029</v>
      </c>
      <c r="H261" s="137">
        <v>624</v>
      </c>
      <c r="I261" s="138" t="s">
        <v>1030</v>
      </c>
      <c r="J261" s="10">
        <v>5511</v>
      </c>
      <c r="K261" s="136" t="s">
        <v>106</v>
      </c>
      <c r="L261" s="10">
        <v>55</v>
      </c>
      <c r="M261" s="10" t="s">
        <v>2219</v>
      </c>
      <c r="N261" s="136" t="s">
        <v>131</v>
      </c>
      <c r="O261" s="136" t="s">
        <v>549</v>
      </c>
      <c r="P261" s="136" t="s">
        <v>85</v>
      </c>
    </row>
    <row r="262" spans="1:16" x14ac:dyDescent="0.25">
      <c r="A262" s="139" t="s">
        <v>1103</v>
      </c>
      <c r="B262" s="139" t="s">
        <v>267</v>
      </c>
      <c r="C262" s="140" t="s">
        <v>268</v>
      </c>
      <c r="D262" s="140" t="s">
        <v>573</v>
      </c>
      <c r="E262" s="140" t="s">
        <v>73</v>
      </c>
      <c r="F262" s="139" t="s">
        <v>1023</v>
      </c>
      <c r="G262" s="139" t="s">
        <v>971</v>
      </c>
      <c r="H262" s="141">
        <v>3000</v>
      </c>
      <c r="I262" s="142"/>
      <c r="J262" s="139">
        <v>5511</v>
      </c>
      <c r="K262" s="140" t="s">
        <v>106</v>
      </c>
      <c r="L262" s="139">
        <v>55</v>
      </c>
      <c r="M262" s="139" t="s">
        <v>2219</v>
      </c>
      <c r="N262" s="140" t="s">
        <v>131</v>
      </c>
      <c r="O262" s="140" t="s">
        <v>549</v>
      </c>
      <c r="P262" s="140" t="s">
        <v>85</v>
      </c>
    </row>
    <row r="263" spans="1:16" x14ac:dyDescent="0.25">
      <c r="A263" s="10" t="s">
        <v>1103</v>
      </c>
      <c r="B263" s="10" t="s">
        <v>267</v>
      </c>
      <c r="C263" s="136" t="s">
        <v>268</v>
      </c>
      <c r="D263" s="136" t="s">
        <v>573</v>
      </c>
      <c r="E263" s="136" t="s">
        <v>73</v>
      </c>
      <c r="F263" s="10" t="s">
        <v>1023</v>
      </c>
      <c r="G263" s="10" t="s">
        <v>995</v>
      </c>
      <c r="H263" s="137">
        <v>411</v>
      </c>
      <c r="I263" s="138" t="s">
        <v>1031</v>
      </c>
      <c r="J263" s="10">
        <v>5511</v>
      </c>
      <c r="K263" s="136" t="s">
        <v>106</v>
      </c>
      <c r="L263" s="10">
        <v>55</v>
      </c>
      <c r="M263" s="10" t="s">
        <v>2219</v>
      </c>
      <c r="N263" s="136" t="s">
        <v>131</v>
      </c>
      <c r="O263" s="136" t="s">
        <v>549</v>
      </c>
      <c r="P263" s="136" t="s">
        <v>85</v>
      </c>
    </row>
    <row r="264" spans="1:16" x14ac:dyDescent="0.25">
      <c r="A264" s="139" t="s">
        <v>1103</v>
      </c>
      <c r="B264" s="139" t="s">
        <v>267</v>
      </c>
      <c r="C264" s="140" t="s">
        <v>268</v>
      </c>
      <c r="D264" s="140" t="s">
        <v>573</v>
      </c>
      <c r="E264" s="140" t="s">
        <v>73</v>
      </c>
      <c r="F264" s="139" t="s">
        <v>1023</v>
      </c>
      <c r="G264" s="139" t="s">
        <v>1032</v>
      </c>
      <c r="H264" s="141">
        <v>1000</v>
      </c>
      <c r="I264" s="142"/>
      <c r="J264" s="139">
        <v>5511</v>
      </c>
      <c r="K264" s="140" t="s">
        <v>106</v>
      </c>
      <c r="L264" s="139">
        <v>55</v>
      </c>
      <c r="M264" s="139" t="s">
        <v>2219</v>
      </c>
      <c r="N264" s="140" t="s">
        <v>131</v>
      </c>
      <c r="O264" s="140" t="s">
        <v>549</v>
      </c>
      <c r="P264" s="140" t="s">
        <v>85</v>
      </c>
    </row>
    <row r="265" spans="1:16" x14ac:dyDescent="0.25">
      <c r="A265" s="10" t="s">
        <v>1103</v>
      </c>
      <c r="B265" s="10" t="s">
        <v>267</v>
      </c>
      <c r="C265" s="136" t="s">
        <v>268</v>
      </c>
      <c r="D265" s="136" t="s">
        <v>573</v>
      </c>
      <c r="E265" s="136" t="s">
        <v>73</v>
      </c>
      <c r="F265" s="10" t="s">
        <v>1023</v>
      </c>
      <c r="G265" s="10" t="s">
        <v>1033</v>
      </c>
      <c r="H265" s="137">
        <v>2400</v>
      </c>
      <c r="I265" s="138"/>
      <c r="J265" s="10">
        <v>5511</v>
      </c>
      <c r="K265" s="136" t="s">
        <v>106</v>
      </c>
      <c r="L265" s="10">
        <v>55</v>
      </c>
      <c r="M265" s="10" t="s">
        <v>2219</v>
      </c>
      <c r="N265" s="136" t="s">
        <v>131</v>
      </c>
      <c r="O265" s="136" t="s">
        <v>549</v>
      </c>
      <c r="P265" s="136" t="s">
        <v>85</v>
      </c>
    </row>
    <row r="266" spans="1:16" x14ac:dyDescent="0.25">
      <c r="A266" s="139" t="s">
        <v>1103</v>
      </c>
      <c r="B266" s="139" t="s">
        <v>267</v>
      </c>
      <c r="C266" s="140" t="s">
        <v>268</v>
      </c>
      <c r="D266" s="140" t="s">
        <v>573</v>
      </c>
      <c r="E266" s="140" t="s">
        <v>73</v>
      </c>
      <c r="F266" s="139" t="s">
        <v>1023</v>
      </c>
      <c r="G266" s="139" t="s">
        <v>1034</v>
      </c>
      <c r="H266" s="141">
        <v>2556.48</v>
      </c>
      <c r="I266" s="142"/>
      <c r="J266" s="139">
        <v>5511</v>
      </c>
      <c r="K266" s="140" t="s">
        <v>106</v>
      </c>
      <c r="L266" s="139">
        <v>55</v>
      </c>
      <c r="M266" s="139" t="s">
        <v>2219</v>
      </c>
      <c r="N266" s="140" t="s">
        <v>131</v>
      </c>
      <c r="O266" s="140" t="s">
        <v>549</v>
      </c>
      <c r="P266" s="140" t="s">
        <v>85</v>
      </c>
    </row>
    <row r="267" spans="1:16" x14ac:dyDescent="0.25">
      <c r="A267" s="10" t="s">
        <v>1103</v>
      </c>
      <c r="B267" s="10" t="s">
        <v>267</v>
      </c>
      <c r="C267" s="136" t="s">
        <v>268</v>
      </c>
      <c r="D267" s="136" t="s">
        <v>573</v>
      </c>
      <c r="E267" s="136" t="s">
        <v>73</v>
      </c>
      <c r="F267" s="10" t="s">
        <v>1023</v>
      </c>
      <c r="G267" s="10" t="s">
        <v>966</v>
      </c>
      <c r="H267" s="137">
        <v>500</v>
      </c>
      <c r="I267" s="138" t="s">
        <v>1035</v>
      </c>
      <c r="J267" s="10">
        <v>5511</v>
      </c>
      <c r="K267" s="136" t="s">
        <v>106</v>
      </c>
      <c r="L267" s="10">
        <v>55</v>
      </c>
      <c r="M267" s="10" t="s">
        <v>2219</v>
      </c>
      <c r="N267" s="136" t="s">
        <v>131</v>
      </c>
      <c r="O267" s="136" t="s">
        <v>549</v>
      </c>
      <c r="P267" s="136" t="s">
        <v>85</v>
      </c>
    </row>
    <row r="268" spans="1:16" x14ac:dyDescent="0.25">
      <c r="A268" s="139" t="s">
        <v>1103</v>
      </c>
      <c r="B268" s="139" t="s">
        <v>267</v>
      </c>
      <c r="C268" s="140" t="s">
        <v>268</v>
      </c>
      <c r="D268" s="140" t="s">
        <v>573</v>
      </c>
      <c r="E268" s="140" t="s">
        <v>73</v>
      </c>
      <c r="F268" s="139" t="s">
        <v>1023</v>
      </c>
      <c r="G268" s="139" t="s">
        <v>1036</v>
      </c>
      <c r="H268" s="141">
        <v>6000</v>
      </c>
      <c r="I268" s="142" t="s">
        <v>1037</v>
      </c>
      <c r="J268" s="139">
        <v>5511</v>
      </c>
      <c r="K268" s="140" t="s">
        <v>106</v>
      </c>
      <c r="L268" s="139">
        <v>55</v>
      </c>
      <c r="M268" s="139" t="s">
        <v>2219</v>
      </c>
      <c r="N268" s="140" t="s">
        <v>131</v>
      </c>
      <c r="O268" s="140" t="s">
        <v>549</v>
      </c>
      <c r="P268" s="140" t="s">
        <v>85</v>
      </c>
    </row>
    <row r="269" spans="1:16" x14ac:dyDescent="0.25">
      <c r="A269" s="10" t="s">
        <v>1103</v>
      </c>
      <c r="B269" s="10" t="s">
        <v>267</v>
      </c>
      <c r="C269" s="136" t="s">
        <v>268</v>
      </c>
      <c r="D269" s="136" t="s">
        <v>573</v>
      </c>
      <c r="E269" s="136" t="s">
        <v>73</v>
      </c>
      <c r="F269" s="10" t="s">
        <v>1023</v>
      </c>
      <c r="G269" s="10" t="s">
        <v>1038</v>
      </c>
      <c r="H269" s="137">
        <v>6000</v>
      </c>
      <c r="I269" s="138" t="s">
        <v>1030</v>
      </c>
      <c r="J269" s="10">
        <v>5511</v>
      </c>
      <c r="K269" s="136" t="s">
        <v>106</v>
      </c>
      <c r="L269" s="10">
        <v>55</v>
      </c>
      <c r="M269" s="10" t="s">
        <v>2219</v>
      </c>
      <c r="N269" s="136" t="s">
        <v>131</v>
      </c>
      <c r="O269" s="136" t="s">
        <v>549</v>
      </c>
      <c r="P269" s="136" t="s">
        <v>85</v>
      </c>
    </row>
    <row r="270" spans="1:16" x14ac:dyDescent="0.25">
      <c r="A270" s="139" t="s">
        <v>1103</v>
      </c>
      <c r="B270" s="139" t="s">
        <v>267</v>
      </c>
      <c r="C270" s="140" t="s">
        <v>268</v>
      </c>
      <c r="D270" s="140" t="s">
        <v>573</v>
      </c>
      <c r="E270" s="140" t="s">
        <v>73</v>
      </c>
      <c r="F270" s="139" t="s">
        <v>1023</v>
      </c>
      <c r="G270" s="139" t="s">
        <v>1039</v>
      </c>
      <c r="H270" s="141">
        <v>500</v>
      </c>
      <c r="I270" s="142" t="s">
        <v>1040</v>
      </c>
      <c r="J270" s="139">
        <v>5511</v>
      </c>
      <c r="K270" s="140" t="s">
        <v>106</v>
      </c>
      <c r="L270" s="139">
        <v>55</v>
      </c>
      <c r="M270" s="139" t="s">
        <v>2219</v>
      </c>
      <c r="N270" s="140" t="s">
        <v>131</v>
      </c>
      <c r="O270" s="140" t="s">
        <v>549</v>
      </c>
      <c r="P270" s="140" t="s">
        <v>85</v>
      </c>
    </row>
    <row r="271" spans="1:16" x14ac:dyDescent="0.25">
      <c r="A271" s="147" t="s">
        <v>1103</v>
      </c>
      <c r="B271" s="147" t="s">
        <v>267</v>
      </c>
      <c r="C271" s="148" t="s">
        <v>268</v>
      </c>
      <c r="D271" s="148" t="s">
        <v>573</v>
      </c>
      <c r="E271" s="148" t="s">
        <v>73</v>
      </c>
      <c r="F271" s="147" t="s">
        <v>1023</v>
      </c>
      <c r="G271" s="147" t="s">
        <v>1024</v>
      </c>
      <c r="H271" s="149">
        <v>2000</v>
      </c>
      <c r="I271" s="150"/>
      <c r="J271" s="147">
        <v>5511</v>
      </c>
      <c r="K271" s="148" t="s">
        <v>106</v>
      </c>
      <c r="L271" s="147">
        <v>55</v>
      </c>
      <c r="M271" s="147" t="s">
        <v>2219</v>
      </c>
      <c r="N271" s="148" t="s">
        <v>131</v>
      </c>
      <c r="O271" s="148" t="s">
        <v>549</v>
      </c>
      <c r="P271" s="148" t="s">
        <v>85</v>
      </c>
    </row>
    <row r="272" spans="1:16" x14ac:dyDescent="0.25">
      <c r="A272" s="147" t="s">
        <v>1103</v>
      </c>
      <c r="B272" s="147" t="s">
        <v>267</v>
      </c>
      <c r="C272" s="148" t="s">
        <v>268</v>
      </c>
      <c r="D272" s="148" t="s">
        <v>573</v>
      </c>
      <c r="E272" s="148" t="s">
        <v>73</v>
      </c>
      <c r="F272" s="147" t="s">
        <v>1023</v>
      </c>
      <c r="G272" s="147" t="s">
        <v>1025</v>
      </c>
      <c r="H272" s="149">
        <v>10000</v>
      </c>
      <c r="I272" s="150"/>
      <c r="J272" s="147">
        <v>5512</v>
      </c>
      <c r="K272" s="148" t="s">
        <v>109</v>
      </c>
      <c r="L272" s="147">
        <v>55</v>
      </c>
      <c r="M272" s="147" t="s">
        <v>2219</v>
      </c>
      <c r="N272" s="148" t="s">
        <v>131</v>
      </c>
      <c r="O272" s="148" t="s">
        <v>549</v>
      </c>
      <c r="P272" s="148" t="s">
        <v>85</v>
      </c>
    </row>
    <row r="273" spans="1:16" x14ac:dyDescent="0.25">
      <c r="A273" s="10" t="s">
        <v>1103</v>
      </c>
      <c r="B273" s="10" t="s">
        <v>269</v>
      </c>
      <c r="C273" s="136" t="s">
        <v>270</v>
      </c>
      <c r="D273" s="136" t="s">
        <v>573</v>
      </c>
      <c r="E273" s="136" t="s">
        <v>73</v>
      </c>
      <c r="F273" s="10" t="s">
        <v>1043</v>
      </c>
      <c r="G273" s="10" t="s">
        <v>1953</v>
      </c>
      <c r="H273" s="137">
        <v>9000</v>
      </c>
      <c r="I273" s="138"/>
      <c r="J273" s="10">
        <v>5511</v>
      </c>
      <c r="K273" s="136" t="s">
        <v>106</v>
      </c>
      <c r="L273" s="10">
        <v>55</v>
      </c>
      <c r="M273" s="10" t="s">
        <v>2219</v>
      </c>
      <c r="N273" s="136" t="s">
        <v>131</v>
      </c>
      <c r="O273" s="136" t="s">
        <v>549</v>
      </c>
      <c r="P273" s="136" t="s">
        <v>85</v>
      </c>
    </row>
    <row r="274" spans="1:16" x14ac:dyDescent="0.25">
      <c r="A274" s="139" t="s">
        <v>1103</v>
      </c>
      <c r="B274" s="139" t="s">
        <v>269</v>
      </c>
      <c r="C274" s="140" t="s">
        <v>270</v>
      </c>
      <c r="D274" s="140" t="s">
        <v>573</v>
      </c>
      <c r="E274" s="140" t="s">
        <v>73</v>
      </c>
      <c r="F274" s="139" t="s">
        <v>1043</v>
      </c>
      <c r="G274" s="139" t="s">
        <v>1916</v>
      </c>
      <c r="H274" s="141">
        <v>837.6</v>
      </c>
      <c r="I274" s="142"/>
      <c r="J274" s="139">
        <v>5511</v>
      </c>
      <c r="K274" s="140" t="s">
        <v>106</v>
      </c>
      <c r="L274" s="139">
        <v>55</v>
      </c>
      <c r="M274" s="139" t="s">
        <v>2219</v>
      </c>
      <c r="N274" s="140" t="s">
        <v>131</v>
      </c>
      <c r="O274" s="140" t="s">
        <v>549</v>
      </c>
      <c r="P274" s="140" t="s">
        <v>85</v>
      </c>
    </row>
    <row r="275" spans="1:16" x14ac:dyDescent="0.25">
      <c r="A275" s="10" t="s">
        <v>1103</v>
      </c>
      <c r="B275" s="10" t="s">
        <v>269</v>
      </c>
      <c r="C275" s="136" t="s">
        <v>270</v>
      </c>
      <c r="D275" s="136" t="s">
        <v>573</v>
      </c>
      <c r="E275" s="136" t="s">
        <v>73</v>
      </c>
      <c r="F275" s="10" t="s">
        <v>1043</v>
      </c>
      <c r="G275" s="10" t="s">
        <v>1915</v>
      </c>
      <c r="H275" s="137">
        <v>662.40000000000009</v>
      </c>
      <c r="I275" s="138"/>
      <c r="J275" s="10">
        <v>5514</v>
      </c>
      <c r="K275" s="136" t="s">
        <v>110</v>
      </c>
      <c r="L275" s="10">
        <v>55</v>
      </c>
      <c r="M275" s="10" t="s">
        <v>2219</v>
      </c>
      <c r="N275" s="136" t="s">
        <v>131</v>
      </c>
      <c r="O275" s="136" t="s">
        <v>549</v>
      </c>
      <c r="P275" s="136" t="s">
        <v>85</v>
      </c>
    </row>
    <row r="276" spans="1:16" x14ac:dyDescent="0.25">
      <c r="A276" s="139" t="s">
        <v>2243</v>
      </c>
      <c r="B276" s="139" t="s">
        <v>41</v>
      </c>
      <c r="C276" s="160" t="s">
        <v>42</v>
      </c>
      <c r="D276" s="160" t="s">
        <v>2039</v>
      </c>
      <c r="E276" s="160" t="s">
        <v>90</v>
      </c>
      <c r="F276" s="139" t="s">
        <v>491</v>
      </c>
      <c r="G276" s="139" t="s">
        <v>0</v>
      </c>
      <c r="H276" s="141">
        <v>2500</v>
      </c>
      <c r="I276" s="142"/>
      <c r="J276" s="139">
        <v>4528</v>
      </c>
      <c r="K276" s="139" t="s">
        <v>159</v>
      </c>
      <c r="L276" s="139">
        <v>452</v>
      </c>
      <c r="M276" s="139" t="s">
        <v>2244</v>
      </c>
      <c r="N276" s="139" t="s">
        <v>164</v>
      </c>
      <c r="O276" s="139" t="s">
        <v>155</v>
      </c>
      <c r="P276" s="139" t="s">
        <v>85</v>
      </c>
    </row>
    <row r="277" spans="1:16" x14ac:dyDescent="0.25">
      <c r="A277" s="10" t="s">
        <v>2243</v>
      </c>
      <c r="B277" s="10" t="s">
        <v>41</v>
      </c>
      <c r="C277" s="136" t="s">
        <v>42</v>
      </c>
      <c r="D277" s="136" t="s">
        <v>2039</v>
      </c>
      <c r="E277" s="136" t="s">
        <v>90</v>
      </c>
      <c r="F277" s="10" t="s">
        <v>462</v>
      </c>
      <c r="G277" s="10" t="s">
        <v>741</v>
      </c>
      <c r="H277" s="137">
        <v>600</v>
      </c>
      <c r="I277" s="138"/>
      <c r="J277" s="10">
        <v>5515</v>
      </c>
      <c r="K277" s="136" t="s">
        <v>112</v>
      </c>
      <c r="L277" s="10">
        <v>55</v>
      </c>
      <c r="M277" s="10" t="s">
        <v>2219</v>
      </c>
      <c r="N277" s="136" t="s">
        <v>131</v>
      </c>
      <c r="O277" s="136" t="s">
        <v>549</v>
      </c>
      <c r="P277" s="136" t="s">
        <v>85</v>
      </c>
    </row>
    <row r="278" spans="1:16" x14ac:dyDescent="0.25">
      <c r="A278" s="139" t="s">
        <v>2243</v>
      </c>
      <c r="B278" s="139" t="s">
        <v>41</v>
      </c>
      <c r="C278" s="140" t="s">
        <v>42</v>
      </c>
      <c r="D278" s="140" t="s">
        <v>2039</v>
      </c>
      <c r="E278" s="140" t="s">
        <v>90</v>
      </c>
      <c r="F278" s="139" t="s">
        <v>462</v>
      </c>
      <c r="G278" s="139" t="s">
        <v>739</v>
      </c>
      <c r="H278" s="141">
        <v>2400</v>
      </c>
      <c r="I278" s="142"/>
      <c r="J278" s="139">
        <v>5540</v>
      </c>
      <c r="K278" s="140" t="s">
        <v>121</v>
      </c>
      <c r="L278" s="139">
        <v>55</v>
      </c>
      <c r="M278" s="139" t="s">
        <v>2219</v>
      </c>
      <c r="N278" s="140" t="s">
        <v>131</v>
      </c>
      <c r="O278" s="140" t="s">
        <v>549</v>
      </c>
      <c r="P278" s="140" t="s">
        <v>85</v>
      </c>
    </row>
    <row r="279" spans="1:16" x14ac:dyDescent="0.25">
      <c r="A279" s="10" t="s">
        <v>2243</v>
      </c>
      <c r="B279" s="10" t="s">
        <v>41</v>
      </c>
      <c r="C279" s="136" t="s">
        <v>42</v>
      </c>
      <c r="D279" s="136" t="s">
        <v>2039</v>
      </c>
      <c r="E279" s="136" t="s">
        <v>90</v>
      </c>
      <c r="F279" s="10" t="s">
        <v>462</v>
      </c>
      <c r="G279" s="10" t="s">
        <v>740</v>
      </c>
      <c r="H279" s="137">
        <v>5000</v>
      </c>
      <c r="I279" s="138"/>
      <c r="J279" s="10">
        <v>5511</v>
      </c>
      <c r="K279" s="136" t="s">
        <v>106</v>
      </c>
      <c r="L279" s="10">
        <v>55</v>
      </c>
      <c r="M279" s="10" t="s">
        <v>2219</v>
      </c>
      <c r="N279" s="136" t="s">
        <v>131</v>
      </c>
      <c r="O279" s="136" t="s">
        <v>549</v>
      </c>
      <c r="P279" s="136" t="s">
        <v>85</v>
      </c>
    </row>
    <row r="280" spans="1:16" x14ac:dyDescent="0.25">
      <c r="A280" s="139" t="s">
        <v>799</v>
      </c>
      <c r="B280" s="139" t="s">
        <v>271</v>
      </c>
      <c r="C280" s="140" t="s">
        <v>272</v>
      </c>
      <c r="D280" s="140" t="s">
        <v>769</v>
      </c>
      <c r="E280" s="140" t="s">
        <v>76</v>
      </c>
      <c r="F280" s="139" t="s">
        <v>624</v>
      </c>
      <c r="G280" s="139" t="s">
        <v>854</v>
      </c>
      <c r="H280" s="141">
        <v>120000</v>
      </c>
      <c r="I280" s="142" t="s">
        <v>2067</v>
      </c>
      <c r="J280" s="139">
        <v>45008</v>
      </c>
      <c r="K280" s="140" t="s">
        <v>129</v>
      </c>
      <c r="L280" s="139">
        <v>4500</v>
      </c>
      <c r="M280" s="139" t="s">
        <v>2244</v>
      </c>
      <c r="N280" s="140" t="s">
        <v>164</v>
      </c>
      <c r="O280" s="140" t="s">
        <v>546</v>
      </c>
      <c r="P280" s="140" t="s">
        <v>85</v>
      </c>
    </row>
    <row r="281" spans="1:16" x14ac:dyDescent="0.25">
      <c r="A281" s="10" t="s">
        <v>799</v>
      </c>
      <c r="B281" s="10" t="s">
        <v>273</v>
      </c>
      <c r="C281" s="136" t="s">
        <v>274</v>
      </c>
      <c r="D281" s="136" t="s">
        <v>769</v>
      </c>
      <c r="E281" s="136" t="s">
        <v>76</v>
      </c>
      <c r="F281" s="10" t="s">
        <v>505</v>
      </c>
      <c r="G281" s="10" t="s">
        <v>400</v>
      </c>
      <c r="H281" s="137">
        <v>100</v>
      </c>
      <c r="I281" s="138"/>
      <c r="J281" s="10">
        <v>5500</v>
      </c>
      <c r="K281" s="136" t="s">
        <v>100</v>
      </c>
      <c r="L281" s="10">
        <v>55</v>
      </c>
      <c r="M281" s="10" t="s">
        <v>2219</v>
      </c>
      <c r="N281" s="10" t="s">
        <v>131</v>
      </c>
      <c r="O281" s="10" t="s">
        <v>549</v>
      </c>
      <c r="P281" s="136" t="s">
        <v>85</v>
      </c>
    </row>
    <row r="282" spans="1:16" x14ac:dyDescent="0.25">
      <c r="A282" s="139" t="s">
        <v>799</v>
      </c>
      <c r="B282" s="139" t="s">
        <v>273</v>
      </c>
      <c r="C282" s="140" t="s">
        <v>274</v>
      </c>
      <c r="D282" s="140" t="s">
        <v>769</v>
      </c>
      <c r="E282" s="140" t="s">
        <v>76</v>
      </c>
      <c r="F282" s="139" t="s">
        <v>505</v>
      </c>
      <c r="G282" s="139" t="s">
        <v>504</v>
      </c>
      <c r="H282" s="141">
        <v>400</v>
      </c>
      <c r="I282" s="142"/>
      <c r="J282" s="139">
        <v>5500</v>
      </c>
      <c r="K282" s="140" t="s">
        <v>100</v>
      </c>
      <c r="L282" s="139">
        <v>55</v>
      </c>
      <c r="M282" s="139" t="s">
        <v>2219</v>
      </c>
      <c r="N282" s="139" t="s">
        <v>131</v>
      </c>
      <c r="O282" s="139" t="s">
        <v>549</v>
      </c>
      <c r="P282" s="140" t="s">
        <v>85</v>
      </c>
    </row>
    <row r="283" spans="1:16" x14ac:dyDescent="0.25">
      <c r="A283" s="10" t="s">
        <v>799</v>
      </c>
      <c r="B283" s="10" t="s">
        <v>273</v>
      </c>
      <c r="C283" s="136" t="s">
        <v>274</v>
      </c>
      <c r="D283" s="136" t="s">
        <v>769</v>
      </c>
      <c r="E283" s="136" t="s">
        <v>76</v>
      </c>
      <c r="F283" s="10" t="s">
        <v>505</v>
      </c>
      <c r="G283" s="10" t="s">
        <v>515</v>
      </c>
      <c r="H283" s="137">
        <v>720</v>
      </c>
      <c r="I283" s="138"/>
      <c r="J283" s="10">
        <v>5513</v>
      </c>
      <c r="K283" s="136" t="s">
        <v>111</v>
      </c>
      <c r="L283" s="10">
        <v>55</v>
      </c>
      <c r="M283" s="10" t="s">
        <v>2219</v>
      </c>
      <c r="N283" s="10" t="s">
        <v>131</v>
      </c>
      <c r="O283" s="10" t="s">
        <v>549</v>
      </c>
      <c r="P283" s="136" t="s">
        <v>85</v>
      </c>
    </row>
    <row r="284" spans="1:16" x14ac:dyDescent="0.25">
      <c r="A284" s="139" t="s">
        <v>799</v>
      </c>
      <c r="B284" s="139" t="s">
        <v>273</v>
      </c>
      <c r="C284" s="140" t="s">
        <v>274</v>
      </c>
      <c r="D284" s="140" t="s">
        <v>769</v>
      </c>
      <c r="E284" s="140" t="s">
        <v>76</v>
      </c>
      <c r="F284" s="139" t="s">
        <v>505</v>
      </c>
      <c r="G284" s="139" t="s">
        <v>516</v>
      </c>
      <c r="H284" s="141">
        <v>920</v>
      </c>
      <c r="I284" s="142"/>
      <c r="J284" s="139">
        <v>5500</v>
      </c>
      <c r="K284" s="140" t="s">
        <v>100</v>
      </c>
      <c r="L284" s="139">
        <v>55</v>
      </c>
      <c r="M284" s="139" t="s">
        <v>2219</v>
      </c>
      <c r="N284" s="139" t="s">
        <v>131</v>
      </c>
      <c r="O284" s="139" t="s">
        <v>549</v>
      </c>
      <c r="P284" s="140" t="s">
        <v>85</v>
      </c>
    </row>
    <row r="285" spans="1:16" x14ac:dyDescent="0.25">
      <c r="A285" s="10" t="s">
        <v>799</v>
      </c>
      <c r="B285" s="10" t="s">
        <v>273</v>
      </c>
      <c r="C285" s="136" t="s">
        <v>274</v>
      </c>
      <c r="D285" s="136" t="s">
        <v>769</v>
      </c>
      <c r="E285" s="136" t="s">
        <v>76</v>
      </c>
      <c r="F285" s="10" t="s">
        <v>505</v>
      </c>
      <c r="G285" s="10" t="s">
        <v>518</v>
      </c>
      <c r="H285" s="137">
        <v>50</v>
      </c>
      <c r="I285" s="138"/>
      <c r="J285" s="10">
        <v>5522</v>
      </c>
      <c r="K285" s="136" t="s">
        <v>115</v>
      </c>
      <c r="L285" s="10">
        <v>55</v>
      </c>
      <c r="M285" s="10" t="s">
        <v>2219</v>
      </c>
      <c r="N285" s="10" t="s">
        <v>131</v>
      </c>
      <c r="O285" s="10" t="s">
        <v>549</v>
      </c>
      <c r="P285" s="136" t="s">
        <v>85</v>
      </c>
    </row>
    <row r="286" spans="1:16" x14ac:dyDescent="0.25">
      <c r="A286" s="139" t="s">
        <v>799</v>
      </c>
      <c r="B286" s="139" t="s">
        <v>273</v>
      </c>
      <c r="C286" s="140" t="s">
        <v>274</v>
      </c>
      <c r="D286" s="140" t="s">
        <v>769</v>
      </c>
      <c r="E286" s="140" t="s">
        <v>76</v>
      </c>
      <c r="F286" s="139" t="s">
        <v>505</v>
      </c>
      <c r="G286" s="139" t="s">
        <v>519</v>
      </c>
      <c r="H286" s="141">
        <v>400</v>
      </c>
      <c r="I286" s="142"/>
      <c r="J286" s="139">
        <v>5525</v>
      </c>
      <c r="K286" s="140" t="s">
        <v>118</v>
      </c>
      <c r="L286" s="139">
        <v>55</v>
      </c>
      <c r="M286" s="139" t="s">
        <v>2219</v>
      </c>
      <c r="N286" s="139" t="s">
        <v>131</v>
      </c>
      <c r="O286" s="139" t="s">
        <v>549</v>
      </c>
      <c r="P286" s="140" t="s">
        <v>85</v>
      </c>
    </row>
    <row r="287" spans="1:16" x14ac:dyDescent="0.25">
      <c r="A287" s="10" t="s">
        <v>799</v>
      </c>
      <c r="B287" s="10" t="s">
        <v>273</v>
      </c>
      <c r="C287" s="136" t="s">
        <v>274</v>
      </c>
      <c r="D287" s="136" t="s">
        <v>769</v>
      </c>
      <c r="E287" s="136" t="s">
        <v>76</v>
      </c>
      <c r="F287" s="10" t="s">
        <v>505</v>
      </c>
      <c r="G287" s="10" t="s">
        <v>520</v>
      </c>
      <c r="H287" s="137">
        <v>200</v>
      </c>
      <c r="I287" s="138"/>
      <c r="J287" s="10">
        <v>5525</v>
      </c>
      <c r="K287" s="136" t="s">
        <v>118</v>
      </c>
      <c r="L287" s="10">
        <v>55</v>
      </c>
      <c r="M287" s="10" t="s">
        <v>2219</v>
      </c>
      <c r="N287" s="10" t="s">
        <v>131</v>
      </c>
      <c r="O287" s="10" t="s">
        <v>549</v>
      </c>
      <c r="P287" s="136" t="s">
        <v>85</v>
      </c>
    </row>
    <row r="288" spans="1:16" x14ac:dyDescent="0.25">
      <c r="A288" s="139" t="s">
        <v>799</v>
      </c>
      <c r="B288" s="139" t="s">
        <v>273</v>
      </c>
      <c r="C288" s="140" t="s">
        <v>274</v>
      </c>
      <c r="D288" s="140" t="s">
        <v>769</v>
      </c>
      <c r="E288" s="140" t="s">
        <v>76</v>
      </c>
      <c r="F288" s="139" t="s">
        <v>505</v>
      </c>
      <c r="G288" s="139" t="s">
        <v>521</v>
      </c>
      <c r="H288" s="141">
        <v>900</v>
      </c>
      <c r="I288" s="142"/>
      <c r="J288" s="139">
        <v>5525</v>
      </c>
      <c r="K288" s="140" t="s">
        <v>118</v>
      </c>
      <c r="L288" s="139">
        <v>55</v>
      </c>
      <c r="M288" s="139" t="s">
        <v>2219</v>
      </c>
      <c r="N288" s="139" t="s">
        <v>131</v>
      </c>
      <c r="O288" s="139" t="s">
        <v>549</v>
      </c>
      <c r="P288" s="140" t="s">
        <v>85</v>
      </c>
    </row>
    <row r="289" spans="1:16" x14ac:dyDescent="0.25">
      <c r="A289" s="10" t="s">
        <v>799</v>
      </c>
      <c r="B289" s="10" t="s">
        <v>273</v>
      </c>
      <c r="C289" s="136" t="s">
        <v>274</v>
      </c>
      <c r="D289" s="136" t="s">
        <v>769</v>
      </c>
      <c r="E289" s="136" t="s">
        <v>76</v>
      </c>
      <c r="F289" s="10" t="s">
        <v>505</v>
      </c>
      <c r="G289" s="10" t="s">
        <v>522</v>
      </c>
      <c r="H289" s="137">
        <v>400</v>
      </c>
      <c r="I289" s="138"/>
      <c r="J289" s="10">
        <v>5525</v>
      </c>
      <c r="K289" s="136" t="s">
        <v>118</v>
      </c>
      <c r="L289" s="10">
        <v>55</v>
      </c>
      <c r="M289" s="10" t="s">
        <v>2219</v>
      </c>
      <c r="N289" s="10" t="s">
        <v>131</v>
      </c>
      <c r="O289" s="10" t="s">
        <v>549</v>
      </c>
      <c r="P289" s="136" t="s">
        <v>85</v>
      </c>
    </row>
    <row r="290" spans="1:16" x14ac:dyDescent="0.25">
      <c r="A290" s="139" t="s">
        <v>799</v>
      </c>
      <c r="B290" s="139" t="s">
        <v>273</v>
      </c>
      <c r="C290" s="140" t="s">
        <v>274</v>
      </c>
      <c r="D290" s="140" t="s">
        <v>769</v>
      </c>
      <c r="E290" s="140" t="s">
        <v>76</v>
      </c>
      <c r="F290" s="139" t="s">
        <v>505</v>
      </c>
      <c r="G290" s="139" t="s">
        <v>506</v>
      </c>
      <c r="H290" s="141">
        <v>10000</v>
      </c>
      <c r="I290" s="142"/>
      <c r="J290" s="139">
        <v>5511</v>
      </c>
      <c r="K290" s="140" t="s">
        <v>106</v>
      </c>
      <c r="L290" s="139">
        <v>55</v>
      </c>
      <c r="M290" s="139" t="s">
        <v>2219</v>
      </c>
      <c r="N290" s="139" t="s">
        <v>131</v>
      </c>
      <c r="O290" s="139" t="s">
        <v>549</v>
      </c>
      <c r="P290" s="140" t="s">
        <v>85</v>
      </c>
    </row>
    <row r="291" spans="1:16" x14ac:dyDescent="0.25">
      <c r="A291" s="10" t="s">
        <v>799</v>
      </c>
      <c r="B291" s="10" t="s">
        <v>273</v>
      </c>
      <c r="C291" s="136" t="s">
        <v>274</v>
      </c>
      <c r="D291" s="136" t="s">
        <v>769</v>
      </c>
      <c r="E291" s="136" t="s">
        <v>76</v>
      </c>
      <c r="F291" s="10" t="s">
        <v>505</v>
      </c>
      <c r="G291" s="10" t="s">
        <v>507</v>
      </c>
      <c r="H291" s="137">
        <v>460</v>
      </c>
      <c r="I291" s="138"/>
      <c r="J291" s="10">
        <v>5511</v>
      </c>
      <c r="K291" s="136" t="s">
        <v>106</v>
      </c>
      <c r="L291" s="10">
        <v>55</v>
      </c>
      <c r="M291" s="10" t="s">
        <v>2219</v>
      </c>
      <c r="N291" s="10" t="s">
        <v>131</v>
      </c>
      <c r="O291" s="10" t="s">
        <v>549</v>
      </c>
      <c r="P291" s="136" t="s">
        <v>85</v>
      </c>
    </row>
    <row r="292" spans="1:16" x14ac:dyDescent="0.25">
      <c r="A292" s="139" t="s">
        <v>799</v>
      </c>
      <c r="B292" s="139" t="s">
        <v>273</v>
      </c>
      <c r="C292" s="140" t="s">
        <v>274</v>
      </c>
      <c r="D292" s="140" t="s">
        <v>769</v>
      </c>
      <c r="E292" s="140" t="s">
        <v>76</v>
      </c>
      <c r="F292" s="139" t="s">
        <v>505</v>
      </c>
      <c r="G292" s="139" t="s">
        <v>508</v>
      </c>
      <c r="H292" s="141">
        <v>700</v>
      </c>
      <c r="I292" s="142"/>
      <c r="J292" s="139">
        <v>5511</v>
      </c>
      <c r="K292" s="140" t="s">
        <v>106</v>
      </c>
      <c r="L292" s="139">
        <v>55</v>
      </c>
      <c r="M292" s="139" t="s">
        <v>2219</v>
      </c>
      <c r="N292" s="139" t="s">
        <v>131</v>
      </c>
      <c r="O292" s="139" t="s">
        <v>549</v>
      </c>
      <c r="P292" s="140" t="s">
        <v>85</v>
      </c>
    </row>
    <row r="293" spans="1:16" x14ac:dyDescent="0.25">
      <c r="A293" s="10" t="s">
        <v>799</v>
      </c>
      <c r="B293" s="10" t="s">
        <v>273</v>
      </c>
      <c r="C293" s="136" t="s">
        <v>274</v>
      </c>
      <c r="D293" s="136" t="s">
        <v>769</v>
      </c>
      <c r="E293" s="136" t="s">
        <v>76</v>
      </c>
      <c r="F293" s="10" t="s">
        <v>505</v>
      </c>
      <c r="G293" s="10" t="s">
        <v>509</v>
      </c>
      <c r="H293" s="137">
        <v>210</v>
      </c>
      <c r="I293" s="138"/>
      <c r="J293" s="10">
        <v>5511</v>
      </c>
      <c r="K293" s="136" t="s">
        <v>106</v>
      </c>
      <c r="L293" s="10">
        <v>55</v>
      </c>
      <c r="M293" s="10" t="s">
        <v>2219</v>
      </c>
      <c r="N293" s="10" t="s">
        <v>131</v>
      </c>
      <c r="O293" s="10" t="s">
        <v>549</v>
      </c>
      <c r="P293" s="136" t="s">
        <v>85</v>
      </c>
    </row>
    <row r="294" spans="1:16" x14ac:dyDescent="0.25">
      <c r="A294" s="139" t="s">
        <v>799</v>
      </c>
      <c r="B294" s="139" t="s">
        <v>273</v>
      </c>
      <c r="C294" s="140" t="s">
        <v>274</v>
      </c>
      <c r="D294" s="140" t="s">
        <v>769</v>
      </c>
      <c r="E294" s="140" t="s">
        <v>76</v>
      </c>
      <c r="F294" s="139" t="s">
        <v>505</v>
      </c>
      <c r="G294" s="139" t="s">
        <v>510</v>
      </c>
      <c r="H294" s="141">
        <v>520</v>
      </c>
      <c r="I294" s="142"/>
      <c r="J294" s="139">
        <v>5511</v>
      </c>
      <c r="K294" s="140" t="s">
        <v>106</v>
      </c>
      <c r="L294" s="139">
        <v>55</v>
      </c>
      <c r="M294" s="139" t="s">
        <v>2219</v>
      </c>
      <c r="N294" s="139" t="s">
        <v>131</v>
      </c>
      <c r="O294" s="139" t="s">
        <v>549</v>
      </c>
      <c r="P294" s="140" t="s">
        <v>85</v>
      </c>
    </row>
    <row r="295" spans="1:16" x14ac:dyDescent="0.25">
      <c r="A295" s="10" t="s">
        <v>799</v>
      </c>
      <c r="B295" s="10" t="s">
        <v>273</v>
      </c>
      <c r="C295" s="136" t="s">
        <v>274</v>
      </c>
      <c r="D295" s="136" t="s">
        <v>769</v>
      </c>
      <c r="E295" s="136" t="s">
        <v>76</v>
      </c>
      <c r="F295" s="10" t="s">
        <v>505</v>
      </c>
      <c r="G295" s="10" t="s">
        <v>511</v>
      </c>
      <c r="H295" s="137">
        <v>738</v>
      </c>
      <c r="I295" s="138"/>
      <c r="J295" s="10">
        <v>5511</v>
      </c>
      <c r="K295" s="136" t="s">
        <v>106</v>
      </c>
      <c r="L295" s="10">
        <v>55</v>
      </c>
      <c r="M295" s="10" t="s">
        <v>2219</v>
      </c>
      <c r="N295" s="10" t="s">
        <v>131</v>
      </c>
      <c r="O295" s="10" t="s">
        <v>549</v>
      </c>
      <c r="P295" s="136" t="s">
        <v>85</v>
      </c>
    </row>
    <row r="296" spans="1:16" x14ac:dyDescent="0.25">
      <c r="A296" s="139" t="s">
        <v>799</v>
      </c>
      <c r="B296" s="139" t="s">
        <v>273</v>
      </c>
      <c r="C296" s="140" t="s">
        <v>274</v>
      </c>
      <c r="D296" s="140" t="s">
        <v>769</v>
      </c>
      <c r="E296" s="140" t="s">
        <v>76</v>
      </c>
      <c r="F296" s="139" t="s">
        <v>505</v>
      </c>
      <c r="G296" s="139" t="s">
        <v>512</v>
      </c>
      <c r="H296" s="141">
        <v>317</v>
      </c>
      <c r="I296" s="142"/>
      <c r="J296" s="139">
        <v>5511</v>
      </c>
      <c r="K296" s="140" t="s">
        <v>106</v>
      </c>
      <c r="L296" s="139">
        <v>55</v>
      </c>
      <c r="M296" s="139" t="s">
        <v>2219</v>
      </c>
      <c r="N296" s="139" t="s">
        <v>131</v>
      </c>
      <c r="O296" s="139" t="s">
        <v>549</v>
      </c>
      <c r="P296" s="140" t="s">
        <v>85</v>
      </c>
    </row>
    <row r="297" spans="1:16" x14ac:dyDescent="0.25">
      <c r="A297" s="10" t="s">
        <v>799</v>
      </c>
      <c r="B297" s="10" t="s">
        <v>273</v>
      </c>
      <c r="C297" s="136" t="s">
        <v>274</v>
      </c>
      <c r="D297" s="136" t="s">
        <v>769</v>
      </c>
      <c r="E297" s="136" t="s">
        <v>76</v>
      </c>
      <c r="F297" s="10" t="s">
        <v>505</v>
      </c>
      <c r="G297" s="10" t="s">
        <v>513</v>
      </c>
      <c r="H297" s="137">
        <v>26.4</v>
      </c>
      <c r="I297" s="138"/>
      <c r="J297" s="10">
        <v>5511</v>
      </c>
      <c r="K297" s="136" t="s">
        <v>106</v>
      </c>
      <c r="L297" s="10">
        <v>55</v>
      </c>
      <c r="M297" s="10" t="s">
        <v>2219</v>
      </c>
      <c r="N297" s="10" t="s">
        <v>131</v>
      </c>
      <c r="O297" s="10" t="s">
        <v>549</v>
      </c>
      <c r="P297" s="136" t="s">
        <v>85</v>
      </c>
    </row>
    <row r="298" spans="1:16" x14ac:dyDescent="0.25">
      <c r="A298" s="139" t="s">
        <v>799</v>
      </c>
      <c r="B298" s="139" t="s">
        <v>273</v>
      </c>
      <c r="C298" s="140" t="s">
        <v>274</v>
      </c>
      <c r="D298" s="140" t="s">
        <v>769</v>
      </c>
      <c r="E298" s="140" t="s">
        <v>76</v>
      </c>
      <c r="F298" s="139" t="s">
        <v>505</v>
      </c>
      <c r="G298" s="139" t="s">
        <v>514</v>
      </c>
      <c r="H298" s="141">
        <v>150</v>
      </c>
      <c r="I298" s="142"/>
      <c r="J298" s="139">
        <v>5511</v>
      </c>
      <c r="K298" s="140" t="s">
        <v>106</v>
      </c>
      <c r="L298" s="139">
        <v>55</v>
      </c>
      <c r="M298" s="139" t="s">
        <v>2219</v>
      </c>
      <c r="N298" s="139" t="s">
        <v>131</v>
      </c>
      <c r="O298" s="139" t="s">
        <v>549</v>
      </c>
      <c r="P298" s="140" t="s">
        <v>85</v>
      </c>
    </row>
    <row r="299" spans="1:16" x14ac:dyDescent="0.25">
      <c r="A299" s="10" t="s">
        <v>799</v>
      </c>
      <c r="B299" s="10" t="s">
        <v>273</v>
      </c>
      <c r="C299" s="136" t="s">
        <v>274</v>
      </c>
      <c r="D299" s="136" t="s">
        <v>769</v>
      </c>
      <c r="E299" s="136" t="s">
        <v>76</v>
      </c>
      <c r="F299" s="10" t="s">
        <v>505</v>
      </c>
      <c r="G299" s="10" t="s">
        <v>517</v>
      </c>
      <c r="H299" s="137">
        <v>300</v>
      </c>
      <c r="I299" s="138"/>
      <c r="J299" s="10">
        <v>5514</v>
      </c>
      <c r="K299" s="136" t="s">
        <v>110</v>
      </c>
      <c r="L299" s="10">
        <v>55</v>
      </c>
      <c r="M299" s="10" t="s">
        <v>2219</v>
      </c>
      <c r="N299" s="10" t="s">
        <v>131</v>
      </c>
      <c r="O299" s="10" t="s">
        <v>549</v>
      </c>
      <c r="P299" s="136" t="s">
        <v>85</v>
      </c>
    </row>
    <row r="300" spans="1:16" x14ac:dyDescent="0.25">
      <c r="A300" s="139" t="s">
        <v>799</v>
      </c>
      <c r="B300" s="139" t="s">
        <v>275</v>
      </c>
      <c r="C300" s="140" t="s">
        <v>276</v>
      </c>
      <c r="D300" s="140" t="s">
        <v>769</v>
      </c>
      <c r="E300" s="140" t="s">
        <v>76</v>
      </c>
      <c r="F300" s="139" t="s">
        <v>648</v>
      </c>
      <c r="G300" s="139" t="s">
        <v>649</v>
      </c>
      <c r="H300" s="141">
        <v>3000</v>
      </c>
      <c r="I300" s="142"/>
      <c r="J300" s="139">
        <v>5511</v>
      </c>
      <c r="K300" s="140" t="s">
        <v>106</v>
      </c>
      <c r="L300" s="139">
        <v>55</v>
      </c>
      <c r="M300" s="139" t="s">
        <v>2219</v>
      </c>
      <c r="N300" s="140" t="s">
        <v>131</v>
      </c>
      <c r="O300" s="140" t="s">
        <v>549</v>
      </c>
      <c r="P300" s="140" t="s">
        <v>85</v>
      </c>
    </row>
    <row r="301" spans="1:16" x14ac:dyDescent="0.25">
      <c r="A301" s="10" t="s">
        <v>799</v>
      </c>
      <c r="B301" s="10" t="s">
        <v>275</v>
      </c>
      <c r="C301" s="136" t="s">
        <v>276</v>
      </c>
      <c r="D301" s="136" t="s">
        <v>769</v>
      </c>
      <c r="E301" s="136" t="s">
        <v>76</v>
      </c>
      <c r="F301" s="10" t="s">
        <v>648</v>
      </c>
      <c r="G301" s="10" t="s">
        <v>650</v>
      </c>
      <c r="H301" s="137">
        <v>1500</v>
      </c>
      <c r="I301" s="138"/>
      <c r="J301" s="10">
        <v>5511</v>
      </c>
      <c r="K301" s="136" t="s">
        <v>106</v>
      </c>
      <c r="L301" s="10">
        <v>55</v>
      </c>
      <c r="M301" s="10" t="s">
        <v>2219</v>
      </c>
      <c r="N301" s="136" t="s">
        <v>131</v>
      </c>
      <c r="O301" s="136" t="s">
        <v>549</v>
      </c>
      <c r="P301" s="136" t="s">
        <v>85</v>
      </c>
    </row>
    <row r="302" spans="1:16" x14ac:dyDescent="0.25">
      <c r="A302" s="139" t="s">
        <v>799</v>
      </c>
      <c r="B302" s="139" t="s">
        <v>275</v>
      </c>
      <c r="C302" s="140" t="s">
        <v>276</v>
      </c>
      <c r="D302" s="140" t="s">
        <v>769</v>
      </c>
      <c r="E302" s="140" t="s">
        <v>76</v>
      </c>
      <c r="F302" s="139" t="s">
        <v>648</v>
      </c>
      <c r="G302" s="139" t="s">
        <v>198</v>
      </c>
      <c r="H302" s="141">
        <v>300</v>
      </c>
      <c r="I302" s="142"/>
      <c r="J302" s="139">
        <v>5511</v>
      </c>
      <c r="K302" s="140" t="s">
        <v>106</v>
      </c>
      <c r="L302" s="139">
        <v>55</v>
      </c>
      <c r="M302" s="139" t="s">
        <v>2219</v>
      </c>
      <c r="N302" s="140" t="s">
        <v>131</v>
      </c>
      <c r="O302" s="140" t="s">
        <v>549</v>
      </c>
      <c r="P302" s="140" t="s">
        <v>85</v>
      </c>
    </row>
    <row r="303" spans="1:16" x14ac:dyDescent="0.25">
      <c r="A303" s="10" t="s">
        <v>799</v>
      </c>
      <c r="B303" s="10" t="s">
        <v>275</v>
      </c>
      <c r="C303" s="136" t="s">
        <v>276</v>
      </c>
      <c r="D303" s="136" t="s">
        <v>769</v>
      </c>
      <c r="E303" s="136" t="s">
        <v>76</v>
      </c>
      <c r="F303" s="10" t="s">
        <v>648</v>
      </c>
      <c r="G303" s="10" t="s">
        <v>651</v>
      </c>
      <c r="H303" s="137">
        <v>785</v>
      </c>
      <c r="I303" s="138"/>
      <c r="J303" s="10">
        <v>5511</v>
      </c>
      <c r="K303" s="136" t="s">
        <v>106</v>
      </c>
      <c r="L303" s="10">
        <v>55</v>
      </c>
      <c r="M303" s="10" t="s">
        <v>2219</v>
      </c>
      <c r="N303" s="136" t="s">
        <v>131</v>
      </c>
      <c r="O303" s="136" t="s">
        <v>549</v>
      </c>
      <c r="P303" s="136" t="s">
        <v>85</v>
      </c>
    </row>
    <row r="304" spans="1:16" x14ac:dyDescent="0.25">
      <c r="A304" s="139" t="s">
        <v>799</v>
      </c>
      <c r="B304" s="139" t="s">
        <v>275</v>
      </c>
      <c r="C304" s="140" t="s">
        <v>276</v>
      </c>
      <c r="D304" s="140" t="s">
        <v>769</v>
      </c>
      <c r="E304" s="140" t="s">
        <v>76</v>
      </c>
      <c r="F304" s="139" t="s">
        <v>648</v>
      </c>
      <c r="G304" s="139" t="s">
        <v>652</v>
      </c>
      <c r="H304" s="141">
        <v>15</v>
      </c>
      <c r="I304" s="142"/>
      <c r="J304" s="139">
        <v>5511</v>
      </c>
      <c r="K304" s="140" t="s">
        <v>106</v>
      </c>
      <c r="L304" s="139">
        <v>55</v>
      </c>
      <c r="M304" s="139" t="s">
        <v>2219</v>
      </c>
      <c r="N304" s="140" t="s">
        <v>131</v>
      </c>
      <c r="O304" s="140" t="s">
        <v>549</v>
      </c>
      <c r="P304" s="140" t="s">
        <v>85</v>
      </c>
    </row>
    <row r="305" spans="1:16" x14ac:dyDescent="0.25">
      <c r="A305" s="10" t="s">
        <v>799</v>
      </c>
      <c r="B305" s="10" t="s">
        <v>277</v>
      </c>
      <c r="C305" s="136" t="s">
        <v>781</v>
      </c>
      <c r="D305" s="136" t="s">
        <v>769</v>
      </c>
      <c r="E305" s="136" t="s">
        <v>76</v>
      </c>
      <c r="F305" s="10" t="s">
        <v>770</v>
      </c>
      <c r="G305" s="10" t="s">
        <v>2033</v>
      </c>
      <c r="H305" s="137">
        <v>8000</v>
      </c>
      <c r="I305" s="138"/>
      <c r="J305" s="10">
        <v>4500</v>
      </c>
      <c r="K305" s="136" t="s">
        <v>128</v>
      </c>
      <c r="L305" s="10">
        <v>4500</v>
      </c>
      <c r="M305" s="10" t="s">
        <v>2244</v>
      </c>
      <c r="N305" s="136" t="s">
        <v>164</v>
      </c>
      <c r="O305" s="136" t="s">
        <v>546</v>
      </c>
      <c r="P305" s="136" t="s">
        <v>85</v>
      </c>
    </row>
    <row r="306" spans="1:16" x14ac:dyDescent="0.25">
      <c r="A306" s="139" t="s">
        <v>799</v>
      </c>
      <c r="B306" s="139" t="s">
        <v>278</v>
      </c>
      <c r="C306" s="140" t="s">
        <v>358</v>
      </c>
      <c r="D306" s="140" t="s">
        <v>769</v>
      </c>
      <c r="E306" s="140" t="s">
        <v>76</v>
      </c>
      <c r="F306" s="139" t="s">
        <v>770</v>
      </c>
      <c r="G306" s="139" t="s">
        <v>784</v>
      </c>
      <c r="H306" s="141">
        <v>800</v>
      </c>
      <c r="I306" s="142"/>
      <c r="J306" s="139">
        <v>5540</v>
      </c>
      <c r="K306" s="140" t="s">
        <v>121</v>
      </c>
      <c r="L306" s="139">
        <v>55</v>
      </c>
      <c r="M306" s="139" t="s">
        <v>2219</v>
      </c>
      <c r="N306" s="140" t="s">
        <v>131</v>
      </c>
      <c r="O306" s="140" t="s">
        <v>549</v>
      </c>
      <c r="P306" s="140" t="s">
        <v>85</v>
      </c>
    </row>
    <row r="307" spans="1:16" x14ac:dyDescent="0.25">
      <c r="A307" s="10" t="s">
        <v>799</v>
      </c>
      <c r="B307" s="10" t="s">
        <v>278</v>
      </c>
      <c r="C307" s="136" t="s">
        <v>358</v>
      </c>
      <c r="D307" s="136" t="s">
        <v>769</v>
      </c>
      <c r="E307" s="136" t="s">
        <v>76</v>
      </c>
      <c r="F307" s="10" t="s">
        <v>770</v>
      </c>
      <c r="G307" s="10" t="s">
        <v>785</v>
      </c>
      <c r="H307" s="137">
        <v>1000</v>
      </c>
      <c r="I307" s="138"/>
      <c r="J307" s="10">
        <v>5540</v>
      </c>
      <c r="K307" s="136" t="s">
        <v>121</v>
      </c>
      <c r="L307" s="10">
        <v>55</v>
      </c>
      <c r="M307" s="10" t="s">
        <v>2219</v>
      </c>
      <c r="N307" s="136" t="s">
        <v>131</v>
      </c>
      <c r="O307" s="136" t="s">
        <v>549</v>
      </c>
      <c r="P307" s="136" t="s">
        <v>85</v>
      </c>
    </row>
    <row r="308" spans="1:16" x14ac:dyDescent="0.25">
      <c r="A308" s="139" t="s">
        <v>799</v>
      </c>
      <c r="B308" s="139" t="s">
        <v>278</v>
      </c>
      <c r="C308" s="140" t="s">
        <v>358</v>
      </c>
      <c r="D308" s="140" t="s">
        <v>769</v>
      </c>
      <c r="E308" s="140" t="s">
        <v>76</v>
      </c>
      <c r="F308" s="139" t="s">
        <v>770</v>
      </c>
      <c r="G308" s="139" t="s">
        <v>787</v>
      </c>
      <c r="H308" s="141">
        <v>4000</v>
      </c>
      <c r="I308" s="142"/>
      <c r="J308" s="139">
        <v>5540</v>
      </c>
      <c r="K308" s="140" t="s">
        <v>121</v>
      </c>
      <c r="L308" s="139">
        <v>55</v>
      </c>
      <c r="M308" s="139" t="s">
        <v>2219</v>
      </c>
      <c r="N308" s="140" t="s">
        <v>131</v>
      </c>
      <c r="O308" s="140" t="s">
        <v>549</v>
      </c>
      <c r="P308" s="140" t="s">
        <v>85</v>
      </c>
    </row>
    <row r="309" spans="1:16" x14ac:dyDescent="0.25">
      <c r="A309" s="10" t="s">
        <v>799</v>
      </c>
      <c r="B309" s="10" t="s">
        <v>279</v>
      </c>
      <c r="C309" s="136" t="s">
        <v>280</v>
      </c>
      <c r="D309" s="136" t="s">
        <v>769</v>
      </c>
      <c r="E309" s="136" t="s">
        <v>76</v>
      </c>
      <c r="F309" s="10" t="s">
        <v>770</v>
      </c>
      <c r="G309" s="10" t="s">
        <v>782</v>
      </c>
      <c r="H309" s="137">
        <v>20000</v>
      </c>
      <c r="I309" s="138"/>
      <c r="J309" s="10">
        <v>5540</v>
      </c>
      <c r="K309" s="136" t="s">
        <v>121</v>
      </c>
      <c r="L309" s="10">
        <v>55</v>
      </c>
      <c r="M309" s="10" t="s">
        <v>2219</v>
      </c>
      <c r="N309" s="136" t="s">
        <v>131</v>
      </c>
      <c r="O309" s="136" t="s">
        <v>549</v>
      </c>
      <c r="P309" s="136" t="s">
        <v>85</v>
      </c>
    </row>
    <row r="310" spans="1:16" x14ac:dyDescent="0.25">
      <c r="A310" s="139" t="s">
        <v>799</v>
      </c>
      <c r="B310" s="139" t="s">
        <v>279</v>
      </c>
      <c r="C310" s="140" t="s">
        <v>280</v>
      </c>
      <c r="D310" s="140" t="s">
        <v>769</v>
      </c>
      <c r="E310" s="140" t="s">
        <v>76</v>
      </c>
      <c r="F310" s="139" t="s">
        <v>770</v>
      </c>
      <c r="G310" s="139" t="s">
        <v>783</v>
      </c>
      <c r="H310" s="141">
        <v>29000</v>
      </c>
      <c r="I310" s="142"/>
      <c r="J310" s="139">
        <v>5540</v>
      </c>
      <c r="K310" s="140" t="s">
        <v>121</v>
      </c>
      <c r="L310" s="139">
        <v>55</v>
      </c>
      <c r="M310" s="139" t="s">
        <v>2219</v>
      </c>
      <c r="N310" s="140" t="s">
        <v>131</v>
      </c>
      <c r="O310" s="140" t="s">
        <v>549</v>
      </c>
      <c r="P310" s="140" t="s">
        <v>85</v>
      </c>
    </row>
    <row r="311" spans="1:16" x14ac:dyDescent="0.25">
      <c r="A311" s="10" t="s">
        <v>799</v>
      </c>
      <c r="B311" s="161" t="s">
        <v>776</v>
      </c>
      <c r="C311" s="136" t="s">
        <v>779</v>
      </c>
      <c r="D311" s="136" t="s">
        <v>769</v>
      </c>
      <c r="E311" s="136" t="s">
        <v>76</v>
      </c>
      <c r="F311" s="10" t="s">
        <v>770</v>
      </c>
      <c r="G311" s="10" t="s">
        <v>2032</v>
      </c>
      <c r="H311" s="137">
        <v>26350</v>
      </c>
      <c r="I311" s="138"/>
      <c r="J311" s="10">
        <v>4500</v>
      </c>
      <c r="K311" s="136" t="s">
        <v>128</v>
      </c>
      <c r="L311" s="10">
        <v>4500</v>
      </c>
      <c r="M311" s="10" t="s">
        <v>2244</v>
      </c>
      <c r="N311" s="136" t="s">
        <v>164</v>
      </c>
      <c r="O311" s="136" t="s">
        <v>546</v>
      </c>
      <c r="P311" s="136" t="s">
        <v>85</v>
      </c>
    </row>
    <row r="312" spans="1:16" x14ac:dyDescent="0.25">
      <c r="A312" s="139" t="s">
        <v>799</v>
      </c>
      <c r="B312" s="139" t="s">
        <v>281</v>
      </c>
      <c r="C312" s="140" t="s">
        <v>780</v>
      </c>
      <c r="D312" s="140" t="s">
        <v>577</v>
      </c>
      <c r="E312" s="140" t="s">
        <v>76</v>
      </c>
      <c r="F312" s="139" t="s">
        <v>770</v>
      </c>
      <c r="G312" s="139" t="s">
        <v>788</v>
      </c>
      <c r="H312" s="141">
        <v>2000</v>
      </c>
      <c r="I312" s="142"/>
      <c r="J312" s="139">
        <v>5540</v>
      </c>
      <c r="K312" s="140" t="s">
        <v>121</v>
      </c>
      <c r="L312" s="139">
        <v>55</v>
      </c>
      <c r="M312" s="139" t="s">
        <v>2219</v>
      </c>
      <c r="N312" s="140" t="s">
        <v>131</v>
      </c>
      <c r="O312" s="140" t="s">
        <v>549</v>
      </c>
      <c r="P312" s="140" t="s">
        <v>85</v>
      </c>
    </row>
    <row r="313" spans="1:16" x14ac:dyDescent="0.25">
      <c r="A313" s="10" t="s">
        <v>799</v>
      </c>
      <c r="B313" s="10" t="s">
        <v>281</v>
      </c>
      <c r="C313" s="136" t="s">
        <v>780</v>
      </c>
      <c r="D313" s="136" t="s">
        <v>577</v>
      </c>
      <c r="E313" s="136" t="s">
        <v>76</v>
      </c>
      <c r="F313" s="10" t="s">
        <v>770</v>
      </c>
      <c r="G313" s="10" t="s">
        <v>442</v>
      </c>
      <c r="H313" s="137">
        <v>4020</v>
      </c>
      <c r="I313" s="138"/>
      <c r="J313" s="10">
        <v>5513</v>
      </c>
      <c r="K313" s="136" t="s">
        <v>111</v>
      </c>
      <c r="L313" s="10">
        <v>55</v>
      </c>
      <c r="M313" s="10" t="s">
        <v>2219</v>
      </c>
      <c r="N313" s="136" t="s">
        <v>131</v>
      </c>
      <c r="O313" s="136" t="s">
        <v>549</v>
      </c>
      <c r="P313" s="136" t="s">
        <v>85</v>
      </c>
    </row>
    <row r="314" spans="1:16" x14ac:dyDescent="0.25">
      <c r="A314" s="139" t="s">
        <v>799</v>
      </c>
      <c r="B314" s="139" t="s">
        <v>281</v>
      </c>
      <c r="C314" s="140" t="s">
        <v>780</v>
      </c>
      <c r="D314" s="140" t="s">
        <v>577</v>
      </c>
      <c r="E314" s="140" t="s">
        <v>76</v>
      </c>
      <c r="F314" s="139" t="s">
        <v>770</v>
      </c>
      <c r="G314" s="139" t="s">
        <v>794</v>
      </c>
      <c r="H314" s="141">
        <v>135</v>
      </c>
      <c r="I314" s="142"/>
      <c r="J314" s="139">
        <v>5500</v>
      </c>
      <c r="K314" s="140" t="s">
        <v>100</v>
      </c>
      <c r="L314" s="139">
        <v>55</v>
      </c>
      <c r="M314" s="139" t="s">
        <v>2219</v>
      </c>
      <c r="N314" s="140" t="s">
        <v>131</v>
      </c>
      <c r="O314" s="140" t="s">
        <v>549</v>
      </c>
      <c r="P314" s="140" t="s">
        <v>85</v>
      </c>
    </row>
    <row r="315" spans="1:16" x14ac:dyDescent="0.25">
      <c r="A315" s="10" t="s">
        <v>799</v>
      </c>
      <c r="B315" s="10" t="s">
        <v>281</v>
      </c>
      <c r="C315" s="136" t="s">
        <v>780</v>
      </c>
      <c r="D315" s="136" t="s">
        <v>577</v>
      </c>
      <c r="E315" s="136" t="s">
        <v>76</v>
      </c>
      <c r="F315" s="10" t="s">
        <v>770</v>
      </c>
      <c r="G315" s="10" t="s">
        <v>795</v>
      </c>
      <c r="H315" s="137">
        <v>150</v>
      </c>
      <c r="I315" s="138"/>
      <c r="J315" s="10">
        <v>5504</v>
      </c>
      <c r="K315" s="136" t="s">
        <v>102</v>
      </c>
      <c r="L315" s="10">
        <v>55</v>
      </c>
      <c r="M315" s="10" t="s">
        <v>2219</v>
      </c>
      <c r="N315" s="136" t="s">
        <v>131</v>
      </c>
      <c r="O315" s="136" t="s">
        <v>549</v>
      </c>
      <c r="P315" s="136" t="s">
        <v>85</v>
      </c>
    </row>
    <row r="316" spans="1:16" x14ac:dyDescent="0.25">
      <c r="A316" s="139" t="s">
        <v>799</v>
      </c>
      <c r="B316" s="139" t="s">
        <v>281</v>
      </c>
      <c r="C316" s="140" t="s">
        <v>780</v>
      </c>
      <c r="D316" s="140" t="s">
        <v>577</v>
      </c>
      <c r="E316" s="140" t="s">
        <v>76</v>
      </c>
      <c r="F316" s="139" t="s">
        <v>770</v>
      </c>
      <c r="G316" s="139" t="s">
        <v>2105</v>
      </c>
      <c r="H316" s="141">
        <v>700</v>
      </c>
      <c r="I316" s="142" t="s">
        <v>2106</v>
      </c>
      <c r="J316" s="139">
        <v>5515</v>
      </c>
      <c r="K316" s="140" t="s">
        <v>112</v>
      </c>
      <c r="L316" s="139">
        <v>55</v>
      </c>
      <c r="M316" s="139" t="s">
        <v>2219</v>
      </c>
      <c r="N316" s="140" t="s">
        <v>131</v>
      </c>
      <c r="O316" s="140" t="s">
        <v>549</v>
      </c>
      <c r="P316" s="140" t="s">
        <v>85</v>
      </c>
    </row>
    <row r="317" spans="1:16" x14ac:dyDescent="0.25">
      <c r="A317" s="10" t="s">
        <v>799</v>
      </c>
      <c r="B317" s="10" t="s">
        <v>284</v>
      </c>
      <c r="C317" s="136" t="s">
        <v>285</v>
      </c>
      <c r="D317" s="136" t="s">
        <v>577</v>
      </c>
      <c r="E317" s="136" t="s">
        <v>76</v>
      </c>
      <c r="F317" s="10" t="s">
        <v>770</v>
      </c>
      <c r="G317" s="10" t="s">
        <v>775</v>
      </c>
      <c r="H317" s="137">
        <v>4000</v>
      </c>
      <c r="I317" s="138"/>
      <c r="J317" s="10">
        <v>4500</v>
      </c>
      <c r="K317" s="136" t="s">
        <v>128</v>
      </c>
      <c r="L317" s="10">
        <v>4500</v>
      </c>
      <c r="M317" s="10" t="s">
        <v>2244</v>
      </c>
      <c r="N317" s="136" t="s">
        <v>164</v>
      </c>
      <c r="O317" s="136" t="s">
        <v>546</v>
      </c>
      <c r="P317" s="136" t="s">
        <v>85</v>
      </c>
    </row>
    <row r="318" spans="1:16" x14ac:dyDescent="0.25">
      <c r="A318" s="139" t="s">
        <v>799</v>
      </c>
      <c r="B318" s="139" t="s">
        <v>642</v>
      </c>
      <c r="C318" s="140" t="s">
        <v>778</v>
      </c>
      <c r="D318" s="140" t="s">
        <v>577</v>
      </c>
      <c r="E318" s="140" t="s">
        <v>76</v>
      </c>
      <c r="F318" s="139" t="s">
        <v>770</v>
      </c>
      <c r="G318" s="139" t="s">
        <v>774</v>
      </c>
      <c r="H318" s="141">
        <v>1500</v>
      </c>
      <c r="I318" s="142"/>
      <c r="J318" s="139">
        <v>5521</v>
      </c>
      <c r="K318" s="140" t="s">
        <v>114</v>
      </c>
      <c r="L318" s="139">
        <v>55</v>
      </c>
      <c r="M318" s="139" t="s">
        <v>2219</v>
      </c>
      <c r="N318" s="140" t="s">
        <v>131</v>
      </c>
      <c r="O318" s="140" t="s">
        <v>549</v>
      </c>
      <c r="P318" s="140" t="s">
        <v>85</v>
      </c>
    </row>
    <row r="319" spans="1:16" x14ac:dyDescent="0.25">
      <c r="A319" s="10" t="s">
        <v>799</v>
      </c>
      <c r="B319" s="10" t="s">
        <v>642</v>
      </c>
      <c r="C319" s="136" t="s">
        <v>778</v>
      </c>
      <c r="D319" s="136" t="s">
        <v>577</v>
      </c>
      <c r="E319" s="136" t="s">
        <v>76</v>
      </c>
      <c r="F319" s="10" t="s">
        <v>770</v>
      </c>
      <c r="G319" s="10" t="s">
        <v>772</v>
      </c>
      <c r="H319" s="137">
        <v>700</v>
      </c>
      <c r="I319" s="138"/>
      <c r="J319" s="10">
        <v>5511</v>
      </c>
      <c r="K319" s="136" t="s">
        <v>106</v>
      </c>
      <c r="L319" s="10">
        <v>55</v>
      </c>
      <c r="M319" s="10" t="s">
        <v>2219</v>
      </c>
      <c r="N319" s="136" t="s">
        <v>131</v>
      </c>
      <c r="O319" s="136" t="s">
        <v>549</v>
      </c>
      <c r="P319" s="136" t="s">
        <v>85</v>
      </c>
    </row>
    <row r="320" spans="1:16" x14ac:dyDescent="0.25">
      <c r="A320" s="139" t="s">
        <v>799</v>
      </c>
      <c r="B320" s="160" t="s">
        <v>773</v>
      </c>
      <c r="C320" s="140" t="s">
        <v>777</v>
      </c>
      <c r="D320" s="140" t="s">
        <v>577</v>
      </c>
      <c r="E320" s="140" t="s">
        <v>76</v>
      </c>
      <c r="F320" s="139" t="s">
        <v>770</v>
      </c>
      <c r="G320" s="139" t="s">
        <v>768</v>
      </c>
      <c r="H320" s="141">
        <v>87252</v>
      </c>
      <c r="I320" s="142"/>
      <c r="J320" s="139">
        <v>4500</v>
      </c>
      <c r="K320" s="140" t="s">
        <v>128</v>
      </c>
      <c r="L320" s="139">
        <v>4500</v>
      </c>
      <c r="M320" s="139" t="s">
        <v>2244</v>
      </c>
      <c r="N320" s="140" t="s">
        <v>164</v>
      </c>
      <c r="O320" s="140" t="s">
        <v>546</v>
      </c>
      <c r="P320" s="140" t="s">
        <v>85</v>
      </c>
    </row>
    <row r="321" spans="1:16" x14ac:dyDescent="0.25">
      <c r="A321" s="10" t="s">
        <v>799</v>
      </c>
      <c r="B321" s="10" t="s">
        <v>286</v>
      </c>
      <c r="C321" s="136" t="s">
        <v>287</v>
      </c>
      <c r="D321" s="136" t="s">
        <v>789</v>
      </c>
      <c r="E321" s="136" t="s">
        <v>76</v>
      </c>
      <c r="F321" s="10" t="s">
        <v>818</v>
      </c>
      <c r="G321" s="10" t="s">
        <v>2002</v>
      </c>
      <c r="H321" s="137">
        <v>21000</v>
      </c>
      <c r="I321" s="138"/>
      <c r="J321" s="10">
        <v>5525</v>
      </c>
      <c r="K321" s="136" t="s">
        <v>118</v>
      </c>
      <c r="L321" s="10">
        <v>55</v>
      </c>
      <c r="M321" s="10" t="s">
        <v>2219</v>
      </c>
      <c r="N321" s="136" t="s">
        <v>131</v>
      </c>
      <c r="O321" s="136" t="s">
        <v>549</v>
      </c>
      <c r="P321" s="136" t="s">
        <v>85</v>
      </c>
    </row>
    <row r="322" spans="1:16" x14ac:dyDescent="0.25">
      <c r="A322" s="139" t="s">
        <v>799</v>
      </c>
      <c r="B322" s="139" t="s">
        <v>286</v>
      </c>
      <c r="C322" s="140" t="s">
        <v>287</v>
      </c>
      <c r="D322" s="140" t="s">
        <v>789</v>
      </c>
      <c r="E322" s="140" t="s">
        <v>76</v>
      </c>
      <c r="F322" s="139" t="s">
        <v>818</v>
      </c>
      <c r="G322" s="139" t="s">
        <v>2003</v>
      </c>
      <c r="H322" s="141">
        <v>5000</v>
      </c>
      <c r="I322" s="142"/>
      <c r="J322" s="139">
        <v>5525</v>
      </c>
      <c r="K322" s="140" t="s">
        <v>118</v>
      </c>
      <c r="L322" s="139">
        <v>55</v>
      </c>
      <c r="M322" s="139" t="s">
        <v>2219</v>
      </c>
      <c r="N322" s="140" t="s">
        <v>131</v>
      </c>
      <c r="O322" s="140" t="s">
        <v>549</v>
      </c>
      <c r="P322" s="140" t="s">
        <v>85</v>
      </c>
    </row>
    <row r="323" spans="1:16" x14ac:dyDescent="0.25">
      <c r="A323" s="10" t="s">
        <v>799</v>
      </c>
      <c r="B323" s="10" t="s">
        <v>286</v>
      </c>
      <c r="C323" s="136" t="s">
        <v>287</v>
      </c>
      <c r="D323" s="136" t="s">
        <v>789</v>
      </c>
      <c r="E323" s="136" t="s">
        <v>76</v>
      </c>
      <c r="F323" s="10" t="s">
        <v>1845</v>
      </c>
      <c r="G323" s="10" t="s">
        <v>2195</v>
      </c>
      <c r="H323" s="137">
        <v>4500</v>
      </c>
      <c r="I323" s="138"/>
      <c r="J323" s="10">
        <v>5525</v>
      </c>
      <c r="K323" s="136" t="s">
        <v>118</v>
      </c>
      <c r="L323" s="10">
        <v>55</v>
      </c>
      <c r="M323" s="10" t="s">
        <v>2219</v>
      </c>
      <c r="N323" s="136" t="s">
        <v>131</v>
      </c>
      <c r="O323" s="136" t="s">
        <v>549</v>
      </c>
      <c r="P323" s="136" t="s">
        <v>85</v>
      </c>
    </row>
    <row r="324" spans="1:16" x14ac:dyDescent="0.25">
      <c r="A324" s="139" t="s">
        <v>799</v>
      </c>
      <c r="B324" s="139" t="s">
        <v>286</v>
      </c>
      <c r="C324" s="140" t="s">
        <v>287</v>
      </c>
      <c r="D324" s="140" t="s">
        <v>789</v>
      </c>
      <c r="E324" s="140" t="s">
        <v>76</v>
      </c>
      <c r="F324" s="139" t="s">
        <v>818</v>
      </c>
      <c r="G324" s="139" t="s">
        <v>2196</v>
      </c>
      <c r="H324" s="141">
        <v>1500</v>
      </c>
      <c r="I324" s="142"/>
      <c r="J324" s="139">
        <v>5525</v>
      </c>
      <c r="K324" s="140" t="s">
        <v>118</v>
      </c>
      <c r="L324" s="139">
        <v>55</v>
      </c>
      <c r="M324" s="139" t="s">
        <v>2219</v>
      </c>
      <c r="N324" s="140" t="s">
        <v>131</v>
      </c>
      <c r="O324" s="140" t="s">
        <v>549</v>
      </c>
      <c r="P324" s="140" t="s">
        <v>85</v>
      </c>
    </row>
    <row r="325" spans="1:16" x14ac:dyDescent="0.25">
      <c r="A325" s="10" t="s">
        <v>799</v>
      </c>
      <c r="B325" s="10" t="s">
        <v>288</v>
      </c>
      <c r="C325" s="136" t="s">
        <v>289</v>
      </c>
      <c r="D325" s="136" t="s">
        <v>789</v>
      </c>
      <c r="E325" s="136" t="s">
        <v>76</v>
      </c>
      <c r="F325" s="10" t="s">
        <v>2096</v>
      </c>
      <c r="G325" s="10" t="s">
        <v>2097</v>
      </c>
      <c r="H325" s="137">
        <v>12360</v>
      </c>
      <c r="I325" s="138"/>
      <c r="J325" s="10">
        <v>45008</v>
      </c>
      <c r="K325" s="136" t="s">
        <v>129</v>
      </c>
      <c r="L325" s="10">
        <v>4500</v>
      </c>
      <c r="M325" s="10" t="s">
        <v>2244</v>
      </c>
      <c r="N325" s="136" t="s">
        <v>164</v>
      </c>
      <c r="O325" s="136" t="s">
        <v>546</v>
      </c>
      <c r="P325" s="136" t="s">
        <v>85</v>
      </c>
    </row>
    <row r="326" spans="1:16" x14ac:dyDescent="0.25">
      <c r="A326" s="139" t="s">
        <v>799</v>
      </c>
      <c r="B326" s="139" t="s">
        <v>288</v>
      </c>
      <c r="C326" s="140" t="s">
        <v>289</v>
      </c>
      <c r="D326" s="140" t="s">
        <v>789</v>
      </c>
      <c r="E326" s="140" t="s">
        <v>76</v>
      </c>
      <c r="F326" s="139" t="s">
        <v>2096</v>
      </c>
      <c r="G326" s="139" t="s">
        <v>2098</v>
      </c>
      <c r="H326" s="141">
        <v>1250</v>
      </c>
      <c r="I326" s="142" t="s">
        <v>2099</v>
      </c>
      <c r="J326" s="139">
        <v>45008</v>
      </c>
      <c r="K326" s="140" t="s">
        <v>129</v>
      </c>
      <c r="L326" s="139">
        <v>4500</v>
      </c>
      <c r="M326" s="139" t="s">
        <v>2244</v>
      </c>
      <c r="N326" s="140" t="s">
        <v>164</v>
      </c>
      <c r="O326" s="140" t="s">
        <v>546</v>
      </c>
      <c r="P326" s="140" t="s">
        <v>85</v>
      </c>
    </row>
    <row r="327" spans="1:16" x14ac:dyDescent="0.25">
      <c r="A327" s="10" t="s">
        <v>799</v>
      </c>
      <c r="B327" s="10" t="s">
        <v>290</v>
      </c>
      <c r="C327" s="136" t="s">
        <v>291</v>
      </c>
      <c r="D327" s="136" t="s">
        <v>789</v>
      </c>
      <c r="E327" s="136" t="s">
        <v>76</v>
      </c>
      <c r="F327" s="10" t="s">
        <v>841</v>
      </c>
      <c r="G327" s="10" t="s">
        <v>550</v>
      </c>
      <c r="H327" s="137">
        <v>1500</v>
      </c>
      <c r="I327" s="138"/>
      <c r="J327" s="10">
        <v>5511</v>
      </c>
      <c r="K327" s="136" t="s">
        <v>106</v>
      </c>
      <c r="L327" s="10">
        <v>55</v>
      </c>
      <c r="M327" s="10" t="s">
        <v>2219</v>
      </c>
      <c r="N327" s="136" t="s">
        <v>131</v>
      </c>
      <c r="O327" s="136" t="s">
        <v>549</v>
      </c>
      <c r="P327" s="136" t="s">
        <v>85</v>
      </c>
    </row>
    <row r="328" spans="1:16" x14ac:dyDescent="0.25">
      <c r="A328" s="139" t="s">
        <v>799</v>
      </c>
      <c r="B328" s="139" t="s">
        <v>290</v>
      </c>
      <c r="C328" s="140" t="s">
        <v>291</v>
      </c>
      <c r="D328" s="140" t="s">
        <v>789</v>
      </c>
      <c r="E328" s="140" t="s">
        <v>76</v>
      </c>
      <c r="F328" s="139" t="s">
        <v>841</v>
      </c>
      <c r="G328" s="139" t="s">
        <v>943</v>
      </c>
      <c r="H328" s="141">
        <v>3000</v>
      </c>
      <c r="I328" s="142"/>
      <c r="J328" s="139">
        <v>5512</v>
      </c>
      <c r="K328" s="140" t="s">
        <v>109</v>
      </c>
      <c r="L328" s="139">
        <v>55</v>
      </c>
      <c r="M328" s="139" t="s">
        <v>2219</v>
      </c>
      <c r="N328" s="140" t="s">
        <v>131</v>
      </c>
      <c r="O328" s="140" t="s">
        <v>549</v>
      </c>
      <c r="P328" s="140" t="s">
        <v>85</v>
      </c>
    </row>
    <row r="329" spans="1:16" x14ac:dyDescent="0.25">
      <c r="A329" s="10" t="s">
        <v>799</v>
      </c>
      <c r="B329" s="10" t="s">
        <v>294</v>
      </c>
      <c r="C329" s="136" t="s">
        <v>295</v>
      </c>
      <c r="D329" s="136" t="s">
        <v>789</v>
      </c>
      <c r="E329" s="136" t="s">
        <v>76</v>
      </c>
      <c r="F329" s="10" t="s">
        <v>1845</v>
      </c>
      <c r="G329" s="10" t="s">
        <v>1951</v>
      </c>
      <c r="H329" s="137">
        <v>1000</v>
      </c>
      <c r="I329" s="138"/>
      <c r="J329" s="10">
        <v>45008</v>
      </c>
      <c r="K329" s="136" t="s">
        <v>129</v>
      </c>
      <c r="L329" s="10">
        <v>4500</v>
      </c>
      <c r="M329" s="10" t="s">
        <v>2244</v>
      </c>
      <c r="N329" s="136" t="s">
        <v>164</v>
      </c>
      <c r="O329" s="136" t="s">
        <v>546</v>
      </c>
      <c r="P329" s="136" t="s">
        <v>85</v>
      </c>
    </row>
    <row r="330" spans="1:16" x14ac:dyDescent="0.25">
      <c r="A330" s="139" t="s">
        <v>799</v>
      </c>
      <c r="B330" s="139" t="s">
        <v>294</v>
      </c>
      <c r="C330" s="140" t="s">
        <v>295</v>
      </c>
      <c r="D330" s="140" t="s">
        <v>789</v>
      </c>
      <c r="E330" s="140" t="s">
        <v>76</v>
      </c>
      <c r="F330" s="139" t="s">
        <v>1845</v>
      </c>
      <c r="G330" s="139" t="s">
        <v>1952</v>
      </c>
      <c r="H330" s="141">
        <v>1000</v>
      </c>
      <c r="I330" s="142"/>
      <c r="J330" s="139">
        <v>5500</v>
      </c>
      <c r="K330" s="140" t="s">
        <v>100</v>
      </c>
      <c r="L330" s="139">
        <v>55</v>
      </c>
      <c r="M330" s="139" t="s">
        <v>2219</v>
      </c>
      <c r="N330" s="140" t="s">
        <v>131</v>
      </c>
      <c r="O330" s="140" t="s">
        <v>549</v>
      </c>
      <c r="P330" s="140" t="s">
        <v>85</v>
      </c>
    </row>
    <row r="331" spans="1:16" x14ac:dyDescent="0.25">
      <c r="A331" s="10" t="s">
        <v>799</v>
      </c>
      <c r="B331" s="161" t="s">
        <v>2107</v>
      </c>
      <c r="C331" s="136" t="s">
        <v>2108</v>
      </c>
      <c r="D331" s="136" t="s">
        <v>789</v>
      </c>
      <c r="E331" s="136" t="s">
        <v>76</v>
      </c>
      <c r="F331" s="10" t="s">
        <v>2096</v>
      </c>
      <c r="G331" s="10" t="s">
        <v>2109</v>
      </c>
      <c r="H331" s="137">
        <v>8000</v>
      </c>
      <c r="I331" s="138"/>
      <c r="J331" s="10">
        <v>45008</v>
      </c>
      <c r="K331" s="136" t="s">
        <v>129</v>
      </c>
      <c r="L331" s="10">
        <v>4500</v>
      </c>
      <c r="M331" s="10" t="s">
        <v>2244</v>
      </c>
      <c r="N331" s="136" t="s">
        <v>164</v>
      </c>
      <c r="O331" s="136" t="s">
        <v>546</v>
      </c>
      <c r="P331" s="136" t="s">
        <v>85</v>
      </c>
    </row>
    <row r="332" spans="1:16" x14ac:dyDescent="0.25">
      <c r="A332" s="139" t="s">
        <v>799</v>
      </c>
      <c r="B332" s="139" t="s">
        <v>296</v>
      </c>
      <c r="C332" s="140" t="s">
        <v>297</v>
      </c>
      <c r="D332" s="140" t="s">
        <v>460</v>
      </c>
      <c r="E332" s="140" t="s">
        <v>76</v>
      </c>
      <c r="F332" s="139" t="s">
        <v>1055</v>
      </c>
      <c r="G332" s="139" t="s">
        <v>1056</v>
      </c>
      <c r="H332" s="141">
        <v>9000</v>
      </c>
      <c r="I332" s="142"/>
      <c r="J332" s="139">
        <v>5511</v>
      </c>
      <c r="K332" s="140" t="s">
        <v>106</v>
      </c>
      <c r="L332" s="139">
        <v>55</v>
      </c>
      <c r="M332" s="139" t="s">
        <v>2219</v>
      </c>
      <c r="N332" s="140" t="s">
        <v>131</v>
      </c>
      <c r="O332" s="140" t="s">
        <v>549</v>
      </c>
      <c r="P332" s="140" t="s">
        <v>85</v>
      </c>
    </row>
    <row r="333" spans="1:16" x14ac:dyDescent="0.25">
      <c r="A333" s="10" t="s">
        <v>799</v>
      </c>
      <c r="B333" s="10" t="s">
        <v>296</v>
      </c>
      <c r="C333" s="136" t="s">
        <v>297</v>
      </c>
      <c r="D333" s="136" t="s">
        <v>460</v>
      </c>
      <c r="E333" s="136" t="s">
        <v>76</v>
      </c>
      <c r="F333" s="10" t="s">
        <v>1055</v>
      </c>
      <c r="G333" s="10" t="s">
        <v>943</v>
      </c>
      <c r="H333" s="137">
        <v>2000</v>
      </c>
      <c r="I333" s="138"/>
      <c r="J333" s="10">
        <v>5511</v>
      </c>
      <c r="K333" s="136" t="s">
        <v>106</v>
      </c>
      <c r="L333" s="10">
        <v>55</v>
      </c>
      <c r="M333" s="10" t="s">
        <v>2219</v>
      </c>
      <c r="N333" s="136" t="s">
        <v>131</v>
      </c>
      <c r="O333" s="136" t="s">
        <v>549</v>
      </c>
      <c r="P333" s="136" t="s">
        <v>85</v>
      </c>
    </row>
    <row r="334" spans="1:16" x14ac:dyDescent="0.25">
      <c r="A334" s="139" t="s">
        <v>799</v>
      </c>
      <c r="B334" s="139" t="s">
        <v>296</v>
      </c>
      <c r="C334" s="140" t="s">
        <v>297</v>
      </c>
      <c r="D334" s="140" t="s">
        <v>460</v>
      </c>
      <c r="E334" s="140" t="s">
        <v>76</v>
      </c>
      <c r="F334" s="139" t="s">
        <v>1055</v>
      </c>
      <c r="G334" s="139" t="s">
        <v>1057</v>
      </c>
      <c r="H334" s="141">
        <v>120</v>
      </c>
      <c r="I334" s="142"/>
      <c r="J334" s="139">
        <v>5511</v>
      </c>
      <c r="K334" s="140" t="s">
        <v>106</v>
      </c>
      <c r="L334" s="139">
        <v>55</v>
      </c>
      <c r="M334" s="139" t="s">
        <v>2219</v>
      </c>
      <c r="N334" s="140" t="s">
        <v>131</v>
      </c>
      <c r="O334" s="140" t="s">
        <v>549</v>
      </c>
      <c r="P334" s="140" t="s">
        <v>85</v>
      </c>
    </row>
    <row r="335" spans="1:16" x14ac:dyDescent="0.25">
      <c r="A335" s="10" t="s">
        <v>799</v>
      </c>
      <c r="B335" s="10" t="s">
        <v>296</v>
      </c>
      <c r="C335" s="136" t="s">
        <v>297</v>
      </c>
      <c r="D335" s="136" t="s">
        <v>460</v>
      </c>
      <c r="E335" s="136" t="s">
        <v>76</v>
      </c>
      <c r="F335" s="10" t="s">
        <v>1055</v>
      </c>
      <c r="G335" s="10" t="s">
        <v>1058</v>
      </c>
      <c r="H335" s="137">
        <v>200</v>
      </c>
      <c r="I335" s="138"/>
      <c r="J335" s="10">
        <v>5511</v>
      </c>
      <c r="K335" s="136" t="s">
        <v>106</v>
      </c>
      <c r="L335" s="10">
        <v>55</v>
      </c>
      <c r="M335" s="10" t="s">
        <v>2219</v>
      </c>
      <c r="N335" s="136" t="s">
        <v>131</v>
      </c>
      <c r="O335" s="136" t="s">
        <v>549</v>
      </c>
      <c r="P335" s="136" t="s">
        <v>85</v>
      </c>
    </row>
    <row r="336" spans="1:16" x14ac:dyDescent="0.25">
      <c r="A336" s="139" t="s">
        <v>799</v>
      </c>
      <c r="B336" s="139" t="s">
        <v>296</v>
      </c>
      <c r="C336" s="140" t="s">
        <v>297</v>
      </c>
      <c r="D336" s="140" t="s">
        <v>460</v>
      </c>
      <c r="E336" s="140" t="s">
        <v>76</v>
      </c>
      <c r="F336" s="139" t="s">
        <v>1055</v>
      </c>
      <c r="G336" s="139" t="s">
        <v>1059</v>
      </c>
      <c r="H336" s="141">
        <v>100</v>
      </c>
      <c r="I336" s="142" t="s">
        <v>1064</v>
      </c>
      <c r="J336" s="139">
        <v>5511</v>
      </c>
      <c r="K336" s="140" t="s">
        <v>106</v>
      </c>
      <c r="L336" s="139">
        <v>55</v>
      </c>
      <c r="M336" s="139" t="s">
        <v>2219</v>
      </c>
      <c r="N336" s="140" t="s">
        <v>131</v>
      </c>
      <c r="O336" s="140" t="s">
        <v>549</v>
      </c>
      <c r="P336" s="140" t="s">
        <v>85</v>
      </c>
    </row>
    <row r="337" spans="1:16" x14ac:dyDescent="0.25">
      <c r="A337" s="10" t="s">
        <v>799</v>
      </c>
      <c r="B337" s="10" t="s">
        <v>296</v>
      </c>
      <c r="C337" s="136" t="s">
        <v>297</v>
      </c>
      <c r="D337" s="136" t="s">
        <v>460</v>
      </c>
      <c r="E337" s="136" t="s">
        <v>76</v>
      </c>
      <c r="F337" s="10" t="s">
        <v>1055</v>
      </c>
      <c r="G337" s="10" t="s">
        <v>1060</v>
      </c>
      <c r="H337" s="137">
        <v>100</v>
      </c>
      <c r="I337" s="138"/>
      <c r="J337" s="10">
        <v>5511</v>
      </c>
      <c r="K337" s="136" t="s">
        <v>106</v>
      </c>
      <c r="L337" s="10">
        <v>55</v>
      </c>
      <c r="M337" s="10" t="s">
        <v>2219</v>
      </c>
      <c r="N337" s="136" t="s">
        <v>131</v>
      </c>
      <c r="O337" s="136" t="s">
        <v>549</v>
      </c>
      <c r="P337" s="136" t="s">
        <v>85</v>
      </c>
    </row>
    <row r="338" spans="1:16" x14ac:dyDescent="0.25">
      <c r="A338" s="139" t="s">
        <v>799</v>
      </c>
      <c r="B338" s="139" t="s">
        <v>296</v>
      </c>
      <c r="C338" s="140" t="s">
        <v>297</v>
      </c>
      <c r="D338" s="140" t="s">
        <v>460</v>
      </c>
      <c r="E338" s="140" t="s">
        <v>76</v>
      </c>
      <c r="F338" s="139" t="s">
        <v>1055</v>
      </c>
      <c r="G338" s="139" t="s">
        <v>1046</v>
      </c>
      <c r="H338" s="141">
        <v>100</v>
      </c>
      <c r="I338" s="142"/>
      <c r="J338" s="139">
        <v>5500</v>
      </c>
      <c r="K338" s="140" t="s">
        <v>100</v>
      </c>
      <c r="L338" s="139">
        <v>55</v>
      </c>
      <c r="M338" s="139" t="s">
        <v>2219</v>
      </c>
      <c r="N338" s="140" t="s">
        <v>131</v>
      </c>
      <c r="O338" s="140" t="s">
        <v>549</v>
      </c>
      <c r="P338" s="140" t="s">
        <v>85</v>
      </c>
    </row>
    <row r="339" spans="1:16" x14ac:dyDescent="0.25">
      <c r="A339" s="10" t="s">
        <v>799</v>
      </c>
      <c r="B339" s="10" t="s">
        <v>296</v>
      </c>
      <c r="C339" s="136" t="s">
        <v>297</v>
      </c>
      <c r="D339" s="136" t="s">
        <v>460</v>
      </c>
      <c r="E339" s="136" t="s">
        <v>76</v>
      </c>
      <c r="F339" s="10" t="s">
        <v>1055</v>
      </c>
      <c r="G339" s="10" t="s">
        <v>1047</v>
      </c>
      <c r="H339" s="137">
        <v>190</v>
      </c>
      <c r="I339" s="138"/>
      <c r="J339" s="10">
        <v>5500</v>
      </c>
      <c r="K339" s="136" t="s">
        <v>100</v>
      </c>
      <c r="L339" s="10">
        <v>55</v>
      </c>
      <c r="M339" s="10" t="s">
        <v>2219</v>
      </c>
      <c r="N339" s="136" t="s">
        <v>131</v>
      </c>
      <c r="O339" s="136" t="s">
        <v>549</v>
      </c>
      <c r="P339" s="136" t="s">
        <v>85</v>
      </c>
    </row>
    <row r="340" spans="1:16" x14ac:dyDescent="0.25">
      <c r="A340" s="139" t="s">
        <v>799</v>
      </c>
      <c r="B340" s="139" t="s">
        <v>296</v>
      </c>
      <c r="C340" s="140" t="s">
        <v>297</v>
      </c>
      <c r="D340" s="140" t="s">
        <v>460</v>
      </c>
      <c r="E340" s="140" t="s">
        <v>76</v>
      </c>
      <c r="F340" s="139" t="s">
        <v>1055</v>
      </c>
      <c r="G340" s="139" t="s">
        <v>1048</v>
      </c>
      <c r="H340" s="141">
        <v>120</v>
      </c>
      <c r="I340" s="142"/>
      <c r="J340" s="139">
        <v>5500</v>
      </c>
      <c r="K340" s="140" t="s">
        <v>100</v>
      </c>
      <c r="L340" s="139">
        <v>55</v>
      </c>
      <c r="M340" s="139" t="s">
        <v>2219</v>
      </c>
      <c r="N340" s="140" t="s">
        <v>131</v>
      </c>
      <c r="O340" s="140" t="s">
        <v>549</v>
      </c>
      <c r="P340" s="140" t="s">
        <v>85</v>
      </c>
    </row>
    <row r="341" spans="1:16" x14ac:dyDescent="0.25">
      <c r="A341" s="10" t="s">
        <v>799</v>
      </c>
      <c r="B341" s="10" t="s">
        <v>296</v>
      </c>
      <c r="C341" s="136" t="s">
        <v>297</v>
      </c>
      <c r="D341" s="136" t="s">
        <v>460</v>
      </c>
      <c r="E341" s="136" t="s">
        <v>76</v>
      </c>
      <c r="F341" s="10" t="s">
        <v>1055</v>
      </c>
      <c r="G341" s="10" t="s">
        <v>1049</v>
      </c>
      <c r="H341" s="137">
        <v>2000</v>
      </c>
      <c r="I341" s="138"/>
      <c r="J341" s="10">
        <v>5500</v>
      </c>
      <c r="K341" s="136" t="s">
        <v>100</v>
      </c>
      <c r="L341" s="10">
        <v>55</v>
      </c>
      <c r="M341" s="10" t="s">
        <v>2219</v>
      </c>
      <c r="N341" s="136" t="s">
        <v>131</v>
      </c>
      <c r="O341" s="136" t="s">
        <v>549</v>
      </c>
      <c r="P341" s="136" t="s">
        <v>85</v>
      </c>
    </row>
    <row r="342" spans="1:16" x14ac:dyDescent="0.25">
      <c r="A342" s="139" t="s">
        <v>799</v>
      </c>
      <c r="B342" s="139" t="s">
        <v>296</v>
      </c>
      <c r="C342" s="140" t="s">
        <v>297</v>
      </c>
      <c r="D342" s="140" t="s">
        <v>460</v>
      </c>
      <c r="E342" s="140" t="s">
        <v>76</v>
      </c>
      <c r="F342" s="139" t="s">
        <v>1055</v>
      </c>
      <c r="G342" s="139" t="s">
        <v>1050</v>
      </c>
      <c r="H342" s="141">
        <v>150</v>
      </c>
      <c r="I342" s="142"/>
      <c r="J342" s="139">
        <v>5500</v>
      </c>
      <c r="K342" s="140" t="s">
        <v>100</v>
      </c>
      <c r="L342" s="139">
        <v>55</v>
      </c>
      <c r="M342" s="139" t="s">
        <v>2219</v>
      </c>
      <c r="N342" s="140" t="s">
        <v>131</v>
      </c>
      <c r="O342" s="140" t="s">
        <v>549</v>
      </c>
      <c r="P342" s="140" t="s">
        <v>85</v>
      </c>
    </row>
    <row r="343" spans="1:16" x14ac:dyDescent="0.25">
      <c r="A343" s="10" t="s">
        <v>799</v>
      </c>
      <c r="B343" s="10" t="s">
        <v>296</v>
      </c>
      <c r="C343" s="136" t="s">
        <v>297</v>
      </c>
      <c r="D343" s="136" t="s">
        <v>460</v>
      </c>
      <c r="E343" s="136" t="s">
        <v>76</v>
      </c>
      <c r="F343" s="10" t="s">
        <v>1055</v>
      </c>
      <c r="G343" s="10" t="s">
        <v>1051</v>
      </c>
      <c r="H343" s="137">
        <v>800</v>
      </c>
      <c r="I343" s="138"/>
      <c r="J343" s="10">
        <v>5500</v>
      </c>
      <c r="K343" s="136" t="s">
        <v>100</v>
      </c>
      <c r="L343" s="10">
        <v>55</v>
      </c>
      <c r="M343" s="10" t="s">
        <v>2219</v>
      </c>
      <c r="N343" s="136" t="s">
        <v>131</v>
      </c>
      <c r="O343" s="136" t="s">
        <v>549</v>
      </c>
      <c r="P343" s="136" t="s">
        <v>85</v>
      </c>
    </row>
    <row r="344" spans="1:16" x14ac:dyDescent="0.25">
      <c r="A344" s="139" t="s">
        <v>799</v>
      </c>
      <c r="B344" s="139" t="s">
        <v>296</v>
      </c>
      <c r="C344" s="140" t="s">
        <v>297</v>
      </c>
      <c r="D344" s="140" t="s">
        <v>460</v>
      </c>
      <c r="E344" s="140" t="s">
        <v>76</v>
      </c>
      <c r="F344" s="139" t="s">
        <v>1055</v>
      </c>
      <c r="G344" s="139" t="s">
        <v>1052</v>
      </c>
      <c r="H344" s="141">
        <v>100</v>
      </c>
      <c r="I344" s="142"/>
      <c r="J344" s="139">
        <v>5500</v>
      </c>
      <c r="K344" s="140" t="s">
        <v>100</v>
      </c>
      <c r="L344" s="139">
        <v>55</v>
      </c>
      <c r="M344" s="139" t="s">
        <v>2219</v>
      </c>
      <c r="N344" s="140" t="s">
        <v>131</v>
      </c>
      <c r="O344" s="140" t="s">
        <v>549</v>
      </c>
      <c r="P344" s="140" t="s">
        <v>85</v>
      </c>
    </row>
    <row r="345" spans="1:16" x14ac:dyDescent="0.25">
      <c r="A345" s="10" t="s">
        <v>799</v>
      </c>
      <c r="B345" s="10" t="s">
        <v>296</v>
      </c>
      <c r="C345" s="136" t="s">
        <v>297</v>
      </c>
      <c r="D345" s="136" t="s">
        <v>460</v>
      </c>
      <c r="E345" s="136" t="s">
        <v>76</v>
      </c>
      <c r="F345" s="10" t="s">
        <v>1055</v>
      </c>
      <c r="G345" s="10" t="s">
        <v>102</v>
      </c>
      <c r="H345" s="137">
        <v>500</v>
      </c>
      <c r="I345" s="138" t="s">
        <v>1053</v>
      </c>
      <c r="J345" s="10">
        <v>5504</v>
      </c>
      <c r="K345" s="136" t="s">
        <v>102</v>
      </c>
      <c r="L345" s="10">
        <v>55</v>
      </c>
      <c r="M345" s="10" t="s">
        <v>2219</v>
      </c>
      <c r="N345" s="136" t="s">
        <v>131</v>
      </c>
      <c r="O345" s="136" t="s">
        <v>549</v>
      </c>
      <c r="P345" s="136" t="s">
        <v>85</v>
      </c>
    </row>
    <row r="346" spans="1:16" x14ac:dyDescent="0.25">
      <c r="A346" s="139" t="s">
        <v>799</v>
      </c>
      <c r="B346" s="139" t="s">
        <v>296</v>
      </c>
      <c r="C346" s="140" t="s">
        <v>297</v>
      </c>
      <c r="D346" s="140" t="s">
        <v>460</v>
      </c>
      <c r="E346" s="140" t="s">
        <v>76</v>
      </c>
      <c r="F346" s="139" t="s">
        <v>1055</v>
      </c>
      <c r="G346" s="139" t="s">
        <v>101</v>
      </c>
      <c r="H346" s="141">
        <v>100</v>
      </c>
      <c r="I346" s="142" t="s">
        <v>1054</v>
      </c>
      <c r="J346" s="139">
        <v>5504</v>
      </c>
      <c r="K346" s="140" t="s">
        <v>102</v>
      </c>
      <c r="L346" s="139">
        <v>55</v>
      </c>
      <c r="M346" s="139" t="s">
        <v>2219</v>
      </c>
      <c r="N346" s="140" t="s">
        <v>131</v>
      </c>
      <c r="O346" s="140" t="s">
        <v>549</v>
      </c>
      <c r="P346" s="140" t="s">
        <v>85</v>
      </c>
    </row>
    <row r="347" spans="1:16" x14ac:dyDescent="0.25">
      <c r="A347" s="10" t="s">
        <v>799</v>
      </c>
      <c r="B347" s="10" t="s">
        <v>296</v>
      </c>
      <c r="C347" s="136" t="s">
        <v>297</v>
      </c>
      <c r="D347" s="136" t="s">
        <v>460</v>
      </c>
      <c r="E347" s="136" t="s">
        <v>76</v>
      </c>
      <c r="F347" s="10" t="s">
        <v>1055</v>
      </c>
      <c r="G347" s="10" t="s">
        <v>1061</v>
      </c>
      <c r="H347" s="137">
        <v>450</v>
      </c>
      <c r="I347" s="138"/>
      <c r="J347" s="10">
        <v>5511</v>
      </c>
      <c r="K347" s="136" t="s">
        <v>106</v>
      </c>
      <c r="L347" s="10">
        <v>55</v>
      </c>
      <c r="M347" s="10" t="s">
        <v>2219</v>
      </c>
      <c r="N347" s="136" t="s">
        <v>131</v>
      </c>
      <c r="O347" s="136" t="s">
        <v>549</v>
      </c>
      <c r="P347" s="136" t="s">
        <v>85</v>
      </c>
    </row>
    <row r="348" spans="1:16" x14ac:dyDescent="0.25">
      <c r="A348" s="139" t="s">
        <v>799</v>
      </c>
      <c r="B348" s="139" t="s">
        <v>296</v>
      </c>
      <c r="C348" s="140" t="s">
        <v>297</v>
      </c>
      <c r="D348" s="140" t="s">
        <v>460</v>
      </c>
      <c r="E348" s="140" t="s">
        <v>76</v>
      </c>
      <c r="F348" s="139" t="s">
        <v>1055</v>
      </c>
      <c r="G348" s="139" t="s">
        <v>1062</v>
      </c>
      <c r="H348" s="141">
        <v>125</v>
      </c>
      <c r="I348" s="142"/>
      <c r="J348" s="139">
        <v>5511</v>
      </c>
      <c r="K348" s="140" t="s">
        <v>106</v>
      </c>
      <c r="L348" s="139">
        <v>55</v>
      </c>
      <c r="M348" s="139" t="s">
        <v>2219</v>
      </c>
      <c r="N348" s="140" t="s">
        <v>131</v>
      </c>
      <c r="O348" s="140" t="s">
        <v>549</v>
      </c>
      <c r="P348" s="140" t="s">
        <v>85</v>
      </c>
    </row>
    <row r="349" spans="1:16" x14ac:dyDescent="0.25">
      <c r="A349" s="10" t="s">
        <v>799</v>
      </c>
      <c r="B349" s="10" t="s">
        <v>296</v>
      </c>
      <c r="C349" s="136" t="s">
        <v>297</v>
      </c>
      <c r="D349" s="136" t="s">
        <v>460</v>
      </c>
      <c r="E349" s="136" t="s">
        <v>76</v>
      </c>
      <c r="F349" s="10" t="s">
        <v>1055</v>
      </c>
      <c r="G349" s="10" t="s">
        <v>1063</v>
      </c>
      <c r="H349" s="137">
        <v>200</v>
      </c>
      <c r="I349" s="138"/>
      <c r="J349" s="10">
        <v>5511</v>
      </c>
      <c r="K349" s="136" t="s">
        <v>106</v>
      </c>
      <c r="L349" s="10">
        <v>55</v>
      </c>
      <c r="M349" s="10" t="s">
        <v>2219</v>
      </c>
      <c r="N349" s="136" t="s">
        <v>131</v>
      </c>
      <c r="O349" s="136" t="s">
        <v>549</v>
      </c>
      <c r="P349" s="136" t="s">
        <v>85</v>
      </c>
    </row>
    <row r="350" spans="1:16" x14ac:dyDescent="0.25">
      <c r="A350" s="139" t="s">
        <v>799</v>
      </c>
      <c r="B350" s="139" t="s">
        <v>296</v>
      </c>
      <c r="C350" s="140" t="s">
        <v>297</v>
      </c>
      <c r="D350" s="140" t="s">
        <v>460</v>
      </c>
      <c r="E350" s="140" t="s">
        <v>76</v>
      </c>
      <c r="F350" s="139" t="s">
        <v>1055</v>
      </c>
      <c r="G350" s="139" t="s">
        <v>1065</v>
      </c>
      <c r="H350" s="141">
        <v>400</v>
      </c>
      <c r="I350" s="142" t="s">
        <v>1066</v>
      </c>
      <c r="J350" s="139">
        <v>5513</v>
      </c>
      <c r="K350" s="140" t="s">
        <v>111</v>
      </c>
      <c r="L350" s="139">
        <v>55</v>
      </c>
      <c r="M350" s="139" t="s">
        <v>2219</v>
      </c>
      <c r="N350" s="140" t="s">
        <v>131</v>
      </c>
      <c r="O350" s="140" t="s">
        <v>549</v>
      </c>
      <c r="P350" s="140" t="s">
        <v>85</v>
      </c>
    </row>
    <row r="351" spans="1:16" x14ac:dyDescent="0.25">
      <c r="A351" s="10" t="s">
        <v>799</v>
      </c>
      <c r="B351" s="10" t="s">
        <v>296</v>
      </c>
      <c r="C351" s="136" t="s">
        <v>297</v>
      </c>
      <c r="D351" s="136" t="s">
        <v>460</v>
      </c>
      <c r="E351" s="136" t="s">
        <v>76</v>
      </c>
      <c r="F351" s="10" t="s">
        <v>1055</v>
      </c>
      <c r="G351" s="10" t="s">
        <v>1070</v>
      </c>
      <c r="H351" s="137">
        <v>200</v>
      </c>
      <c r="I351" s="138"/>
      <c r="J351" s="10">
        <v>5522</v>
      </c>
      <c r="K351" s="136" t="s">
        <v>115</v>
      </c>
      <c r="L351" s="10">
        <v>55</v>
      </c>
      <c r="M351" s="10" t="s">
        <v>2219</v>
      </c>
      <c r="N351" s="136" t="s">
        <v>131</v>
      </c>
      <c r="O351" s="136" t="s">
        <v>549</v>
      </c>
      <c r="P351" s="136" t="s">
        <v>85</v>
      </c>
    </row>
    <row r="352" spans="1:16" x14ac:dyDescent="0.25">
      <c r="A352" s="139" t="s">
        <v>799</v>
      </c>
      <c r="B352" s="139" t="s">
        <v>296</v>
      </c>
      <c r="C352" s="140" t="s">
        <v>297</v>
      </c>
      <c r="D352" s="140" t="s">
        <v>460</v>
      </c>
      <c r="E352" s="140" t="s">
        <v>76</v>
      </c>
      <c r="F352" s="139" t="s">
        <v>1055</v>
      </c>
      <c r="G352" s="139" t="s">
        <v>1071</v>
      </c>
      <c r="H352" s="141">
        <v>7200</v>
      </c>
      <c r="I352" s="142"/>
      <c r="J352" s="139">
        <v>5523</v>
      </c>
      <c r="K352" s="140" t="s">
        <v>116</v>
      </c>
      <c r="L352" s="139">
        <v>55</v>
      </c>
      <c r="M352" s="139" t="s">
        <v>2219</v>
      </c>
      <c r="N352" s="140" t="s">
        <v>131</v>
      </c>
      <c r="O352" s="140" t="s">
        <v>549</v>
      </c>
      <c r="P352" s="140" t="s">
        <v>85</v>
      </c>
    </row>
    <row r="353" spans="1:16" x14ac:dyDescent="0.25">
      <c r="A353" s="10" t="s">
        <v>799</v>
      </c>
      <c r="B353" s="10" t="s">
        <v>296</v>
      </c>
      <c r="C353" s="136" t="s">
        <v>297</v>
      </c>
      <c r="D353" s="136" t="s">
        <v>460</v>
      </c>
      <c r="E353" s="136" t="s">
        <v>76</v>
      </c>
      <c r="F353" s="10" t="s">
        <v>1055</v>
      </c>
      <c r="G353" s="10" t="s">
        <v>1072</v>
      </c>
      <c r="H353" s="137">
        <v>600</v>
      </c>
      <c r="I353" s="138"/>
      <c r="J353" s="10">
        <v>5525</v>
      </c>
      <c r="K353" s="136" t="s">
        <v>118</v>
      </c>
      <c r="L353" s="10">
        <v>55</v>
      </c>
      <c r="M353" s="10" t="s">
        <v>2219</v>
      </c>
      <c r="N353" s="136" t="s">
        <v>131</v>
      </c>
      <c r="O353" s="136" t="s">
        <v>549</v>
      </c>
      <c r="P353" s="136" t="s">
        <v>85</v>
      </c>
    </row>
    <row r="354" spans="1:16" x14ac:dyDescent="0.25">
      <c r="A354" s="139" t="s">
        <v>799</v>
      </c>
      <c r="B354" s="139" t="s">
        <v>296</v>
      </c>
      <c r="C354" s="140" t="s">
        <v>297</v>
      </c>
      <c r="D354" s="140" t="s">
        <v>460</v>
      </c>
      <c r="E354" s="140" t="s">
        <v>76</v>
      </c>
      <c r="F354" s="139" t="s">
        <v>1055</v>
      </c>
      <c r="G354" s="139" t="s">
        <v>1073</v>
      </c>
      <c r="H354" s="141">
        <v>50</v>
      </c>
      <c r="I354" s="142"/>
      <c r="J354" s="139">
        <v>5515</v>
      </c>
      <c r="K354" s="140" t="s">
        <v>112</v>
      </c>
      <c r="L354" s="139">
        <v>55</v>
      </c>
      <c r="M354" s="139" t="s">
        <v>2219</v>
      </c>
      <c r="N354" s="140" t="s">
        <v>131</v>
      </c>
      <c r="O354" s="140" t="s">
        <v>549</v>
      </c>
      <c r="P354" s="140" t="s">
        <v>85</v>
      </c>
    </row>
    <row r="355" spans="1:16" x14ac:dyDescent="0.25">
      <c r="A355" s="10" t="s">
        <v>799</v>
      </c>
      <c r="B355" s="10" t="s">
        <v>296</v>
      </c>
      <c r="C355" s="136" t="s">
        <v>297</v>
      </c>
      <c r="D355" s="136" t="s">
        <v>460</v>
      </c>
      <c r="E355" s="136" t="s">
        <v>76</v>
      </c>
      <c r="F355" s="10" t="s">
        <v>1055</v>
      </c>
      <c r="G355" s="10" t="s">
        <v>1074</v>
      </c>
      <c r="H355" s="137">
        <v>89.91</v>
      </c>
      <c r="I355" s="138"/>
      <c r="J355" s="10">
        <v>5540</v>
      </c>
      <c r="K355" s="136" t="s">
        <v>121</v>
      </c>
      <c r="L355" s="10">
        <v>55</v>
      </c>
      <c r="M355" s="10" t="s">
        <v>2219</v>
      </c>
      <c r="N355" s="136" t="s">
        <v>131</v>
      </c>
      <c r="O355" s="136" t="s">
        <v>549</v>
      </c>
      <c r="P355" s="136" t="s">
        <v>85</v>
      </c>
    </row>
    <row r="356" spans="1:16" x14ac:dyDescent="0.25">
      <c r="A356" s="139" t="s">
        <v>799</v>
      </c>
      <c r="B356" s="139" t="s">
        <v>296</v>
      </c>
      <c r="C356" s="140" t="s">
        <v>297</v>
      </c>
      <c r="D356" s="140" t="s">
        <v>460</v>
      </c>
      <c r="E356" s="140" t="s">
        <v>76</v>
      </c>
      <c r="F356" s="139" t="s">
        <v>1055</v>
      </c>
      <c r="G356" s="139" t="s">
        <v>1067</v>
      </c>
      <c r="H356" s="141">
        <v>480</v>
      </c>
      <c r="I356" s="142" t="s">
        <v>1068</v>
      </c>
      <c r="J356" s="139">
        <v>5514</v>
      </c>
      <c r="K356" s="140" t="s">
        <v>110</v>
      </c>
      <c r="L356" s="139">
        <v>55</v>
      </c>
      <c r="M356" s="139" t="s">
        <v>2219</v>
      </c>
      <c r="N356" s="140" t="s">
        <v>131</v>
      </c>
      <c r="O356" s="140" t="s">
        <v>549</v>
      </c>
      <c r="P356" s="140" t="s">
        <v>85</v>
      </c>
    </row>
    <row r="357" spans="1:16" x14ac:dyDescent="0.25">
      <c r="A357" s="10" t="s">
        <v>799</v>
      </c>
      <c r="B357" s="10" t="s">
        <v>296</v>
      </c>
      <c r="C357" s="136" t="s">
        <v>297</v>
      </c>
      <c r="D357" s="136" t="s">
        <v>460</v>
      </c>
      <c r="E357" s="136" t="s">
        <v>76</v>
      </c>
      <c r="F357" s="10" t="s">
        <v>1055</v>
      </c>
      <c r="G357" s="10" t="s">
        <v>1069</v>
      </c>
      <c r="H357" s="137">
        <v>500</v>
      </c>
      <c r="I357" s="138"/>
      <c r="J357" s="10">
        <v>5514</v>
      </c>
      <c r="K357" s="136" t="s">
        <v>110</v>
      </c>
      <c r="L357" s="10">
        <v>55</v>
      </c>
      <c r="M357" s="10" t="s">
        <v>2219</v>
      </c>
      <c r="N357" s="136" t="s">
        <v>131</v>
      </c>
      <c r="O357" s="136" t="s">
        <v>549</v>
      </c>
      <c r="P357" s="136" t="s">
        <v>85</v>
      </c>
    </row>
    <row r="358" spans="1:16" x14ac:dyDescent="0.25">
      <c r="A358" s="147" t="s">
        <v>799</v>
      </c>
      <c r="B358" s="147" t="s">
        <v>296</v>
      </c>
      <c r="C358" s="148" t="s">
        <v>297</v>
      </c>
      <c r="D358" s="148" t="s">
        <v>460</v>
      </c>
      <c r="E358" s="148" t="s">
        <v>76</v>
      </c>
      <c r="F358" s="147" t="s">
        <v>1055</v>
      </c>
      <c r="G358" s="147" t="s">
        <v>2185</v>
      </c>
      <c r="H358" s="149">
        <v>5000</v>
      </c>
      <c r="I358" s="150" t="s">
        <v>2181</v>
      </c>
      <c r="J358" s="147">
        <v>5511</v>
      </c>
      <c r="K358" s="148" t="s">
        <v>106</v>
      </c>
      <c r="L358" s="147">
        <v>55</v>
      </c>
      <c r="M358" s="147" t="s">
        <v>2219</v>
      </c>
      <c r="N358" s="148" t="s">
        <v>131</v>
      </c>
      <c r="O358" s="148" t="s">
        <v>549</v>
      </c>
      <c r="P358" s="148" t="s">
        <v>85</v>
      </c>
    </row>
    <row r="359" spans="1:16" x14ac:dyDescent="0.25">
      <c r="A359" s="147" t="s">
        <v>799</v>
      </c>
      <c r="B359" s="147" t="s">
        <v>296</v>
      </c>
      <c r="C359" s="148" t="s">
        <v>297</v>
      </c>
      <c r="D359" s="148" t="s">
        <v>460</v>
      </c>
      <c r="E359" s="148" t="s">
        <v>76</v>
      </c>
      <c r="F359" s="147" t="s">
        <v>1055</v>
      </c>
      <c r="G359" s="147" t="s">
        <v>1081</v>
      </c>
      <c r="H359" s="149">
        <v>300</v>
      </c>
      <c r="I359" s="150"/>
      <c r="J359" s="147">
        <v>5515</v>
      </c>
      <c r="K359" s="148" t="s">
        <v>112</v>
      </c>
      <c r="L359" s="147">
        <v>55</v>
      </c>
      <c r="M359" s="147" t="s">
        <v>2219</v>
      </c>
      <c r="N359" s="148" t="s">
        <v>131</v>
      </c>
      <c r="O359" s="148" t="s">
        <v>549</v>
      </c>
      <c r="P359" s="148" t="s">
        <v>85</v>
      </c>
    </row>
    <row r="360" spans="1:16" x14ac:dyDescent="0.25">
      <c r="A360" s="139" t="s">
        <v>799</v>
      </c>
      <c r="B360" s="139" t="s">
        <v>298</v>
      </c>
      <c r="C360" s="140" t="s">
        <v>299</v>
      </c>
      <c r="D360" s="140" t="s">
        <v>460</v>
      </c>
      <c r="E360" s="140" t="s">
        <v>76</v>
      </c>
      <c r="F360" s="139" t="s">
        <v>1083</v>
      </c>
      <c r="G360" s="139" t="s">
        <v>1579</v>
      </c>
      <c r="H360" s="141">
        <v>80</v>
      </c>
      <c r="I360" s="142"/>
      <c r="J360" s="139">
        <v>5511</v>
      </c>
      <c r="K360" s="140" t="s">
        <v>106</v>
      </c>
      <c r="L360" s="139">
        <v>55</v>
      </c>
      <c r="M360" s="139" t="s">
        <v>2219</v>
      </c>
      <c r="N360" s="140" t="s">
        <v>131</v>
      </c>
      <c r="O360" s="140" t="s">
        <v>549</v>
      </c>
      <c r="P360" s="140" t="s">
        <v>85</v>
      </c>
    </row>
    <row r="361" spans="1:16" x14ac:dyDescent="0.25">
      <c r="A361" s="10" t="s">
        <v>799</v>
      </c>
      <c r="B361" s="10" t="s">
        <v>298</v>
      </c>
      <c r="C361" s="136" t="s">
        <v>299</v>
      </c>
      <c r="D361" s="136" t="s">
        <v>460</v>
      </c>
      <c r="E361" s="136" t="s">
        <v>76</v>
      </c>
      <c r="F361" s="10" t="s">
        <v>1083</v>
      </c>
      <c r="G361" s="10" t="s">
        <v>1578</v>
      </c>
      <c r="H361" s="137">
        <v>1380</v>
      </c>
      <c r="I361" s="138"/>
      <c r="J361" s="10">
        <v>5500</v>
      </c>
      <c r="K361" s="136" t="s">
        <v>100</v>
      </c>
      <c r="L361" s="10">
        <v>55</v>
      </c>
      <c r="M361" s="10" t="s">
        <v>2219</v>
      </c>
      <c r="N361" s="136" t="s">
        <v>131</v>
      </c>
      <c r="O361" s="136" t="s">
        <v>549</v>
      </c>
      <c r="P361" s="136" t="s">
        <v>85</v>
      </c>
    </row>
    <row r="362" spans="1:16" x14ac:dyDescent="0.25">
      <c r="A362" s="139" t="s">
        <v>799</v>
      </c>
      <c r="B362" s="139" t="s">
        <v>298</v>
      </c>
      <c r="C362" s="140" t="s">
        <v>299</v>
      </c>
      <c r="D362" s="140" t="s">
        <v>460</v>
      </c>
      <c r="E362" s="140" t="s">
        <v>76</v>
      </c>
      <c r="F362" s="139" t="s">
        <v>1083</v>
      </c>
      <c r="G362" s="139" t="s">
        <v>1521</v>
      </c>
      <c r="H362" s="141">
        <v>50</v>
      </c>
      <c r="I362" s="142"/>
      <c r="J362" s="139">
        <v>5504</v>
      </c>
      <c r="K362" s="140" t="s">
        <v>102</v>
      </c>
      <c r="L362" s="139">
        <v>55</v>
      </c>
      <c r="M362" s="139" t="s">
        <v>2219</v>
      </c>
      <c r="N362" s="140" t="s">
        <v>131</v>
      </c>
      <c r="O362" s="140" t="s">
        <v>549</v>
      </c>
      <c r="P362" s="140" t="s">
        <v>85</v>
      </c>
    </row>
    <row r="363" spans="1:16" x14ac:dyDescent="0.25">
      <c r="A363" s="10" t="s">
        <v>799</v>
      </c>
      <c r="B363" s="10" t="s">
        <v>298</v>
      </c>
      <c r="C363" s="136" t="s">
        <v>299</v>
      </c>
      <c r="D363" s="136" t="s">
        <v>460</v>
      </c>
      <c r="E363" s="136" t="s">
        <v>76</v>
      </c>
      <c r="F363" s="10" t="s">
        <v>1083</v>
      </c>
      <c r="G363" s="10" t="s">
        <v>1581</v>
      </c>
      <c r="H363" s="137">
        <v>2000</v>
      </c>
      <c r="I363" s="138"/>
      <c r="J363" s="10">
        <v>5523</v>
      </c>
      <c r="K363" s="136" t="s">
        <v>116</v>
      </c>
      <c r="L363" s="10">
        <v>55</v>
      </c>
      <c r="M363" s="10" t="s">
        <v>2219</v>
      </c>
      <c r="N363" s="136" t="s">
        <v>131</v>
      </c>
      <c r="O363" s="136" t="s">
        <v>549</v>
      </c>
      <c r="P363" s="136" t="s">
        <v>85</v>
      </c>
    </row>
    <row r="364" spans="1:16" x14ac:dyDescent="0.25">
      <c r="A364" s="139" t="s">
        <v>799</v>
      </c>
      <c r="B364" s="139" t="s">
        <v>298</v>
      </c>
      <c r="C364" s="140" t="s">
        <v>299</v>
      </c>
      <c r="D364" s="140" t="s">
        <v>460</v>
      </c>
      <c r="E364" s="140" t="s">
        <v>76</v>
      </c>
      <c r="F364" s="139" t="s">
        <v>1083</v>
      </c>
      <c r="G364" s="139" t="s">
        <v>1582</v>
      </c>
      <c r="H364" s="141">
        <v>300</v>
      </c>
      <c r="I364" s="142"/>
      <c r="J364" s="139">
        <v>5525</v>
      </c>
      <c r="K364" s="140" t="s">
        <v>118</v>
      </c>
      <c r="L364" s="139">
        <v>55</v>
      </c>
      <c r="M364" s="139" t="s">
        <v>2219</v>
      </c>
      <c r="N364" s="140" t="s">
        <v>131</v>
      </c>
      <c r="O364" s="140" t="s">
        <v>549</v>
      </c>
      <c r="P364" s="140" t="s">
        <v>85</v>
      </c>
    </row>
    <row r="365" spans="1:16" x14ac:dyDescent="0.25">
      <c r="A365" s="10" t="s">
        <v>799</v>
      </c>
      <c r="B365" s="10" t="s">
        <v>298</v>
      </c>
      <c r="C365" s="136" t="s">
        <v>299</v>
      </c>
      <c r="D365" s="136" t="s">
        <v>460</v>
      </c>
      <c r="E365" s="136" t="s">
        <v>76</v>
      </c>
      <c r="F365" s="10" t="s">
        <v>1083</v>
      </c>
      <c r="G365" s="10" t="s">
        <v>1583</v>
      </c>
      <c r="H365" s="137">
        <v>100</v>
      </c>
      <c r="I365" s="138" t="s">
        <v>1584</v>
      </c>
      <c r="J365" s="10">
        <v>5500</v>
      </c>
      <c r="K365" s="136" t="s">
        <v>100</v>
      </c>
      <c r="L365" s="10">
        <v>55</v>
      </c>
      <c r="M365" s="10" t="s">
        <v>2219</v>
      </c>
      <c r="N365" s="136" t="s">
        <v>131</v>
      </c>
      <c r="O365" s="136" t="s">
        <v>549</v>
      </c>
      <c r="P365" s="136" t="s">
        <v>85</v>
      </c>
    </row>
    <row r="366" spans="1:16" x14ac:dyDescent="0.25">
      <c r="A366" s="139" t="s">
        <v>799</v>
      </c>
      <c r="B366" s="139" t="s">
        <v>298</v>
      </c>
      <c r="C366" s="140" t="s">
        <v>299</v>
      </c>
      <c r="D366" s="140" t="s">
        <v>460</v>
      </c>
      <c r="E366" s="140" t="s">
        <v>76</v>
      </c>
      <c r="F366" s="139" t="s">
        <v>1083</v>
      </c>
      <c r="G366" s="139" t="s">
        <v>1580</v>
      </c>
      <c r="H366" s="141">
        <v>240</v>
      </c>
      <c r="I366" s="142"/>
      <c r="J366" s="139">
        <v>5514</v>
      </c>
      <c r="K366" s="140" t="s">
        <v>110</v>
      </c>
      <c r="L366" s="139">
        <v>55</v>
      </c>
      <c r="M366" s="139" t="s">
        <v>2219</v>
      </c>
      <c r="N366" s="140" t="s">
        <v>131</v>
      </c>
      <c r="O366" s="140" t="s">
        <v>549</v>
      </c>
      <c r="P366" s="140" t="s">
        <v>85</v>
      </c>
    </row>
    <row r="367" spans="1:16" x14ac:dyDescent="0.25">
      <c r="A367" s="147" t="s">
        <v>799</v>
      </c>
      <c r="B367" s="147" t="s">
        <v>298</v>
      </c>
      <c r="C367" s="148" t="s">
        <v>299</v>
      </c>
      <c r="D367" s="148" t="s">
        <v>460</v>
      </c>
      <c r="E367" s="148" t="s">
        <v>76</v>
      </c>
      <c r="F367" s="147" t="s">
        <v>1083</v>
      </c>
      <c r="G367" s="147" t="s">
        <v>1085</v>
      </c>
      <c r="H367" s="149">
        <v>400</v>
      </c>
      <c r="I367" s="150" t="s">
        <v>1086</v>
      </c>
      <c r="J367" s="147">
        <v>5514</v>
      </c>
      <c r="K367" s="148" t="s">
        <v>110</v>
      </c>
      <c r="L367" s="147">
        <v>55</v>
      </c>
      <c r="M367" s="147" t="s">
        <v>2219</v>
      </c>
      <c r="N367" s="148" t="s">
        <v>131</v>
      </c>
      <c r="O367" s="148" t="s">
        <v>549</v>
      </c>
      <c r="P367" s="148" t="s">
        <v>85</v>
      </c>
    </row>
    <row r="368" spans="1:16" x14ac:dyDescent="0.25">
      <c r="A368" s="139" t="s">
        <v>799</v>
      </c>
      <c r="B368" s="139" t="s">
        <v>300</v>
      </c>
      <c r="C368" s="140" t="s">
        <v>301</v>
      </c>
      <c r="D368" s="140" t="s">
        <v>460</v>
      </c>
      <c r="E368" s="140" t="s">
        <v>76</v>
      </c>
      <c r="F368" s="139" t="s">
        <v>450</v>
      </c>
      <c r="G368" s="139" t="s">
        <v>451</v>
      </c>
      <c r="H368" s="141">
        <v>120</v>
      </c>
      <c r="I368" s="142"/>
      <c r="J368" s="139">
        <v>5500</v>
      </c>
      <c r="K368" s="140" t="s">
        <v>100</v>
      </c>
      <c r="L368" s="139">
        <v>55</v>
      </c>
      <c r="M368" s="139" t="s">
        <v>2219</v>
      </c>
      <c r="N368" s="139" t="s">
        <v>131</v>
      </c>
      <c r="O368" s="139" t="s">
        <v>549</v>
      </c>
      <c r="P368" s="140" t="s">
        <v>85</v>
      </c>
    </row>
    <row r="369" spans="1:16" x14ac:dyDescent="0.25">
      <c r="A369" s="10" t="s">
        <v>799</v>
      </c>
      <c r="B369" s="10" t="s">
        <v>300</v>
      </c>
      <c r="C369" s="136" t="s">
        <v>301</v>
      </c>
      <c r="D369" s="136" t="s">
        <v>460</v>
      </c>
      <c r="E369" s="136" t="s">
        <v>76</v>
      </c>
      <c r="F369" s="10" t="s">
        <v>450</v>
      </c>
      <c r="G369" s="10" t="s">
        <v>102</v>
      </c>
      <c r="H369" s="137">
        <v>350</v>
      </c>
      <c r="I369" s="138"/>
      <c r="J369" s="10">
        <v>5504</v>
      </c>
      <c r="K369" s="136" t="s">
        <v>102</v>
      </c>
      <c r="L369" s="10">
        <v>55</v>
      </c>
      <c r="M369" s="10" t="s">
        <v>2219</v>
      </c>
      <c r="N369" s="10" t="s">
        <v>131</v>
      </c>
      <c r="O369" s="10" t="s">
        <v>549</v>
      </c>
      <c r="P369" s="136" t="s">
        <v>85</v>
      </c>
    </row>
    <row r="370" spans="1:16" x14ac:dyDescent="0.25">
      <c r="A370" s="139" t="s">
        <v>799</v>
      </c>
      <c r="B370" s="139" t="s">
        <v>300</v>
      </c>
      <c r="C370" s="140" t="s">
        <v>301</v>
      </c>
      <c r="D370" s="140" t="s">
        <v>460</v>
      </c>
      <c r="E370" s="140" t="s">
        <v>76</v>
      </c>
      <c r="F370" s="139" t="s">
        <v>450</v>
      </c>
      <c r="G370" s="139" t="s">
        <v>454</v>
      </c>
      <c r="H370" s="141">
        <v>150</v>
      </c>
      <c r="I370" s="142" t="s">
        <v>463</v>
      </c>
      <c r="J370" s="139">
        <v>5515</v>
      </c>
      <c r="K370" s="140" t="s">
        <v>112</v>
      </c>
      <c r="L370" s="139">
        <v>55</v>
      </c>
      <c r="M370" s="139" t="s">
        <v>2219</v>
      </c>
      <c r="N370" s="139" t="s">
        <v>131</v>
      </c>
      <c r="O370" s="139" t="s">
        <v>549</v>
      </c>
      <c r="P370" s="140" t="s">
        <v>85</v>
      </c>
    </row>
    <row r="371" spans="1:16" x14ac:dyDescent="0.25">
      <c r="A371" s="10" t="s">
        <v>799</v>
      </c>
      <c r="B371" s="10" t="s">
        <v>300</v>
      </c>
      <c r="C371" s="136" t="s">
        <v>301</v>
      </c>
      <c r="D371" s="136" t="s">
        <v>460</v>
      </c>
      <c r="E371" s="136" t="s">
        <v>76</v>
      </c>
      <c r="F371" s="10" t="s">
        <v>450</v>
      </c>
      <c r="G371" s="10" t="s">
        <v>455</v>
      </c>
      <c r="H371" s="137">
        <v>200</v>
      </c>
      <c r="I371" s="138" t="s">
        <v>463</v>
      </c>
      <c r="J371" s="10">
        <v>5515</v>
      </c>
      <c r="K371" s="136" t="s">
        <v>112</v>
      </c>
      <c r="L371" s="10">
        <v>55</v>
      </c>
      <c r="M371" s="10" t="s">
        <v>2219</v>
      </c>
      <c r="N371" s="10" t="s">
        <v>131</v>
      </c>
      <c r="O371" s="10" t="s">
        <v>549</v>
      </c>
      <c r="P371" s="136" t="s">
        <v>85</v>
      </c>
    </row>
    <row r="372" spans="1:16" x14ac:dyDescent="0.25">
      <c r="A372" s="139" t="s">
        <v>799</v>
      </c>
      <c r="B372" s="139" t="s">
        <v>300</v>
      </c>
      <c r="C372" s="140" t="s">
        <v>301</v>
      </c>
      <c r="D372" s="140" t="s">
        <v>460</v>
      </c>
      <c r="E372" s="140" t="s">
        <v>76</v>
      </c>
      <c r="F372" s="139" t="s">
        <v>450</v>
      </c>
      <c r="G372" s="139" t="s">
        <v>456</v>
      </c>
      <c r="H372" s="141">
        <v>4000</v>
      </c>
      <c r="I372" s="142"/>
      <c r="J372" s="139">
        <v>5523</v>
      </c>
      <c r="K372" s="140" t="s">
        <v>116</v>
      </c>
      <c r="L372" s="139">
        <v>55</v>
      </c>
      <c r="M372" s="139" t="s">
        <v>2219</v>
      </c>
      <c r="N372" s="139" t="s">
        <v>131</v>
      </c>
      <c r="O372" s="139" t="s">
        <v>549</v>
      </c>
      <c r="P372" s="140" t="s">
        <v>85</v>
      </c>
    </row>
    <row r="373" spans="1:16" x14ac:dyDescent="0.25">
      <c r="A373" s="10" t="s">
        <v>799</v>
      </c>
      <c r="B373" s="10" t="s">
        <v>300</v>
      </c>
      <c r="C373" s="136" t="s">
        <v>301</v>
      </c>
      <c r="D373" s="136" t="s">
        <v>460</v>
      </c>
      <c r="E373" s="136" t="s">
        <v>76</v>
      </c>
      <c r="F373" s="10" t="s">
        <v>450</v>
      </c>
      <c r="G373" s="10" t="s">
        <v>457</v>
      </c>
      <c r="H373" s="137">
        <v>1000</v>
      </c>
      <c r="I373" s="138"/>
      <c r="J373" s="10">
        <v>5500</v>
      </c>
      <c r="K373" s="136" t="s">
        <v>100</v>
      </c>
      <c r="L373" s="10">
        <v>55</v>
      </c>
      <c r="M373" s="10" t="s">
        <v>2219</v>
      </c>
      <c r="N373" s="10" t="s">
        <v>131</v>
      </c>
      <c r="O373" s="10" t="s">
        <v>549</v>
      </c>
      <c r="P373" s="136" t="s">
        <v>85</v>
      </c>
    </row>
    <row r="374" spans="1:16" x14ac:dyDescent="0.25">
      <c r="A374" s="139" t="s">
        <v>799</v>
      </c>
      <c r="B374" s="139" t="s">
        <v>300</v>
      </c>
      <c r="C374" s="140" t="s">
        <v>301</v>
      </c>
      <c r="D374" s="140" t="s">
        <v>460</v>
      </c>
      <c r="E374" s="140" t="s">
        <v>76</v>
      </c>
      <c r="F374" s="139" t="s">
        <v>450</v>
      </c>
      <c r="G374" s="139" t="s">
        <v>458</v>
      </c>
      <c r="H374" s="141">
        <v>170</v>
      </c>
      <c r="I374" s="142"/>
      <c r="J374" s="139">
        <v>5525</v>
      </c>
      <c r="K374" s="140" t="s">
        <v>118</v>
      </c>
      <c r="L374" s="139">
        <v>55</v>
      </c>
      <c r="M374" s="139" t="s">
        <v>2219</v>
      </c>
      <c r="N374" s="139" t="s">
        <v>131</v>
      </c>
      <c r="O374" s="139" t="s">
        <v>549</v>
      </c>
      <c r="P374" s="140" t="s">
        <v>85</v>
      </c>
    </row>
    <row r="375" spans="1:16" x14ac:dyDescent="0.25">
      <c r="A375" s="10" t="s">
        <v>799</v>
      </c>
      <c r="B375" s="10" t="s">
        <v>300</v>
      </c>
      <c r="C375" s="136" t="s">
        <v>301</v>
      </c>
      <c r="D375" s="136" t="s">
        <v>460</v>
      </c>
      <c r="E375" s="136" t="s">
        <v>76</v>
      </c>
      <c r="F375" s="10" t="s">
        <v>450</v>
      </c>
      <c r="G375" s="10" t="s">
        <v>459</v>
      </c>
      <c r="H375" s="137">
        <v>170</v>
      </c>
      <c r="I375" s="138"/>
      <c r="J375" s="10">
        <v>5525</v>
      </c>
      <c r="K375" s="136" t="s">
        <v>118</v>
      </c>
      <c r="L375" s="10">
        <v>55</v>
      </c>
      <c r="M375" s="10" t="s">
        <v>2219</v>
      </c>
      <c r="N375" s="10" t="s">
        <v>131</v>
      </c>
      <c r="O375" s="10" t="s">
        <v>549</v>
      </c>
      <c r="P375" s="136" t="s">
        <v>85</v>
      </c>
    </row>
    <row r="376" spans="1:16" x14ac:dyDescent="0.25">
      <c r="A376" s="139" t="s">
        <v>799</v>
      </c>
      <c r="B376" s="139" t="s">
        <v>300</v>
      </c>
      <c r="C376" s="140" t="s">
        <v>301</v>
      </c>
      <c r="D376" s="140" t="s">
        <v>460</v>
      </c>
      <c r="E376" s="140" t="s">
        <v>76</v>
      </c>
      <c r="F376" s="139" t="s">
        <v>450</v>
      </c>
      <c r="G376" s="139" t="s">
        <v>452</v>
      </c>
      <c r="H376" s="141">
        <v>240</v>
      </c>
      <c r="I376" s="142"/>
      <c r="J376" s="139">
        <v>5514</v>
      </c>
      <c r="K376" s="140" t="s">
        <v>110</v>
      </c>
      <c r="L376" s="139">
        <v>55</v>
      </c>
      <c r="M376" s="139" t="s">
        <v>2219</v>
      </c>
      <c r="N376" s="139" t="s">
        <v>131</v>
      </c>
      <c r="O376" s="139" t="s">
        <v>549</v>
      </c>
      <c r="P376" s="140" t="s">
        <v>85</v>
      </c>
    </row>
    <row r="377" spans="1:16" x14ac:dyDescent="0.25">
      <c r="A377" s="10" t="s">
        <v>799</v>
      </c>
      <c r="B377" s="10" t="s">
        <v>300</v>
      </c>
      <c r="C377" s="136" t="s">
        <v>301</v>
      </c>
      <c r="D377" s="136" t="s">
        <v>460</v>
      </c>
      <c r="E377" s="136" t="s">
        <v>76</v>
      </c>
      <c r="F377" s="10" t="s">
        <v>450</v>
      </c>
      <c r="G377" s="10" t="s">
        <v>453</v>
      </c>
      <c r="H377" s="137">
        <v>200</v>
      </c>
      <c r="I377" s="138" t="s">
        <v>463</v>
      </c>
      <c r="J377" s="10">
        <v>5514</v>
      </c>
      <c r="K377" s="136" t="s">
        <v>110</v>
      </c>
      <c r="L377" s="10">
        <v>55</v>
      </c>
      <c r="M377" s="10" t="s">
        <v>2219</v>
      </c>
      <c r="N377" s="10" t="s">
        <v>131</v>
      </c>
      <c r="O377" s="10" t="s">
        <v>549</v>
      </c>
      <c r="P377" s="136" t="s">
        <v>85</v>
      </c>
    </row>
    <row r="378" spans="1:16" x14ac:dyDescent="0.25">
      <c r="A378" s="139" t="s">
        <v>799</v>
      </c>
      <c r="B378" s="139" t="s">
        <v>300</v>
      </c>
      <c r="C378" s="140" t="s">
        <v>301</v>
      </c>
      <c r="D378" s="140" t="s">
        <v>460</v>
      </c>
      <c r="E378" s="140" t="s">
        <v>76</v>
      </c>
      <c r="F378" s="139" t="s">
        <v>450</v>
      </c>
      <c r="G378" s="139" t="s">
        <v>2152</v>
      </c>
      <c r="H378" s="141">
        <v>500</v>
      </c>
      <c r="I378" s="142"/>
      <c r="J378" s="139">
        <v>5511</v>
      </c>
      <c r="K378" s="140" t="s">
        <v>106</v>
      </c>
      <c r="L378" s="139">
        <v>55</v>
      </c>
      <c r="M378" s="139" t="s">
        <v>2219</v>
      </c>
      <c r="N378" s="140" t="s">
        <v>131</v>
      </c>
      <c r="O378" s="140" t="s">
        <v>549</v>
      </c>
      <c r="P378" s="140" t="s">
        <v>85</v>
      </c>
    </row>
    <row r="379" spans="1:16" x14ac:dyDescent="0.25">
      <c r="A379" s="10" t="s">
        <v>799</v>
      </c>
      <c r="B379" s="10" t="s">
        <v>300</v>
      </c>
      <c r="C379" s="136" t="s">
        <v>301</v>
      </c>
      <c r="D379" s="136" t="s">
        <v>460</v>
      </c>
      <c r="E379" s="136" t="s">
        <v>76</v>
      </c>
      <c r="F379" s="10" t="s">
        <v>450</v>
      </c>
      <c r="G379" s="10" t="s">
        <v>194</v>
      </c>
      <c r="H379" s="137">
        <v>100</v>
      </c>
      <c r="I379" s="138" t="s">
        <v>2153</v>
      </c>
      <c r="J379" s="10">
        <v>5511</v>
      </c>
      <c r="K379" s="136" t="s">
        <v>106</v>
      </c>
      <c r="L379" s="10">
        <v>55</v>
      </c>
      <c r="M379" s="10" t="s">
        <v>2219</v>
      </c>
      <c r="N379" s="136" t="s">
        <v>131</v>
      </c>
      <c r="O379" s="136" t="s">
        <v>549</v>
      </c>
      <c r="P379" s="136" t="s">
        <v>85</v>
      </c>
    </row>
    <row r="380" spans="1:16" x14ac:dyDescent="0.25">
      <c r="A380" s="139" t="s">
        <v>799</v>
      </c>
      <c r="B380" s="139" t="s">
        <v>302</v>
      </c>
      <c r="C380" s="140" t="s">
        <v>303</v>
      </c>
      <c r="D380" s="140" t="s">
        <v>460</v>
      </c>
      <c r="E380" s="140" t="s">
        <v>76</v>
      </c>
      <c r="F380" s="139" t="s">
        <v>1672</v>
      </c>
      <c r="G380" s="139" t="s">
        <v>1144</v>
      </c>
      <c r="H380" s="141">
        <v>660</v>
      </c>
      <c r="I380" s="142" t="s">
        <v>1674</v>
      </c>
      <c r="J380" s="139">
        <v>5500</v>
      </c>
      <c r="K380" s="140" t="s">
        <v>100</v>
      </c>
      <c r="L380" s="139">
        <v>55</v>
      </c>
      <c r="M380" s="139" t="s">
        <v>2219</v>
      </c>
      <c r="N380" s="140" t="s">
        <v>131</v>
      </c>
      <c r="O380" s="140" t="s">
        <v>549</v>
      </c>
      <c r="P380" s="140" t="s">
        <v>85</v>
      </c>
    </row>
    <row r="381" spans="1:16" x14ac:dyDescent="0.25">
      <c r="A381" s="10" t="s">
        <v>799</v>
      </c>
      <c r="B381" s="10" t="s">
        <v>302</v>
      </c>
      <c r="C381" s="136" t="s">
        <v>303</v>
      </c>
      <c r="D381" s="136" t="s">
        <v>460</v>
      </c>
      <c r="E381" s="136" t="s">
        <v>76</v>
      </c>
      <c r="F381" s="10" t="s">
        <v>1672</v>
      </c>
      <c r="G381" s="10" t="s">
        <v>457</v>
      </c>
      <c r="H381" s="137">
        <v>500</v>
      </c>
      <c r="I381" s="138" t="s">
        <v>1675</v>
      </c>
      <c r="J381" s="10">
        <v>5500</v>
      </c>
      <c r="K381" s="136" t="s">
        <v>100</v>
      </c>
      <c r="L381" s="10">
        <v>55</v>
      </c>
      <c r="M381" s="10" t="s">
        <v>2219</v>
      </c>
      <c r="N381" s="136" t="s">
        <v>131</v>
      </c>
      <c r="O381" s="136" t="s">
        <v>549</v>
      </c>
      <c r="P381" s="136" t="s">
        <v>85</v>
      </c>
    </row>
    <row r="382" spans="1:16" x14ac:dyDescent="0.25">
      <c r="A382" s="139" t="s">
        <v>799</v>
      </c>
      <c r="B382" s="139" t="s">
        <v>302</v>
      </c>
      <c r="C382" s="140" t="s">
        <v>303</v>
      </c>
      <c r="D382" s="140" t="s">
        <v>460</v>
      </c>
      <c r="E382" s="140" t="s">
        <v>76</v>
      </c>
      <c r="F382" s="139" t="s">
        <v>1672</v>
      </c>
      <c r="G382" s="139" t="s">
        <v>456</v>
      </c>
      <c r="H382" s="141">
        <v>1570</v>
      </c>
      <c r="I382" s="142"/>
      <c r="J382" s="139">
        <v>5523</v>
      </c>
      <c r="K382" s="140" t="s">
        <v>116</v>
      </c>
      <c r="L382" s="139">
        <v>55</v>
      </c>
      <c r="M382" s="139" t="s">
        <v>2219</v>
      </c>
      <c r="N382" s="140" t="s">
        <v>131</v>
      </c>
      <c r="O382" s="140" t="s">
        <v>549</v>
      </c>
      <c r="P382" s="140" t="s">
        <v>85</v>
      </c>
    </row>
    <row r="383" spans="1:16" x14ac:dyDescent="0.25">
      <c r="A383" s="10" t="s">
        <v>799</v>
      </c>
      <c r="B383" s="10" t="s">
        <v>302</v>
      </c>
      <c r="C383" s="136" t="s">
        <v>303</v>
      </c>
      <c r="D383" s="136" t="s">
        <v>460</v>
      </c>
      <c r="E383" s="136" t="s">
        <v>76</v>
      </c>
      <c r="F383" s="10" t="s">
        <v>1672</v>
      </c>
      <c r="G383" s="10" t="s">
        <v>176</v>
      </c>
      <c r="H383" s="137">
        <v>30</v>
      </c>
      <c r="I383" s="138"/>
      <c r="J383" s="10">
        <v>5504</v>
      </c>
      <c r="K383" s="136" t="s">
        <v>102</v>
      </c>
      <c r="L383" s="10">
        <v>55</v>
      </c>
      <c r="M383" s="10" t="s">
        <v>2219</v>
      </c>
      <c r="N383" s="136" t="s">
        <v>131</v>
      </c>
      <c r="O383" s="136" t="s">
        <v>549</v>
      </c>
      <c r="P383" s="136" t="s">
        <v>85</v>
      </c>
    </row>
    <row r="384" spans="1:16" x14ac:dyDescent="0.25">
      <c r="A384" s="139" t="s">
        <v>799</v>
      </c>
      <c r="B384" s="139" t="s">
        <v>302</v>
      </c>
      <c r="C384" s="140" t="s">
        <v>303</v>
      </c>
      <c r="D384" s="140" t="s">
        <v>460</v>
      </c>
      <c r="E384" s="140" t="s">
        <v>76</v>
      </c>
      <c r="F384" s="139" t="s">
        <v>1672</v>
      </c>
      <c r="G384" s="139" t="s">
        <v>1676</v>
      </c>
      <c r="H384" s="141">
        <v>30</v>
      </c>
      <c r="I384" s="142"/>
      <c r="J384" s="139">
        <v>5500</v>
      </c>
      <c r="K384" s="140" t="s">
        <v>100</v>
      </c>
      <c r="L384" s="139">
        <v>55</v>
      </c>
      <c r="M384" s="139" t="s">
        <v>2219</v>
      </c>
      <c r="N384" s="140" t="s">
        <v>131</v>
      </c>
      <c r="O384" s="140" t="s">
        <v>549</v>
      </c>
      <c r="P384" s="140" t="s">
        <v>85</v>
      </c>
    </row>
    <row r="385" spans="1:16" x14ac:dyDescent="0.25">
      <c r="A385" s="10" t="s">
        <v>799</v>
      </c>
      <c r="B385" s="10" t="s">
        <v>302</v>
      </c>
      <c r="C385" s="136" t="s">
        <v>303</v>
      </c>
      <c r="D385" s="136" t="s">
        <v>460</v>
      </c>
      <c r="E385" s="136" t="s">
        <v>76</v>
      </c>
      <c r="F385" s="10" t="s">
        <v>1672</v>
      </c>
      <c r="G385" s="10" t="s">
        <v>1677</v>
      </c>
      <c r="H385" s="137">
        <v>240</v>
      </c>
      <c r="I385" s="138"/>
      <c r="J385" s="10">
        <v>5514</v>
      </c>
      <c r="K385" s="136" t="s">
        <v>110</v>
      </c>
      <c r="L385" s="10">
        <v>55</v>
      </c>
      <c r="M385" s="10" t="s">
        <v>2219</v>
      </c>
      <c r="N385" s="136" t="s">
        <v>131</v>
      </c>
      <c r="O385" s="136" t="s">
        <v>549</v>
      </c>
      <c r="P385" s="136" t="s">
        <v>85</v>
      </c>
    </row>
    <row r="386" spans="1:16" x14ac:dyDescent="0.25">
      <c r="A386" s="139" t="s">
        <v>799</v>
      </c>
      <c r="B386" s="139" t="s">
        <v>302</v>
      </c>
      <c r="C386" s="140" t="s">
        <v>303</v>
      </c>
      <c r="D386" s="140" t="s">
        <v>460</v>
      </c>
      <c r="E386" s="140" t="s">
        <v>76</v>
      </c>
      <c r="F386" s="139" t="s">
        <v>1672</v>
      </c>
      <c r="G386" s="139" t="s">
        <v>1978</v>
      </c>
      <c r="H386" s="141">
        <v>135</v>
      </c>
      <c r="I386" s="142"/>
      <c r="J386" s="139">
        <v>5511</v>
      </c>
      <c r="K386" s="140" t="s">
        <v>106</v>
      </c>
      <c r="L386" s="139">
        <v>55</v>
      </c>
      <c r="M386" s="139" t="s">
        <v>2219</v>
      </c>
      <c r="N386" s="140" t="s">
        <v>131</v>
      </c>
      <c r="O386" s="140" t="s">
        <v>549</v>
      </c>
      <c r="P386" s="140" t="s">
        <v>85</v>
      </c>
    </row>
    <row r="387" spans="1:16" x14ac:dyDescent="0.25">
      <c r="A387" s="10" t="s">
        <v>799</v>
      </c>
      <c r="B387" s="10" t="s">
        <v>302</v>
      </c>
      <c r="C387" s="136" t="s">
        <v>303</v>
      </c>
      <c r="D387" s="136" t="s">
        <v>460</v>
      </c>
      <c r="E387" s="136" t="s">
        <v>76</v>
      </c>
      <c r="F387" s="10" t="s">
        <v>1672</v>
      </c>
      <c r="G387" s="10" t="s">
        <v>1982</v>
      </c>
      <c r="H387" s="137">
        <v>150</v>
      </c>
      <c r="I387" s="138"/>
      <c r="J387" s="10">
        <v>5511</v>
      </c>
      <c r="K387" s="136" t="s">
        <v>106</v>
      </c>
      <c r="L387" s="10">
        <v>55</v>
      </c>
      <c r="M387" s="10" t="s">
        <v>2219</v>
      </c>
      <c r="N387" s="136" t="s">
        <v>131</v>
      </c>
      <c r="O387" s="136" t="s">
        <v>549</v>
      </c>
      <c r="P387" s="136" t="s">
        <v>85</v>
      </c>
    </row>
    <row r="388" spans="1:16" x14ac:dyDescent="0.25">
      <c r="A388" s="139" t="s">
        <v>799</v>
      </c>
      <c r="B388" s="139" t="s">
        <v>302</v>
      </c>
      <c r="C388" s="140" t="s">
        <v>303</v>
      </c>
      <c r="D388" s="140" t="s">
        <v>460</v>
      </c>
      <c r="E388" s="140" t="s">
        <v>76</v>
      </c>
      <c r="F388" s="139" t="s">
        <v>1672</v>
      </c>
      <c r="G388" s="139" t="s">
        <v>2197</v>
      </c>
      <c r="H388" s="141">
        <v>850</v>
      </c>
      <c r="I388" s="142"/>
      <c r="J388" s="139">
        <v>5511</v>
      </c>
      <c r="K388" s="140" t="s">
        <v>106</v>
      </c>
      <c r="L388" s="139">
        <v>55</v>
      </c>
      <c r="M388" s="139" t="s">
        <v>2219</v>
      </c>
      <c r="N388" s="140" t="s">
        <v>131</v>
      </c>
      <c r="O388" s="140" t="s">
        <v>549</v>
      </c>
      <c r="P388" s="140" t="s">
        <v>85</v>
      </c>
    </row>
    <row r="389" spans="1:16" x14ac:dyDescent="0.25">
      <c r="A389" s="10" t="s">
        <v>799</v>
      </c>
      <c r="B389" s="10" t="s">
        <v>304</v>
      </c>
      <c r="C389" s="136" t="s">
        <v>305</v>
      </c>
      <c r="D389" s="136" t="s">
        <v>460</v>
      </c>
      <c r="E389" s="136" t="s">
        <v>76</v>
      </c>
      <c r="F389" s="10" t="s">
        <v>1088</v>
      </c>
      <c r="G389" s="10" t="s">
        <v>1095</v>
      </c>
      <c r="H389" s="137">
        <v>400</v>
      </c>
      <c r="I389" s="138"/>
      <c r="J389" s="10">
        <v>5511</v>
      </c>
      <c r="K389" s="136" t="s">
        <v>106</v>
      </c>
      <c r="L389" s="10">
        <v>55</v>
      </c>
      <c r="M389" s="10" t="s">
        <v>2219</v>
      </c>
      <c r="N389" s="136" t="s">
        <v>131</v>
      </c>
      <c r="O389" s="136" t="s">
        <v>549</v>
      </c>
      <c r="P389" s="136" t="s">
        <v>85</v>
      </c>
    </row>
    <row r="390" spans="1:16" x14ac:dyDescent="0.25">
      <c r="A390" s="139" t="s">
        <v>799</v>
      </c>
      <c r="B390" s="139" t="s">
        <v>304</v>
      </c>
      <c r="C390" s="140" t="s">
        <v>305</v>
      </c>
      <c r="D390" s="140" t="s">
        <v>460</v>
      </c>
      <c r="E390" s="140" t="s">
        <v>76</v>
      </c>
      <c r="F390" s="139" t="s">
        <v>1088</v>
      </c>
      <c r="G390" s="139" t="s">
        <v>1089</v>
      </c>
      <c r="H390" s="141">
        <v>320</v>
      </c>
      <c r="I390" s="142" t="s">
        <v>1090</v>
      </c>
      <c r="J390" s="139">
        <v>5500</v>
      </c>
      <c r="K390" s="140" t="s">
        <v>100</v>
      </c>
      <c r="L390" s="139">
        <v>55</v>
      </c>
      <c r="M390" s="139" t="s">
        <v>2219</v>
      </c>
      <c r="N390" s="140" t="s">
        <v>131</v>
      </c>
      <c r="O390" s="140" t="s">
        <v>549</v>
      </c>
      <c r="P390" s="140" t="s">
        <v>85</v>
      </c>
    </row>
    <row r="391" spans="1:16" x14ac:dyDescent="0.25">
      <c r="A391" s="10" t="s">
        <v>799</v>
      </c>
      <c r="B391" s="10" t="s">
        <v>304</v>
      </c>
      <c r="C391" s="136" t="s">
        <v>305</v>
      </c>
      <c r="D391" s="136" t="s">
        <v>460</v>
      </c>
      <c r="E391" s="136" t="s">
        <v>76</v>
      </c>
      <c r="F391" s="10" t="s">
        <v>1088</v>
      </c>
      <c r="G391" s="10" t="s">
        <v>1091</v>
      </c>
      <c r="H391" s="137">
        <v>500</v>
      </c>
      <c r="I391" s="138" t="s">
        <v>1092</v>
      </c>
      <c r="J391" s="10">
        <v>5500</v>
      </c>
      <c r="K391" s="136" t="s">
        <v>100</v>
      </c>
      <c r="L391" s="10">
        <v>55</v>
      </c>
      <c r="M391" s="10" t="s">
        <v>2219</v>
      </c>
      <c r="N391" s="136" t="s">
        <v>131</v>
      </c>
      <c r="O391" s="136" t="s">
        <v>549</v>
      </c>
      <c r="P391" s="136" t="s">
        <v>85</v>
      </c>
    </row>
    <row r="392" spans="1:16" x14ac:dyDescent="0.25">
      <c r="A392" s="139" t="s">
        <v>799</v>
      </c>
      <c r="B392" s="139" t="s">
        <v>304</v>
      </c>
      <c r="C392" s="140" t="s">
        <v>305</v>
      </c>
      <c r="D392" s="140" t="s">
        <v>460</v>
      </c>
      <c r="E392" s="140" t="s">
        <v>76</v>
      </c>
      <c r="F392" s="139" t="s">
        <v>1088</v>
      </c>
      <c r="G392" s="139" t="s">
        <v>457</v>
      </c>
      <c r="H392" s="141">
        <v>1200</v>
      </c>
      <c r="I392" s="142" t="s">
        <v>1093</v>
      </c>
      <c r="J392" s="139">
        <v>5500</v>
      </c>
      <c r="K392" s="140" t="s">
        <v>100</v>
      </c>
      <c r="L392" s="139">
        <v>55</v>
      </c>
      <c r="M392" s="139" t="s">
        <v>2219</v>
      </c>
      <c r="N392" s="140" t="s">
        <v>131</v>
      </c>
      <c r="O392" s="140" t="s">
        <v>549</v>
      </c>
      <c r="P392" s="140" t="s">
        <v>85</v>
      </c>
    </row>
    <row r="393" spans="1:16" x14ac:dyDescent="0.25">
      <c r="A393" s="10" t="s">
        <v>799</v>
      </c>
      <c r="B393" s="10" t="s">
        <v>304</v>
      </c>
      <c r="C393" s="136" t="s">
        <v>305</v>
      </c>
      <c r="D393" s="136" t="s">
        <v>460</v>
      </c>
      <c r="E393" s="136" t="s">
        <v>76</v>
      </c>
      <c r="F393" s="10" t="s">
        <v>1088</v>
      </c>
      <c r="G393" s="10" t="s">
        <v>409</v>
      </c>
      <c r="H393" s="137">
        <v>350</v>
      </c>
      <c r="I393" s="138" t="s">
        <v>1094</v>
      </c>
      <c r="J393" s="10">
        <v>5504</v>
      </c>
      <c r="K393" s="136" t="s">
        <v>102</v>
      </c>
      <c r="L393" s="10">
        <v>55</v>
      </c>
      <c r="M393" s="10" t="s">
        <v>2219</v>
      </c>
      <c r="N393" s="136" t="s">
        <v>131</v>
      </c>
      <c r="O393" s="136" t="s">
        <v>549</v>
      </c>
      <c r="P393" s="136" t="s">
        <v>85</v>
      </c>
    </row>
    <row r="394" spans="1:16" x14ac:dyDescent="0.25">
      <c r="A394" s="139" t="s">
        <v>799</v>
      </c>
      <c r="B394" s="139" t="s">
        <v>304</v>
      </c>
      <c r="C394" s="140" t="s">
        <v>305</v>
      </c>
      <c r="D394" s="140" t="s">
        <v>460</v>
      </c>
      <c r="E394" s="140" t="s">
        <v>76</v>
      </c>
      <c r="F394" s="139" t="s">
        <v>1088</v>
      </c>
      <c r="G394" s="139" t="s">
        <v>442</v>
      </c>
      <c r="H394" s="141">
        <v>220</v>
      </c>
      <c r="I394" s="142" t="s">
        <v>1096</v>
      </c>
      <c r="J394" s="139">
        <v>5513</v>
      </c>
      <c r="K394" s="140" t="s">
        <v>111</v>
      </c>
      <c r="L394" s="139">
        <v>55</v>
      </c>
      <c r="M394" s="139" t="s">
        <v>2219</v>
      </c>
      <c r="N394" s="140" t="s">
        <v>131</v>
      </c>
      <c r="O394" s="140" t="s">
        <v>549</v>
      </c>
      <c r="P394" s="140" t="s">
        <v>85</v>
      </c>
    </row>
    <row r="395" spans="1:16" x14ac:dyDescent="0.25">
      <c r="A395" s="10" t="s">
        <v>799</v>
      </c>
      <c r="B395" s="10" t="s">
        <v>304</v>
      </c>
      <c r="C395" s="136" t="s">
        <v>305</v>
      </c>
      <c r="D395" s="136" t="s">
        <v>460</v>
      </c>
      <c r="E395" s="136" t="s">
        <v>76</v>
      </c>
      <c r="F395" s="10" t="s">
        <v>1088</v>
      </c>
      <c r="G395" s="10" t="s">
        <v>427</v>
      </c>
      <c r="H395" s="137">
        <v>100</v>
      </c>
      <c r="I395" s="138"/>
      <c r="J395" s="10">
        <v>5522</v>
      </c>
      <c r="K395" s="136" t="s">
        <v>115</v>
      </c>
      <c r="L395" s="10">
        <v>55</v>
      </c>
      <c r="M395" s="10" t="s">
        <v>2219</v>
      </c>
      <c r="N395" s="136" t="s">
        <v>131</v>
      </c>
      <c r="O395" s="136" t="s">
        <v>549</v>
      </c>
      <c r="P395" s="136" t="s">
        <v>85</v>
      </c>
    </row>
    <row r="396" spans="1:16" x14ac:dyDescent="0.25">
      <c r="A396" s="139" t="s">
        <v>799</v>
      </c>
      <c r="B396" s="139" t="s">
        <v>304</v>
      </c>
      <c r="C396" s="140" t="s">
        <v>305</v>
      </c>
      <c r="D396" s="140" t="s">
        <v>460</v>
      </c>
      <c r="E396" s="140" t="s">
        <v>76</v>
      </c>
      <c r="F396" s="139" t="s">
        <v>1088</v>
      </c>
      <c r="G396" s="139" t="s">
        <v>761</v>
      </c>
      <c r="H396" s="141">
        <v>3200</v>
      </c>
      <c r="I396" s="142"/>
      <c r="J396" s="139">
        <v>5523</v>
      </c>
      <c r="K396" s="140" t="s">
        <v>116</v>
      </c>
      <c r="L396" s="139">
        <v>55</v>
      </c>
      <c r="M396" s="139" t="s">
        <v>2219</v>
      </c>
      <c r="N396" s="140" t="s">
        <v>131</v>
      </c>
      <c r="O396" s="140" t="s">
        <v>549</v>
      </c>
      <c r="P396" s="140" t="s">
        <v>85</v>
      </c>
    </row>
    <row r="397" spans="1:16" x14ac:dyDescent="0.25">
      <c r="A397" s="10" t="s">
        <v>799</v>
      </c>
      <c r="B397" s="10" t="s">
        <v>304</v>
      </c>
      <c r="C397" s="136" t="s">
        <v>305</v>
      </c>
      <c r="D397" s="136" t="s">
        <v>460</v>
      </c>
      <c r="E397" s="136" t="s">
        <v>76</v>
      </c>
      <c r="F397" s="10" t="s">
        <v>1088</v>
      </c>
      <c r="G397" s="10" t="s">
        <v>1101</v>
      </c>
      <c r="H397" s="137">
        <v>500</v>
      </c>
      <c r="I397" s="138"/>
      <c r="J397" s="10">
        <v>5525</v>
      </c>
      <c r="K397" s="136" t="s">
        <v>118</v>
      </c>
      <c r="L397" s="10">
        <v>55</v>
      </c>
      <c r="M397" s="10" t="s">
        <v>2219</v>
      </c>
      <c r="N397" s="136" t="s">
        <v>131</v>
      </c>
      <c r="O397" s="136" t="s">
        <v>549</v>
      </c>
      <c r="P397" s="136" t="s">
        <v>85</v>
      </c>
    </row>
    <row r="398" spans="1:16" x14ac:dyDescent="0.25">
      <c r="A398" s="139" t="s">
        <v>799</v>
      </c>
      <c r="B398" s="139" t="s">
        <v>304</v>
      </c>
      <c r="C398" s="140" t="s">
        <v>305</v>
      </c>
      <c r="D398" s="140" t="s">
        <v>460</v>
      </c>
      <c r="E398" s="140" t="s">
        <v>76</v>
      </c>
      <c r="F398" s="139" t="s">
        <v>1088</v>
      </c>
      <c r="G398" s="139" t="s">
        <v>1097</v>
      </c>
      <c r="H398" s="141">
        <v>240</v>
      </c>
      <c r="I398" s="142" t="s">
        <v>1098</v>
      </c>
      <c r="J398" s="139">
        <v>5514</v>
      </c>
      <c r="K398" s="140" t="s">
        <v>110</v>
      </c>
      <c r="L398" s="139">
        <v>55</v>
      </c>
      <c r="M398" s="139" t="s">
        <v>2219</v>
      </c>
      <c r="N398" s="140" t="s">
        <v>131</v>
      </c>
      <c r="O398" s="140" t="s">
        <v>549</v>
      </c>
      <c r="P398" s="140" t="s">
        <v>85</v>
      </c>
    </row>
    <row r="399" spans="1:16" x14ac:dyDescent="0.25">
      <c r="A399" s="10" t="s">
        <v>799</v>
      </c>
      <c r="B399" s="10" t="s">
        <v>304</v>
      </c>
      <c r="C399" s="136" t="s">
        <v>305</v>
      </c>
      <c r="D399" s="136" t="s">
        <v>460</v>
      </c>
      <c r="E399" s="136" t="s">
        <v>76</v>
      </c>
      <c r="F399" s="10" t="s">
        <v>1088</v>
      </c>
      <c r="G399" s="10" t="s">
        <v>1099</v>
      </c>
      <c r="H399" s="137">
        <v>850</v>
      </c>
      <c r="I399" s="138" t="s">
        <v>1100</v>
      </c>
      <c r="J399" s="10">
        <v>5514</v>
      </c>
      <c r="K399" s="136" t="s">
        <v>110</v>
      </c>
      <c r="L399" s="10">
        <v>55</v>
      </c>
      <c r="M399" s="10" t="s">
        <v>2219</v>
      </c>
      <c r="N399" s="136" t="s">
        <v>131</v>
      </c>
      <c r="O399" s="136" t="s">
        <v>549</v>
      </c>
      <c r="P399" s="136" t="s">
        <v>85</v>
      </c>
    </row>
    <row r="400" spans="1:16" x14ac:dyDescent="0.25">
      <c r="A400" s="139" t="s">
        <v>799</v>
      </c>
      <c r="B400" s="139" t="s">
        <v>306</v>
      </c>
      <c r="C400" s="140" t="s">
        <v>307</v>
      </c>
      <c r="D400" s="140" t="s">
        <v>460</v>
      </c>
      <c r="E400" s="140" t="s">
        <v>76</v>
      </c>
      <c r="F400" s="139" t="s">
        <v>529</v>
      </c>
      <c r="G400" s="139" t="s">
        <v>751</v>
      </c>
      <c r="H400" s="141">
        <v>500</v>
      </c>
      <c r="I400" s="142"/>
      <c r="J400" s="139">
        <v>5500</v>
      </c>
      <c r="K400" s="140" t="s">
        <v>100</v>
      </c>
      <c r="L400" s="139">
        <v>55</v>
      </c>
      <c r="M400" s="139" t="s">
        <v>2219</v>
      </c>
      <c r="N400" s="140" t="s">
        <v>131</v>
      </c>
      <c r="O400" s="140" t="s">
        <v>549</v>
      </c>
      <c r="P400" s="140" t="s">
        <v>85</v>
      </c>
    </row>
    <row r="401" spans="1:16" x14ac:dyDescent="0.25">
      <c r="A401" s="10" t="s">
        <v>799</v>
      </c>
      <c r="B401" s="10" t="s">
        <v>306</v>
      </c>
      <c r="C401" s="136" t="s">
        <v>307</v>
      </c>
      <c r="D401" s="136" t="s">
        <v>460</v>
      </c>
      <c r="E401" s="136" t="s">
        <v>76</v>
      </c>
      <c r="F401" s="10" t="s">
        <v>529</v>
      </c>
      <c r="G401" s="10" t="s">
        <v>752</v>
      </c>
      <c r="H401" s="137">
        <v>2000</v>
      </c>
      <c r="I401" s="138"/>
      <c r="J401" s="10">
        <v>5500</v>
      </c>
      <c r="K401" s="136" t="s">
        <v>100</v>
      </c>
      <c r="L401" s="10">
        <v>55</v>
      </c>
      <c r="M401" s="10" t="s">
        <v>2219</v>
      </c>
      <c r="N401" s="136" t="s">
        <v>131</v>
      </c>
      <c r="O401" s="136" t="s">
        <v>549</v>
      </c>
      <c r="P401" s="136" t="s">
        <v>85</v>
      </c>
    </row>
    <row r="402" spans="1:16" x14ac:dyDescent="0.25">
      <c r="A402" s="139" t="s">
        <v>799</v>
      </c>
      <c r="B402" s="139" t="s">
        <v>306</v>
      </c>
      <c r="C402" s="140" t="s">
        <v>307</v>
      </c>
      <c r="D402" s="140" t="s">
        <v>460</v>
      </c>
      <c r="E402" s="140" t="s">
        <v>76</v>
      </c>
      <c r="F402" s="139" t="s">
        <v>529</v>
      </c>
      <c r="G402" s="139" t="s">
        <v>409</v>
      </c>
      <c r="H402" s="141">
        <v>1000</v>
      </c>
      <c r="I402" s="142"/>
      <c r="J402" s="139">
        <v>5504</v>
      </c>
      <c r="K402" s="140" t="s">
        <v>102</v>
      </c>
      <c r="L402" s="139">
        <v>55</v>
      </c>
      <c r="M402" s="139" t="s">
        <v>2219</v>
      </c>
      <c r="N402" s="140" t="s">
        <v>131</v>
      </c>
      <c r="O402" s="140" t="s">
        <v>549</v>
      </c>
      <c r="P402" s="140" t="s">
        <v>85</v>
      </c>
    </row>
    <row r="403" spans="1:16" x14ac:dyDescent="0.25">
      <c r="A403" s="10" t="s">
        <v>799</v>
      </c>
      <c r="B403" s="10" t="s">
        <v>306</v>
      </c>
      <c r="C403" s="136" t="s">
        <v>307</v>
      </c>
      <c r="D403" s="136" t="s">
        <v>460</v>
      </c>
      <c r="E403" s="136" t="s">
        <v>76</v>
      </c>
      <c r="F403" s="10" t="s">
        <v>529</v>
      </c>
      <c r="G403" s="10" t="s">
        <v>755</v>
      </c>
      <c r="H403" s="137">
        <v>1000</v>
      </c>
      <c r="I403" s="138"/>
      <c r="J403" s="10">
        <v>5513</v>
      </c>
      <c r="K403" s="136" t="s">
        <v>111</v>
      </c>
      <c r="L403" s="10">
        <v>55</v>
      </c>
      <c r="M403" s="10" t="s">
        <v>2219</v>
      </c>
      <c r="N403" s="136" t="s">
        <v>131</v>
      </c>
      <c r="O403" s="136" t="s">
        <v>549</v>
      </c>
      <c r="P403" s="136" t="s">
        <v>85</v>
      </c>
    </row>
    <row r="404" spans="1:16" x14ac:dyDescent="0.25">
      <c r="A404" s="139" t="s">
        <v>799</v>
      </c>
      <c r="B404" s="139" t="s">
        <v>306</v>
      </c>
      <c r="C404" s="140" t="s">
        <v>307</v>
      </c>
      <c r="D404" s="140" t="s">
        <v>460</v>
      </c>
      <c r="E404" s="140" t="s">
        <v>76</v>
      </c>
      <c r="F404" s="139" t="s">
        <v>529</v>
      </c>
      <c r="G404" s="139" t="s">
        <v>729</v>
      </c>
      <c r="H404" s="141">
        <v>1019</v>
      </c>
      <c r="I404" s="142" t="s">
        <v>759</v>
      </c>
      <c r="J404" s="139">
        <v>5515</v>
      </c>
      <c r="K404" s="140" t="s">
        <v>112</v>
      </c>
      <c r="L404" s="139">
        <v>55</v>
      </c>
      <c r="M404" s="139" t="s">
        <v>2219</v>
      </c>
      <c r="N404" s="140" t="s">
        <v>131</v>
      </c>
      <c r="O404" s="140" t="s">
        <v>549</v>
      </c>
      <c r="P404" s="140" t="s">
        <v>85</v>
      </c>
    </row>
    <row r="405" spans="1:16" x14ac:dyDescent="0.25">
      <c r="A405" s="10" t="s">
        <v>799</v>
      </c>
      <c r="B405" s="10" t="s">
        <v>306</v>
      </c>
      <c r="C405" s="136" t="s">
        <v>307</v>
      </c>
      <c r="D405" s="136" t="s">
        <v>460</v>
      </c>
      <c r="E405" s="136" t="s">
        <v>76</v>
      </c>
      <c r="F405" s="10" t="s">
        <v>529</v>
      </c>
      <c r="G405" s="10" t="s">
        <v>760</v>
      </c>
      <c r="H405" s="137">
        <v>500</v>
      </c>
      <c r="I405" s="138"/>
      <c r="J405" s="10">
        <v>5522</v>
      </c>
      <c r="K405" s="136" t="s">
        <v>115</v>
      </c>
      <c r="L405" s="10">
        <v>55</v>
      </c>
      <c r="M405" s="10" t="s">
        <v>2219</v>
      </c>
      <c r="N405" s="136" t="s">
        <v>131</v>
      </c>
      <c r="O405" s="136" t="s">
        <v>549</v>
      </c>
      <c r="P405" s="136" t="s">
        <v>85</v>
      </c>
    </row>
    <row r="406" spans="1:16" x14ac:dyDescent="0.25">
      <c r="A406" s="139" t="s">
        <v>799</v>
      </c>
      <c r="B406" s="139" t="s">
        <v>306</v>
      </c>
      <c r="C406" s="140" t="s">
        <v>307</v>
      </c>
      <c r="D406" s="140" t="s">
        <v>460</v>
      </c>
      <c r="E406" s="140" t="s">
        <v>76</v>
      </c>
      <c r="F406" s="139" t="s">
        <v>529</v>
      </c>
      <c r="G406" s="139" t="s">
        <v>761</v>
      </c>
      <c r="H406" s="141">
        <v>6500</v>
      </c>
      <c r="I406" s="142"/>
      <c r="J406" s="139">
        <v>5523</v>
      </c>
      <c r="K406" s="140" t="s">
        <v>116</v>
      </c>
      <c r="L406" s="139">
        <v>55</v>
      </c>
      <c r="M406" s="139" t="s">
        <v>2219</v>
      </c>
      <c r="N406" s="140" t="s">
        <v>131</v>
      </c>
      <c r="O406" s="140" t="s">
        <v>549</v>
      </c>
      <c r="P406" s="140" t="s">
        <v>85</v>
      </c>
    </row>
    <row r="407" spans="1:16" x14ac:dyDescent="0.25">
      <c r="A407" s="10" t="s">
        <v>799</v>
      </c>
      <c r="B407" s="10" t="s">
        <v>306</v>
      </c>
      <c r="C407" s="136" t="s">
        <v>307</v>
      </c>
      <c r="D407" s="136" t="s">
        <v>460</v>
      </c>
      <c r="E407" s="136" t="s">
        <v>76</v>
      </c>
      <c r="F407" s="10" t="s">
        <v>529</v>
      </c>
      <c r="G407" s="10" t="s">
        <v>762</v>
      </c>
      <c r="H407" s="137">
        <v>250</v>
      </c>
      <c r="I407" s="138"/>
      <c r="J407" s="10">
        <v>5525</v>
      </c>
      <c r="K407" s="136" t="s">
        <v>118</v>
      </c>
      <c r="L407" s="10">
        <v>55</v>
      </c>
      <c r="M407" s="10" t="s">
        <v>2219</v>
      </c>
      <c r="N407" s="136" t="s">
        <v>131</v>
      </c>
      <c r="O407" s="136" t="s">
        <v>549</v>
      </c>
      <c r="P407" s="136" t="s">
        <v>85</v>
      </c>
    </row>
    <row r="408" spans="1:16" x14ac:dyDescent="0.25">
      <c r="A408" s="139" t="s">
        <v>799</v>
      </c>
      <c r="B408" s="139" t="s">
        <v>306</v>
      </c>
      <c r="C408" s="140" t="s">
        <v>307</v>
      </c>
      <c r="D408" s="140" t="s">
        <v>460</v>
      </c>
      <c r="E408" s="140" t="s">
        <v>76</v>
      </c>
      <c r="F408" s="139" t="s">
        <v>529</v>
      </c>
      <c r="G408" s="139" t="s">
        <v>764</v>
      </c>
      <c r="H408" s="141">
        <v>400</v>
      </c>
      <c r="I408" s="142"/>
      <c r="J408" s="139">
        <v>5525</v>
      </c>
      <c r="K408" s="140" t="s">
        <v>118</v>
      </c>
      <c r="L408" s="139">
        <v>55</v>
      </c>
      <c r="M408" s="139" t="s">
        <v>2219</v>
      </c>
      <c r="N408" s="140" t="s">
        <v>131</v>
      </c>
      <c r="O408" s="140" t="s">
        <v>549</v>
      </c>
      <c r="P408" s="140" t="s">
        <v>85</v>
      </c>
    </row>
    <row r="409" spans="1:16" x14ac:dyDescent="0.25">
      <c r="A409" s="10" t="s">
        <v>799</v>
      </c>
      <c r="B409" s="10" t="s">
        <v>306</v>
      </c>
      <c r="C409" s="136" t="s">
        <v>307</v>
      </c>
      <c r="D409" s="136" t="s">
        <v>460</v>
      </c>
      <c r="E409" s="136" t="s">
        <v>76</v>
      </c>
      <c r="F409" s="10" t="s">
        <v>529</v>
      </c>
      <c r="G409" s="10" t="s">
        <v>765</v>
      </c>
      <c r="H409" s="137">
        <v>150</v>
      </c>
      <c r="I409" s="138"/>
      <c r="J409" s="10">
        <v>5525</v>
      </c>
      <c r="K409" s="136" t="s">
        <v>118</v>
      </c>
      <c r="L409" s="10">
        <v>55</v>
      </c>
      <c r="M409" s="10" t="s">
        <v>2219</v>
      </c>
      <c r="N409" s="136" t="s">
        <v>131</v>
      </c>
      <c r="O409" s="136" t="s">
        <v>549</v>
      </c>
      <c r="P409" s="136" t="s">
        <v>85</v>
      </c>
    </row>
    <row r="410" spans="1:16" x14ac:dyDescent="0.25">
      <c r="A410" s="139" t="s">
        <v>799</v>
      </c>
      <c r="B410" s="139" t="s">
        <v>306</v>
      </c>
      <c r="C410" s="140" t="s">
        <v>307</v>
      </c>
      <c r="D410" s="140" t="s">
        <v>460</v>
      </c>
      <c r="E410" s="140" t="s">
        <v>76</v>
      </c>
      <c r="F410" s="139" t="s">
        <v>529</v>
      </c>
      <c r="G410" s="139" t="s">
        <v>766</v>
      </c>
      <c r="H410" s="141">
        <v>150</v>
      </c>
      <c r="I410" s="142"/>
      <c r="J410" s="139">
        <v>5525</v>
      </c>
      <c r="K410" s="140" t="s">
        <v>118</v>
      </c>
      <c r="L410" s="139">
        <v>55</v>
      </c>
      <c r="M410" s="139" t="s">
        <v>2219</v>
      </c>
      <c r="N410" s="140" t="s">
        <v>131</v>
      </c>
      <c r="O410" s="140" t="s">
        <v>549</v>
      </c>
      <c r="P410" s="140" t="s">
        <v>85</v>
      </c>
    </row>
    <row r="411" spans="1:16" x14ac:dyDescent="0.25">
      <c r="A411" s="10" t="s">
        <v>799</v>
      </c>
      <c r="B411" s="10" t="s">
        <v>306</v>
      </c>
      <c r="C411" s="136" t="s">
        <v>307</v>
      </c>
      <c r="D411" s="136" t="s">
        <v>460</v>
      </c>
      <c r="E411" s="136" t="s">
        <v>76</v>
      </c>
      <c r="F411" s="10" t="s">
        <v>529</v>
      </c>
      <c r="G411" s="10" t="s">
        <v>767</v>
      </c>
      <c r="H411" s="137">
        <v>200</v>
      </c>
      <c r="I411" s="138"/>
      <c r="J411" s="10">
        <v>5525</v>
      </c>
      <c r="K411" s="136" t="s">
        <v>118</v>
      </c>
      <c r="L411" s="10">
        <v>55</v>
      </c>
      <c r="M411" s="10" t="s">
        <v>2219</v>
      </c>
      <c r="N411" s="136" t="s">
        <v>131</v>
      </c>
      <c r="O411" s="136" t="s">
        <v>549</v>
      </c>
      <c r="P411" s="136" t="s">
        <v>85</v>
      </c>
    </row>
    <row r="412" spans="1:16" x14ac:dyDescent="0.25">
      <c r="A412" s="139" t="s">
        <v>799</v>
      </c>
      <c r="B412" s="139" t="s">
        <v>306</v>
      </c>
      <c r="C412" s="140" t="s">
        <v>307</v>
      </c>
      <c r="D412" s="140" t="s">
        <v>460</v>
      </c>
      <c r="E412" s="140" t="s">
        <v>76</v>
      </c>
      <c r="F412" s="139" t="s">
        <v>529</v>
      </c>
      <c r="G412" s="139" t="s">
        <v>753</v>
      </c>
      <c r="H412" s="141">
        <v>250</v>
      </c>
      <c r="I412" s="142"/>
      <c r="J412" s="139">
        <v>5511</v>
      </c>
      <c r="K412" s="140" t="s">
        <v>106</v>
      </c>
      <c r="L412" s="139">
        <v>55</v>
      </c>
      <c r="M412" s="139" t="s">
        <v>2219</v>
      </c>
      <c r="N412" s="140" t="s">
        <v>131</v>
      </c>
      <c r="O412" s="140" t="s">
        <v>549</v>
      </c>
      <c r="P412" s="140" t="s">
        <v>85</v>
      </c>
    </row>
    <row r="413" spans="1:16" x14ac:dyDescent="0.25">
      <c r="A413" s="10" t="s">
        <v>799</v>
      </c>
      <c r="B413" s="10" t="s">
        <v>306</v>
      </c>
      <c r="C413" s="136" t="s">
        <v>307</v>
      </c>
      <c r="D413" s="136" t="s">
        <v>460</v>
      </c>
      <c r="E413" s="136" t="s">
        <v>76</v>
      </c>
      <c r="F413" s="10" t="s">
        <v>529</v>
      </c>
      <c r="G413" s="10" t="s">
        <v>756</v>
      </c>
      <c r="H413" s="137">
        <v>250</v>
      </c>
      <c r="I413" s="138"/>
      <c r="J413" s="10">
        <v>5514</v>
      </c>
      <c r="K413" s="136" t="s">
        <v>110</v>
      </c>
      <c r="L413" s="10">
        <v>55</v>
      </c>
      <c r="M413" s="10" t="s">
        <v>2219</v>
      </c>
      <c r="N413" s="136" t="s">
        <v>131</v>
      </c>
      <c r="O413" s="136" t="s">
        <v>549</v>
      </c>
      <c r="P413" s="136" t="s">
        <v>85</v>
      </c>
    </row>
    <row r="414" spans="1:16" x14ac:dyDescent="0.25">
      <c r="A414" s="139" t="s">
        <v>799</v>
      </c>
      <c r="B414" s="139" t="s">
        <v>306</v>
      </c>
      <c r="C414" s="140" t="s">
        <v>307</v>
      </c>
      <c r="D414" s="140" t="s">
        <v>460</v>
      </c>
      <c r="E414" s="140" t="s">
        <v>76</v>
      </c>
      <c r="F414" s="139" t="s">
        <v>529</v>
      </c>
      <c r="G414" s="139" t="s">
        <v>757</v>
      </c>
      <c r="H414" s="141">
        <v>1050</v>
      </c>
      <c r="I414" s="142"/>
      <c r="J414" s="139">
        <v>5514</v>
      </c>
      <c r="K414" s="140" t="s">
        <v>110</v>
      </c>
      <c r="L414" s="139">
        <v>55</v>
      </c>
      <c r="M414" s="139" t="s">
        <v>2219</v>
      </c>
      <c r="N414" s="140" t="s">
        <v>131</v>
      </c>
      <c r="O414" s="140" t="s">
        <v>549</v>
      </c>
      <c r="P414" s="140" t="s">
        <v>85</v>
      </c>
    </row>
    <row r="415" spans="1:16" x14ac:dyDescent="0.25">
      <c r="A415" s="10" t="s">
        <v>799</v>
      </c>
      <c r="B415" s="10" t="s">
        <v>308</v>
      </c>
      <c r="C415" s="136" t="s">
        <v>309</v>
      </c>
      <c r="D415" s="136" t="s">
        <v>460</v>
      </c>
      <c r="E415" s="136" t="s">
        <v>76</v>
      </c>
      <c r="F415" s="10" t="s">
        <v>529</v>
      </c>
      <c r="G415" s="10" t="s">
        <v>752</v>
      </c>
      <c r="H415" s="137">
        <v>1700</v>
      </c>
      <c r="I415" s="138"/>
      <c r="J415" s="10">
        <v>5500</v>
      </c>
      <c r="K415" s="136" t="s">
        <v>100</v>
      </c>
      <c r="L415" s="10">
        <v>55</v>
      </c>
      <c r="M415" s="10" t="s">
        <v>2219</v>
      </c>
      <c r="N415" s="136" t="s">
        <v>131</v>
      </c>
      <c r="O415" s="136" t="s">
        <v>549</v>
      </c>
      <c r="P415" s="136" t="s">
        <v>85</v>
      </c>
    </row>
    <row r="416" spans="1:16" x14ac:dyDescent="0.25">
      <c r="A416" s="139" t="s">
        <v>799</v>
      </c>
      <c r="B416" s="139" t="s">
        <v>308</v>
      </c>
      <c r="C416" s="140" t="s">
        <v>309</v>
      </c>
      <c r="D416" s="140" t="s">
        <v>460</v>
      </c>
      <c r="E416" s="140" t="s">
        <v>76</v>
      </c>
      <c r="F416" s="139" t="s">
        <v>529</v>
      </c>
      <c r="G416" s="139" t="s">
        <v>761</v>
      </c>
      <c r="H416" s="141">
        <v>4500</v>
      </c>
      <c r="I416" s="142"/>
      <c r="J416" s="139">
        <v>5523</v>
      </c>
      <c r="K416" s="140" t="s">
        <v>116</v>
      </c>
      <c r="L416" s="139">
        <v>55</v>
      </c>
      <c r="M416" s="139" t="s">
        <v>2219</v>
      </c>
      <c r="N416" s="140" t="s">
        <v>131</v>
      </c>
      <c r="O416" s="140" t="s">
        <v>549</v>
      </c>
      <c r="P416" s="140" t="s">
        <v>85</v>
      </c>
    </row>
    <row r="417" spans="1:16" x14ac:dyDescent="0.25">
      <c r="A417" s="10" t="s">
        <v>799</v>
      </c>
      <c r="B417" s="10" t="s">
        <v>308</v>
      </c>
      <c r="C417" s="136" t="s">
        <v>309</v>
      </c>
      <c r="D417" s="136" t="s">
        <v>460</v>
      </c>
      <c r="E417" s="136" t="s">
        <v>76</v>
      </c>
      <c r="F417" s="10" t="s">
        <v>529</v>
      </c>
      <c r="G417" s="10" t="s">
        <v>762</v>
      </c>
      <c r="H417" s="137">
        <v>250</v>
      </c>
      <c r="I417" s="138"/>
      <c r="J417" s="10">
        <v>5525</v>
      </c>
      <c r="K417" s="136" t="s">
        <v>118</v>
      </c>
      <c r="L417" s="10">
        <v>55</v>
      </c>
      <c r="M417" s="10" t="s">
        <v>2219</v>
      </c>
      <c r="N417" s="136" t="s">
        <v>131</v>
      </c>
      <c r="O417" s="136" t="s">
        <v>549</v>
      </c>
      <c r="P417" s="136" t="s">
        <v>85</v>
      </c>
    </row>
    <row r="418" spans="1:16" x14ac:dyDescent="0.25">
      <c r="A418" s="139" t="s">
        <v>799</v>
      </c>
      <c r="B418" s="139" t="s">
        <v>308</v>
      </c>
      <c r="C418" s="140" t="s">
        <v>309</v>
      </c>
      <c r="D418" s="140" t="s">
        <v>460</v>
      </c>
      <c r="E418" s="140" t="s">
        <v>76</v>
      </c>
      <c r="F418" s="139" t="s">
        <v>529</v>
      </c>
      <c r="G418" s="139" t="s">
        <v>763</v>
      </c>
      <c r="H418" s="141">
        <v>250</v>
      </c>
      <c r="I418" s="142"/>
      <c r="J418" s="139">
        <v>5525</v>
      </c>
      <c r="K418" s="140" t="s">
        <v>118</v>
      </c>
      <c r="L418" s="139">
        <v>55</v>
      </c>
      <c r="M418" s="139" t="s">
        <v>2219</v>
      </c>
      <c r="N418" s="140" t="s">
        <v>131</v>
      </c>
      <c r="O418" s="140" t="s">
        <v>549</v>
      </c>
      <c r="P418" s="140" t="s">
        <v>85</v>
      </c>
    </row>
    <row r="419" spans="1:16" x14ac:dyDescent="0.25">
      <c r="A419" s="10" t="s">
        <v>799</v>
      </c>
      <c r="B419" s="10" t="s">
        <v>308</v>
      </c>
      <c r="C419" s="136" t="s">
        <v>309</v>
      </c>
      <c r="D419" s="136" t="s">
        <v>460</v>
      </c>
      <c r="E419" s="136" t="s">
        <v>76</v>
      </c>
      <c r="F419" s="10" t="s">
        <v>529</v>
      </c>
      <c r="G419" s="10" t="s">
        <v>765</v>
      </c>
      <c r="H419" s="137">
        <v>150</v>
      </c>
      <c r="I419" s="138"/>
      <c r="J419" s="10">
        <v>5525</v>
      </c>
      <c r="K419" s="136" t="s">
        <v>118</v>
      </c>
      <c r="L419" s="10">
        <v>55</v>
      </c>
      <c r="M419" s="10" t="s">
        <v>2219</v>
      </c>
      <c r="N419" s="136" t="s">
        <v>131</v>
      </c>
      <c r="O419" s="136" t="s">
        <v>549</v>
      </c>
      <c r="P419" s="136" t="s">
        <v>85</v>
      </c>
    </row>
    <row r="420" spans="1:16" x14ac:dyDescent="0.25">
      <c r="A420" s="139" t="s">
        <v>799</v>
      </c>
      <c r="B420" s="139" t="s">
        <v>308</v>
      </c>
      <c r="C420" s="140" t="s">
        <v>309</v>
      </c>
      <c r="D420" s="140" t="s">
        <v>460</v>
      </c>
      <c r="E420" s="140" t="s">
        <v>76</v>
      </c>
      <c r="F420" s="139" t="s">
        <v>529</v>
      </c>
      <c r="G420" s="139" t="s">
        <v>753</v>
      </c>
      <c r="H420" s="141">
        <v>250</v>
      </c>
      <c r="I420" s="142"/>
      <c r="J420" s="139">
        <v>5511</v>
      </c>
      <c r="K420" s="140" t="s">
        <v>106</v>
      </c>
      <c r="L420" s="139">
        <v>55</v>
      </c>
      <c r="M420" s="139" t="s">
        <v>2219</v>
      </c>
      <c r="N420" s="140" t="s">
        <v>131</v>
      </c>
      <c r="O420" s="140" t="s">
        <v>549</v>
      </c>
      <c r="P420" s="140" t="s">
        <v>85</v>
      </c>
    </row>
    <row r="421" spans="1:16" x14ac:dyDescent="0.25">
      <c r="A421" s="10" t="s">
        <v>799</v>
      </c>
      <c r="B421" s="10" t="s">
        <v>308</v>
      </c>
      <c r="C421" s="136" t="s">
        <v>309</v>
      </c>
      <c r="D421" s="136" t="s">
        <v>460</v>
      </c>
      <c r="E421" s="136" t="s">
        <v>76</v>
      </c>
      <c r="F421" s="10" t="s">
        <v>529</v>
      </c>
      <c r="G421" s="10" t="s">
        <v>754</v>
      </c>
      <c r="H421" s="137">
        <v>200</v>
      </c>
      <c r="I421" s="138"/>
      <c r="J421" s="10">
        <v>5511</v>
      </c>
      <c r="K421" s="136" t="s">
        <v>106</v>
      </c>
      <c r="L421" s="10">
        <v>55</v>
      </c>
      <c r="M421" s="10" t="s">
        <v>2219</v>
      </c>
      <c r="N421" s="136" t="s">
        <v>131</v>
      </c>
      <c r="O421" s="136" t="s">
        <v>549</v>
      </c>
      <c r="P421" s="136" t="s">
        <v>85</v>
      </c>
    </row>
    <row r="422" spans="1:16" x14ac:dyDescent="0.25">
      <c r="A422" s="139" t="s">
        <v>799</v>
      </c>
      <c r="B422" s="139" t="s">
        <v>308</v>
      </c>
      <c r="C422" s="140" t="s">
        <v>309</v>
      </c>
      <c r="D422" s="140" t="s">
        <v>460</v>
      </c>
      <c r="E422" s="140" t="s">
        <v>76</v>
      </c>
      <c r="F422" s="139" t="s">
        <v>529</v>
      </c>
      <c r="G422" s="139" t="s">
        <v>756</v>
      </c>
      <c r="H422" s="141">
        <v>250</v>
      </c>
      <c r="I422" s="142"/>
      <c r="J422" s="139">
        <v>5514</v>
      </c>
      <c r="K422" s="140" t="s">
        <v>110</v>
      </c>
      <c r="L422" s="139">
        <v>55</v>
      </c>
      <c r="M422" s="139" t="s">
        <v>2219</v>
      </c>
      <c r="N422" s="140" t="s">
        <v>131</v>
      </c>
      <c r="O422" s="140" t="s">
        <v>549</v>
      </c>
      <c r="P422" s="140" t="s">
        <v>85</v>
      </c>
    </row>
    <row r="423" spans="1:16" x14ac:dyDescent="0.25">
      <c r="A423" s="10" t="s">
        <v>799</v>
      </c>
      <c r="B423" s="10" t="s">
        <v>308</v>
      </c>
      <c r="C423" s="136" t="s">
        <v>309</v>
      </c>
      <c r="D423" s="136" t="s">
        <v>460</v>
      </c>
      <c r="E423" s="136" t="s">
        <v>76</v>
      </c>
      <c r="F423" s="10" t="s">
        <v>529</v>
      </c>
      <c r="G423" s="10" t="s">
        <v>758</v>
      </c>
      <c r="H423" s="137">
        <v>1200</v>
      </c>
      <c r="I423" s="138"/>
      <c r="J423" s="10">
        <v>5514</v>
      </c>
      <c r="K423" s="136" t="s">
        <v>110</v>
      </c>
      <c r="L423" s="10">
        <v>55</v>
      </c>
      <c r="M423" s="10" t="s">
        <v>2219</v>
      </c>
      <c r="N423" s="136" t="s">
        <v>131</v>
      </c>
      <c r="O423" s="136" t="s">
        <v>549</v>
      </c>
      <c r="P423" s="136" t="s">
        <v>85</v>
      </c>
    </row>
    <row r="424" spans="1:16" x14ac:dyDescent="0.25">
      <c r="A424" s="139" t="s">
        <v>799</v>
      </c>
      <c r="B424" s="139" t="s">
        <v>308</v>
      </c>
      <c r="C424" s="140" t="s">
        <v>309</v>
      </c>
      <c r="D424" s="140" t="s">
        <v>460</v>
      </c>
      <c r="E424" s="140" t="s">
        <v>76</v>
      </c>
      <c r="F424" s="139" t="s">
        <v>529</v>
      </c>
      <c r="G424" s="139" t="s">
        <v>751</v>
      </c>
      <c r="H424" s="141">
        <v>500</v>
      </c>
      <c r="I424" s="142"/>
      <c r="J424" s="139">
        <v>5500</v>
      </c>
      <c r="K424" s="140" t="s">
        <v>100</v>
      </c>
      <c r="L424" s="139">
        <v>55</v>
      </c>
      <c r="M424" s="139" t="s">
        <v>2219</v>
      </c>
      <c r="N424" s="140" t="s">
        <v>131</v>
      </c>
      <c r="O424" s="140" t="s">
        <v>549</v>
      </c>
      <c r="P424" s="140" t="s">
        <v>85</v>
      </c>
    </row>
    <row r="425" spans="1:16" x14ac:dyDescent="0.25">
      <c r="A425" s="10" t="s">
        <v>799</v>
      </c>
      <c r="B425" s="10" t="s">
        <v>310</v>
      </c>
      <c r="C425" s="136" t="s">
        <v>311</v>
      </c>
      <c r="D425" s="136" t="s">
        <v>460</v>
      </c>
      <c r="E425" s="136" t="s">
        <v>76</v>
      </c>
      <c r="F425" s="10" t="s">
        <v>529</v>
      </c>
      <c r="G425" s="10" t="s">
        <v>752</v>
      </c>
      <c r="H425" s="137">
        <v>1300</v>
      </c>
      <c r="I425" s="138"/>
      <c r="J425" s="10">
        <v>5500</v>
      </c>
      <c r="K425" s="136" t="s">
        <v>100</v>
      </c>
      <c r="L425" s="10">
        <v>55</v>
      </c>
      <c r="M425" s="10" t="s">
        <v>2219</v>
      </c>
      <c r="N425" s="136" t="s">
        <v>131</v>
      </c>
      <c r="O425" s="136" t="s">
        <v>549</v>
      </c>
      <c r="P425" s="136" t="s">
        <v>85</v>
      </c>
    </row>
    <row r="426" spans="1:16" x14ac:dyDescent="0.25">
      <c r="A426" s="139" t="s">
        <v>799</v>
      </c>
      <c r="B426" s="139" t="s">
        <v>310</v>
      </c>
      <c r="C426" s="140" t="s">
        <v>311</v>
      </c>
      <c r="D426" s="140" t="s">
        <v>460</v>
      </c>
      <c r="E426" s="140" t="s">
        <v>76</v>
      </c>
      <c r="F426" s="139" t="s">
        <v>529</v>
      </c>
      <c r="G426" s="139" t="s">
        <v>761</v>
      </c>
      <c r="H426" s="141">
        <v>2500</v>
      </c>
      <c r="I426" s="142"/>
      <c r="J426" s="139">
        <v>5523</v>
      </c>
      <c r="K426" s="140" t="s">
        <v>116</v>
      </c>
      <c r="L426" s="139">
        <v>55</v>
      </c>
      <c r="M426" s="139" t="s">
        <v>2219</v>
      </c>
      <c r="N426" s="140" t="s">
        <v>131</v>
      </c>
      <c r="O426" s="140" t="s">
        <v>549</v>
      </c>
      <c r="P426" s="140" t="s">
        <v>85</v>
      </c>
    </row>
    <row r="427" spans="1:16" x14ac:dyDescent="0.25">
      <c r="A427" s="10" t="s">
        <v>799</v>
      </c>
      <c r="B427" s="10" t="s">
        <v>310</v>
      </c>
      <c r="C427" s="136" t="s">
        <v>311</v>
      </c>
      <c r="D427" s="136" t="s">
        <v>460</v>
      </c>
      <c r="E427" s="136" t="s">
        <v>76</v>
      </c>
      <c r="F427" s="10" t="s">
        <v>529</v>
      </c>
      <c r="G427" s="10" t="s">
        <v>765</v>
      </c>
      <c r="H427" s="137">
        <v>200</v>
      </c>
      <c r="I427" s="138"/>
      <c r="J427" s="10">
        <v>5525</v>
      </c>
      <c r="K427" s="136" t="s">
        <v>118</v>
      </c>
      <c r="L427" s="10">
        <v>55</v>
      </c>
      <c r="M427" s="10" t="s">
        <v>2219</v>
      </c>
      <c r="N427" s="136" t="s">
        <v>131</v>
      </c>
      <c r="O427" s="136" t="s">
        <v>549</v>
      </c>
      <c r="P427" s="136" t="s">
        <v>85</v>
      </c>
    </row>
    <row r="428" spans="1:16" x14ac:dyDescent="0.25">
      <c r="A428" s="139" t="s">
        <v>799</v>
      </c>
      <c r="B428" s="139" t="s">
        <v>310</v>
      </c>
      <c r="C428" s="140" t="s">
        <v>311</v>
      </c>
      <c r="D428" s="140" t="s">
        <v>460</v>
      </c>
      <c r="E428" s="140" t="s">
        <v>76</v>
      </c>
      <c r="F428" s="139" t="s">
        <v>529</v>
      </c>
      <c r="G428" s="139" t="s">
        <v>753</v>
      </c>
      <c r="H428" s="141">
        <v>100</v>
      </c>
      <c r="I428" s="142"/>
      <c r="J428" s="139">
        <v>5511</v>
      </c>
      <c r="K428" s="140" t="s">
        <v>106</v>
      </c>
      <c r="L428" s="139">
        <v>55</v>
      </c>
      <c r="M428" s="139" t="s">
        <v>2219</v>
      </c>
      <c r="N428" s="140" t="s">
        <v>131</v>
      </c>
      <c r="O428" s="140" t="s">
        <v>549</v>
      </c>
      <c r="P428" s="140" t="s">
        <v>85</v>
      </c>
    </row>
    <row r="429" spans="1:16" x14ac:dyDescent="0.25">
      <c r="A429" s="10" t="s">
        <v>799</v>
      </c>
      <c r="B429" s="10" t="s">
        <v>310</v>
      </c>
      <c r="C429" s="136" t="s">
        <v>311</v>
      </c>
      <c r="D429" s="136" t="s">
        <v>460</v>
      </c>
      <c r="E429" s="136" t="s">
        <v>76</v>
      </c>
      <c r="F429" s="10" t="s">
        <v>529</v>
      </c>
      <c r="G429" s="10" t="s">
        <v>754</v>
      </c>
      <c r="H429" s="137">
        <v>200</v>
      </c>
      <c r="I429" s="138"/>
      <c r="J429" s="10">
        <v>5511</v>
      </c>
      <c r="K429" s="136" t="s">
        <v>106</v>
      </c>
      <c r="L429" s="10">
        <v>55</v>
      </c>
      <c r="M429" s="10" t="s">
        <v>2219</v>
      </c>
      <c r="N429" s="136" t="s">
        <v>131</v>
      </c>
      <c r="O429" s="136" t="s">
        <v>549</v>
      </c>
      <c r="P429" s="136" t="s">
        <v>85</v>
      </c>
    </row>
    <row r="430" spans="1:16" x14ac:dyDescent="0.25">
      <c r="A430" s="139" t="s">
        <v>799</v>
      </c>
      <c r="B430" s="139" t="s">
        <v>310</v>
      </c>
      <c r="C430" s="140" t="s">
        <v>311</v>
      </c>
      <c r="D430" s="140" t="s">
        <v>460</v>
      </c>
      <c r="E430" s="140" t="s">
        <v>76</v>
      </c>
      <c r="F430" s="139" t="s">
        <v>529</v>
      </c>
      <c r="G430" s="139" t="s">
        <v>756</v>
      </c>
      <c r="H430" s="141">
        <v>250</v>
      </c>
      <c r="I430" s="142"/>
      <c r="J430" s="139">
        <v>5514</v>
      </c>
      <c r="K430" s="140" t="s">
        <v>110</v>
      </c>
      <c r="L430" s="139">
        <v>55</v>
      </c>
      <c r="M430" s="139" t="s">
        <v>2219</v>
      </c>
      <c r="N430" s="140" t="s">
        <v>131</v>
      </c>
      <c r="O430" s="140" t="s">
        <v>549</v>
      </c>
      <c r="P430" s="140" t="s">
        <v>85</v>
      </c>
    </row>
    <row r="431" spans="1:16" x14ac:dyDescent="0.25">
      <c r="A431" s="10" t="s">
        <v>799</v>
      </c>
      <c r="B431" s="10" t="s">
        <v>310</v>
      </c>
      <c r="C431" s="136" t="s">
        <v>311</v>
      </c>
      <c r="D431" s="136" t="s">
        <v>460</v>
      </c>
      <c r="E431" s="136" t="s">
        <v>76</v>
      </c>
      <c r="F431" s="10" t="s">
        <v>529</v>
      </c>
      <c r="G431" s="10" t="s">
        <v>751</v>
      </c>
      <c r="H431" s="137">
        <v>300</v>
      </c>
      <c r="I431" s="138"/>
      <c r="J431" s="10">
        <v>5500</v>
      </c>
      <c r="K431" s="136" t="s">
        <v>100</v>
      </c>
      <c r="L431" s="10">
        <v>55</v>
      </c>
      <c r="M431" s="10" t="s">
        <v>2219</v>
      </c>
      <c r="N431" s="136" t="s">
        <v>131</v>
      </c>
      <c r="O431" s="136" t="s">
        <v>549</v>
      </c>
      <c r="P431" s="136" t="s">
        <v>85</v>
      </c>
    </row>
    <row r="432" spans="1:16" x14ac:dyDescent="0.25">
      <c r="A432" s="139" t="s">
        <v>799</v>
      </c>
      <c r="B432" s="139" t="s">
        <v>312</v>
      </c>
      <c r="C432" s="140" t="s">
        <v>313</v>
      </c>
      <c r="D432" s="140" t="s">
        <v>578</v>
      </c>
      <c r="E432" s="140" t="s">
        <v>76</v>
      </c>
      <c r="F432" s="139" t="s">
        <v>1839</v>
      </c>
      <c r="G432" s="139" t="s">
        <v>943</v>
      </c>
      <c r="H432" s="141">
        <v>1500</v>
      </c>
      <c r="I432" s="142"/>
      <c r="J432" s="139">
        <v>5511</v>
      </c>
      <c r="K432" s="140" t="s">
        <v>106</v>
      </c>
      <c r="L432" s="139">
        <v>55</v>
      </c>
      <c r="M432" s="139" t="s">
        <v>2219</v>
      </c>
      <c r="N432" s="140" t="s">
        <v>131</v>
      </c>
      <c r="O432" s="140" t="s">
        <v>549</v>
      </c>
      <c r="P432" s="140" t="s">
        <v>85</v>
      </c>
    </row>
    <row r="433" spans="1:16" x14ac:dyDescent="0.25">
      <c r="A433" s="10" t="s">
        <v>799</v>
      </c>
      <c r="B433" s="10" t="s">
        <v>312</v>
      </c>
      <c r="C433" s="136" t="s">
        <v>313</v>
      </c>
      <c r="D433" s="136" t="s">
        <v>578</v>
      </c>
      <c r="E433" s="136" t="s">
        <v>76</v>
      </c>
      <c r="F433" s="10" t="s">
        <v>1839</v>
      </c>
      <c r="G433" s="10" t="s">
        <v>1840</v>
      </c>
      <c r="H433" s="137">
        <v>170</v>
      </c>
      <c r="I433" s="138"/>
      <c r="J433" s="10">
        <v>5511</v>
      </c>
      <c r="K433" s="136" t="s">
        <v>106</v>
      </c>
      <c r="L433" s="10">
        <v>55</v>
      </c>
      <c r="M433" s="10" t="s">
        <v>2219</v>
      </c>
      <c r="N433" s="136" t="s">
        <v>131</v>
      </c>
      <c r="O433" s="136" t="s">
        <v>549</v>
      </c>
      <c r="P433" s="136" t="s">
        <v>85</v>
      </c>
    </row>
    <row r="434" spans="1:16" x14ac:dyDescent="0.25">
      <c r="A434" s="139" t="s">
        <v>799</v>
      </c>
      <c r="B434" s="139" t="s">
        <v>312</v>
      </c>
      <c r="C434" s="140" t="s">
        <v>313</v>
      </c>
      <c r="D434" s="140" t="s">
        <v>578</v>
      </c>
      <c r="E434" s="140" t="s">
        <v>76</v>
      </c>
      <c r="F434" s="139" t="s">
        <v>1839</v>
      </c>
      <c r="G434" s="139" t="s">
        <v>971</v>
      </c>
      <c r="H434" s="141">
        <v>85</v>
      </c>
      <c r="I434" s="142"/>
      <c r="J434" s="139">
        <v>5511</v>
      </c>
      <c r="K434" s="140" t="s">
        <v>106</v>
      </c>
      <c r="L434" s="139">
        <v>55</v>
      </c>
      <c r="M434" s="139" t="s">
        <v>2219</v>
      </c>
      <c r="N434" s="140" t="s">
        <v>131</v>
      </c>
      <c r="O434" s="140" t="s">
        <v>549</v>
      </c>
      <c r="P434" s="140" t="s">
        <v>85</v>
      </c>
    </row>
    <row r="435" spans="1:16" x14ac:dyDescent="0.25">
      <c r="A435" s="10" t="s">
        <v>799</v>
      </c>
      <c r="B435" s="10" t="s">
        <v>312</v>
      </c>
      <c r="C435" s="136" t="s">
        <v>313</v>
      </c>
      <c r="D435" s="136" t="s">
        <v>578</v>
      </c>
      <c r="E435" s="136" t="s">
        <v>76</v>
      </c>
      <c r="F435" s="10" t="s">
        <v>1839</v>
      </c>
      <c r="G435" s="10" t="s">
        <v>1841</v>
      </c>
      <c r="H435" s="137">
        <v>92.4</v>
      </c>
      <c r="I435" s="138"/>
      <c r="J435" s="10">
        <v>5511</v>
      </c>
      <c r="K435" s="136" t="s">
        <v>106</v>
      </c>
      <c r="L435" s="10">
        <v>55</v>
      </c>
      <c r="M435" s="10" t="s">
        <v>2219</v>
      </c>
      <c r="N435" s="136" t="s">
        <v>131</v>
      </c>
      <c r="O435" s="136" t="s">
        <v>549</v>
      </c>
      <c r="P435" s="136" t="s">
        <v>85</v>
      </c>
    </row>
    <row r="436" spans="1:16" x14ac:dyDescent="0.25">
      <c r="A436" s="139" t="s">
        <v>799</v>
      </c>
      <c r="B436" s="139" t="s">
        <v>312</v>
      </c>
      <c r="C436" s="140" t="s">
        <v>313</v>
      </c>
      <c r="D436" s="140" t="s">
        <v>578</v>
      </c>
      <c r="E436" s="140" t="s">
        <v>76</v>
      </c>
      <c r="F436" s="139" t="s">
        <v>1839</v>
      </c>
      <c r="G436" s="139" t="s">
        <v>1021</v>
      </c>
      <c r="H436" s="141">
        <v>1800</v>
      </c>
      <c r="I436" s="142"/>
      <c r="J436" s="139">
        <v>5511</v>
      </c>
      <c r="K436" s="140" t="s">
        <v>106</v>
      </c>
      <c r="L436" s="139">
        <v>55</v>
      </c>
      <c r="M436" s="139" t="s">
        <v>2219</v>
      </c>
      <c r="N436" s="140" t="s">
        <v>131</v>
      </c>
      <c r="O436" s="140" t="s">
        <v>549</v>
      </c>
      <c r="P436" s="140" t="s">
        <v>85</v>
      </c>
    </row>
    <row r="437" spans="1:16" x14ac:dyDescent="0.25">
      <c r="A437" s="10" t="s">
        <v>799</v>
      </c>
      <c r="B437" s="10" t="s">
        <v>312</v>
      </c>
      <c r="C437" s="136" t="s">
        <v>313</v>
      </c>
      <c r="D437" s="136" t="s">
        <v>578</v>
      </c>
      <c r="E437" s="136" t="s">
        <v>76</v>
      </c>
      <c r="F437" s="10" t="s">
        <v>1839</v>
      </c>
      <c r="G437" s="10" t="s">
        <v>1171</v>
      </c>
      <c r="H437" s="137">
        <v>200</v>
      </c>
      <c r="I437" s="138"/>
      <c r="J437" s="10">
        <v>5511</v>
      </c>
      <c r="K437" s="136" t="s">
        <v>106</v>
      </c>
      <c r="L437" s="10">
        <v>55</v>
      </c>
      <c r="M437" s="10" t="s">
        <v>2219</v>
      </c>
      <c r="N437" s="136" t="s">
        <v>131</v>
      </c>
      <c r="O437" s="136" t="s">
        <v>549</v>
      </c>
      <c r="P437" s="136" t="s">
        <v>85</v>
      </c>
    </row>
    <row r="438" spans="1:16" x14ac:dyDescent="0.25">
      <c r="A438" s="139" t="s">
        <v>799</v>
      </c>
      <c r="B438" s="139" t="s">
        <v>312</v>
      </c>
      <c r="C438" s="140" t="s">
        <v>313</v>
      </c>
      <c r="D438" s="140" t="s">
        <v>578</v>
      </c>
      <c r="E438" s="140" t="s">
        <v>76</v>
      </c>
      <c r="F438" s="139" t="s">
        <v>1839</v>
      </c>
      <c r="G438" s="139" t="s">
        <v>794</v>
      </c>
      <c r="H438" s="141">
        <v>600</v>
      </c>
      <c r="I438" s="142"/>
      <c r="J438" s="139">
        <v>5500</v>
      </c>
      <c r="K438" s="140" t="s">
        <v>100</v>
      </c>
      <c r="L438" s="139">
        <v>55</v>
      </c>
      <c r="M438" s="139" t="s">
        <v>2219</v>
      </c>
      <c r="N438" s="140" t="s">
        <v>131</v>
      </c>
      <c r="O438" s="140" t="s">
        <v>549</v>
      </c>
      <c r="P438" s="140" t="s">
        <v>85</v>
      </c>
    </row>
    <row r="439" spans="1:16" x14ac:dyDescent="0.25">
      <c r="A439" s="10" t="s">
        <v>799</v>
      </c>
      <c r="B439" s="10" t="s">
        <v>312</v>
      </c>
      <c r="C439" s="136" t="s">
        <v>313</v>
      </c>
      <c r="D439" s="136" t="s">
        <v>578</v>
      </c>
      <c r="E439" s="136" t="s">
        <v>76</v>
      </c>
      <c r="F439" s="10" t="s">
        <v>1839</v>
      </c>
      <c r="G439" s="10" t="s">
        <v>786</v>
      </c>
      <c r="H439" s="137">
        <v>250</v>
      </c>
      <c r="I439" s="138"/>
      <c r="J439" s="10">
        <v>5525</v>
      </c>
      <c r="K439" s="136" t="s">
        <v>118</v>
      </c>
      <c r="L439" s="10">
        <v>55</v>
      </c>
      <c r="M439" s="10" t="s">
        <v>2219</v>
      </c>
      <c r="N439" s="136" t="s">
        <v>131</v>
      </c>
      <c r="O439" s="136" t="s">
        <v>549</v>
      </c>
      <c r="P439" s="136" t="s">
        <v>85</v>
      </c>
    </row>
    <row r="440" spans="1:16" x14ac:dyDescent="0.25">
      <c r="A440" s="139" t="s">
        <v>799</v>
      </c>
      <c r="B440" s="139" t="s">
        <v>312</v>
      </c>
      <c r="C440" s="140" t="s">
        <v>313</v>
      </c>
      <c r="D440" s="140" t="s">
        <v>578</v>
      </c>
      <c r="E440" s="140" t="s">
        <v>76</v>
      </c>
      <c r="F440" s="139" t="s">
        <v>1839</v>
      </c>
      <c r="G440" s="139" t="s">
        <v>974</v>
      </c>
      <c r="H440" s="141">
        <v>160</v>
      </c>
      <c r="I440" s="142"/>
      <c r="J440" s="139">
        <v>5511</v>
      </c>
      <c r="K440" s="140" t="s">
        <v>106</v>
      </c>
      <c r="L440" s="139">
        <v>55</v>
      </c>
      <c r="M440" s="139" t="s">
        <v>2219</v>
      </c>
      <c r="N440" s="140" t="s">
        <v>131</v>
      </c>
      <c r="O440" s="140" t="s">
        <v>549</v>
      </c>
      <c r="P440" s="140" t="s">
        <v>85</v>
      </c>
    </row>
    <row r="441" spans="1:16" x14ac:dyDescent="0.25">
      <c r="A441" s="10" t="s">
        <v>799</v>
      </c>
      <c r="B441" s="10" t="s">
        <v>312</v>
      </c>
      <c r="C441" s="136" t="s">
        <v>313</v>
      </c>
      <c r="D441" s="136" t="s">
        <v>578</v>
      </c>
      <c r="E441" s="136" t="s">
        <v>76</v>
      </c>
      <c r="F441" s="10" t="s">
        <v>1839</v>
      </c>
      <c r="G441" s="10" t="s">
        <v>1873</v>
      </c>
      <c r="H441" s="137">
        <v>500</v>
      </c>
      <c r="I441" s="138"/>
      <c r="J441" s="10">
        <v>5511</v>
      </c>
      <c r="K441" s="136" t="s">
        <v>106</v>
      </c>
      <c r="L441" s="10">
        <v>55</v>
      </c>
      <c r="M441" s="10" t="s">
        <v>2219</v>
      </c>
      <c r="N441" s="136" t="s">
        <v>131</v>
      </c>
      <c r="O441" s="136" t="s">
        <v>549</v>
      </c>
      <c r="P441" s="136" t="s">
        <v>85</v>
      </c>
    </row>
    <row r="442" spans="1:16" ht="60" x14ac:dyDescent="0.25">
      <c r="A442" s="139" t="s">
        <v>799</v>
      </c>
      <c r="B442" s="139" t="s">
        <v>314</v>
      </c>
      <c r="C442" s="140" t="s">
        <v>315</v>
      </c>
      <c r="D442" s="140" t="s">
        <v>578</v>
      </c>
      <c r="E442" s="140" t="s">
        <v>76</v>
      </c>
      <c r="F442" s="139" t="s">
        <v>1845</v>
      </c>
      <c r="G442" s="162" t="s">
        <v>2155</v>
      </c>
      <c r="H442" s="141">
        <v>15000</v>
      </c>
      <c r="I442" s="142"/>
      <c r="J442" s="139">
        <v>5511</v>
      </c>
      <c r="K442" s="140" t="s">
        <v>106</v>
      </c>
      <c r="L442" s="139">
        <v>55</v>
      </c>
      <c r="M442" s="139" t="s">
        <v>2219</v>
      </c>
      <c r="N442" s="140" t="s">
        <v>131</v>
      </c>
      <c r="O442" s="140" t="s">
        <v>549</v>
      </c>
      <c r="P442" s="140" t="s">
        <v>85</v>
      </c>
    </row>
    <row r="443" spans="1:16" x14ac:dyDescent="0.25">
      <c r="A443" s="10" t="s">
        <v>799</v>
      </c>
      <c r="B443" s="10" t="s">
        <v>314</v>
      </c>
      <c r="C443" s="136" t="s">
        <v>315</v>
      </c>
      <c r="D443" s="136" t="s">
        <v>578</v>
      </c>
      <c r="E443" s="136" t="s">
        <v>76</v>
      </c>
      <c r="F443" s="10" t="s">
        <v>1845</v>
      </c>
      <c r="G443" s="10" t="s">
        <v>409</v>
      </c>
      <c r="H443" s="137">
        <v>800</v>
      </c>
      <c r="I443" s="138" t="s">
        <v>1847</v>
      </c>
      <c r="J443" s="10">
        <v>5504</v>
      </c>
      <c r="K443" s="136" t="s">
        <v>102</v>
      </c>
      <c r="L443" s="10">
        <v>55</v>
      </c>
      <c r="M443" s="10" t="s">
        <v>2219</v>
      </c>
      <c r="N443" s="136" t="s">
        <v>131</v>
      </c>
      <c r="O443" s="136" t="s">
        <v>549</v>
      </c>
      <c r="P443" s="136" t="s">
        <v>85</v>
      </c>
    </row>
    <row r="444" spans="1:16" x14ac:dyDescent="0.25">
      <c r="A444" s="139" t="s">
        <v>799</v>
      </c>
      <c r="B444" s="139" t="s">
        <v>314</v>
      </c>
      <c r="C444" s="140" t="s">
        <v>315</v>
      </c>
      <c r="D444" s="140" t="s">
        <v>578</v>
      </c>
      <c r="E444" s="140" t="s">
        <v>76</v>
      </c>
      <c r="F444" s="139" t="s">
        <v>1845</v>
      </c>
      <c r="G444" s="139" t="s">
        <v>1650</v>
      </c>
      <c r="H444" s="141">
        <v>1440</v>
      </c>
      <c r="I444" s="142" t="s">
        <v>1819</v>
      </c>
      <c r="J444" s="139">
        <v>5513</v>
      </c>
      <c r="K444" s="140" t="s">
        <v>111</v>
      </c>
      <c r="L444" s="139">
        <v>55</v>
      </c>
      <c r="M444" s="139" t="s">
        <v>2219</v>
      </c>
      <c r="N444" s="140" t="s">
        <v>131</v>
      </c>
      <c r="O444" s="140" t="s">
        <v>549</v>
      </c>
      <c r="P444" s="140" t="s">
        <v>85</v>
      </c>
    </row>
    <row r="445" spans="1:16" x14ac:dyDescent="0.25">
      <c r="A445" s="10" t="s">
        <v>799</v>
      </c>
      <c r="B445" s="10" t="s">
        <v>314</v>
      </c>
      <c r="C445" s="136" t="s">
        <v>315</v>
      </c>
      <c r="D445" s="136" t="s">
        <v>578</v>
      </c>
      <c r="E445" s="136" t="s">
        <v>76</v>
      </c>
      <c r="F445" s="10" t="s">
        <v>1845</v>
      </c>
      <c r="G445" s="10" t="s">
        <v>1848</v>
      </c>
      <c r="H445" s="137">
        <v>1000</v>
      </c>
      <c r="I445" s="138"/>
      <c r="J445" s="10">
        <v>5514</v>
      </c>
      <c r="K445" s="136" t="s">
        <v>110</v>
      </c>
      <c r="L445" s="10">
        <v>55</v>
      </c>
      <c r="M445" s="10" t="s">
        <v>2219</v>
      </c>
      <c r="N445" s="136" t="s">
        <v>131</v>
      </c>
      <c r="O445" s="136" t="s">
        <v>549</v>
      </c>
      <c r="P445" s="136" t="s">
        <v>85</v>
      </c>
    </row>
    <row r="446" spans="1:16" x14ac:dyDescent="0.25">
      <c r="A446" s="139" t="s">
        <v>799</v>
      </c>
      <c r="B446" s="139" t="s">
        <v>314</v>
      </c>
      <c r="C446" s="140" t="s">
        <v>315</v>
      </c>
      <c r="D446" s="140" t="s">
        <v>578</v>
      </c>
      <c r="E446" s="140" t="s">
        <v>76</v>
      </c>
      <c r="F446" s="139" t="s">
        <v>1845</v>
      </c>
      <c r="G446" s="139" t="s">
        <v>2100</v>
      </c>
      <c r="H446" s="141">
        <v>7200</v>
      </c>
      <c r="I446" s="142" t="s">
        <v>2194</v>
      </c>
      <c r="J446" s="139">
        <v>5525</v>
      </c>
      <c r="K446" s="140" t="s">
        <v>118</v>
      </c>
      <c r="L446" s="139">
        <v>55</v>
      </c>
      <c r="M446" s="139" t="s">
        <v>2219</v>
      </c>
      <c r="N446" s="140" t="s">
        <v>131</v>
      </c>
      <c r="O446" s="140" t="s">
        <v>549</v>
      </c>
      <c r="P446" s="140" t="s">
        <v>85</v>
      </c>
    </row>
    <row r="447" spans="1:16" x14ac:dyDescent="0.25">
      <c r="A447" s="10" t="s">
        <v>799</v>
      </c>
      <c r="B447" s="10" t="s">
        <v>314</v>
      </c>
      <c r="C447" s="136" t="s">
        <v>315</v>
      </c>
      <c r="D447" s="136" t="s">
        <v>578</v>
      </c>
      <c r="E447" s="136" t="s">
        <v>76</v>
      </c>
      <c r="F447" s="10" t="s">
        <v>1845</v>
      </c>
      <c r="G447" s="10" t="s">
        <v>794</v>
      </c>
      <c r="H447" s="137">
        <v>560.04999999999995</v>
      </c>
      <c r="I447" s="138"/>
      <c r="J447" s="10">
        <v>5500</v>
      </c>
      <c r="K447" s="136" t="s">
        <v>100</v>
      </c>
      <c r="L447" s="10">
        <v>55</v>
      </c>
      <c r="M447" s="10" t="s">
        <v>2219</v>
      </c>
      <c r="N447" s="136" t="s">
        <v>131</v>
      </c>
      <c r="O447" s="136" t="s">
        <v>549</v>
      </c>
      <c r="P447" s="136" t="s">
        <v>85</v>
      </c>
    </row>
    <row r="448" spans="1:16" x14ac:dyDescent="0.25">
      <c r="A448" s="139" t="s">
        <v>799</v>
      </c>
      <c r="B448" s="139" t="s">
        <v>314</v>
      </c>
      <c r="C448" s="140" t="s">
        <v>315</v>
      </c>
      <c r="D448" s="140" t="s">
        <v>578</v>
      </c>
      <c r="E448" s="140" t="s">
        <v>76</v>
      </c>
      <c r="F448" s="139" t="s">
        <v>1845</v>
      </c>
      <c r="G448" s="139" t="s">
        <v>1520</v>
      </c>
      <c r="H448" s="141">
        <v>300</v>
      </c>
      <c r="I448" s="142"/>
      <c r="J448" s="139">
        <v>5500</v>
      </c>
      <c r="K448" s="140" t="s">
        <v>100</v>
      </c>
      <c r="L448" s="139">
        <v>55</v>
      </c>
      <c r="M448" s="139" t="s">
        <v>2219</v>
      </c>
      <c r="N448" s="140" t="s">
        <v>131</v>
      </c>
      <c r="O448" s="140" t="s">
        <v>549</v>
      </c>
      <c r="P448" s="140" t="s">
        <v>85</v>
      </c>
    </row>
    <row r="449" spans="1:16" x14ac:dyDescent="0.25">
      <c r="A449" s="10" t="s">
        <v>799</v>
      </c>
      <c r="B449" s="10" t="s">
        <v>314</v>
      </c>
      <c r="C449" s="136" t="s">
        <v>315</v>
      </c>
      <c r="D449" s="136" t="s">
        <v>578</v>
      </c>
      <c r="E449" s="136" t="s">
        <v>76</v>
      </c>
      <c r="F449" s="10" t="s">
        <v>1845</v>
      </c>
      <c r="G449" s="10" t="s">
        <v>2156</v>
      </c>
      <c r="H449" s="137">
        <v>270</v>
      </c>
      <c r="I449" s="138"/>
      <c r="J449" s="10">
        <v>5525</v>
      </c>
      <c r="K449" s="136" t="s">
        <v>118</v>
      </c>
      <c r="L449" s="10">
        <v>55</v>
      </c>
      <c r="M449" s="10" t="s">
        <v>2219</v>
      </c>
      <c r="N449" s="136" t="s">
        <v>131</v>
      </c>
      <c r="O449" s="136" t="s">
        <v>549</v>
      </c>
      <c r="P449" s="136" t="s">
        <v>85</v>
      </c>
    </row>
    <row r="450" spans="1:16" x14ac:dyDescent="0.25">
      <c r="A450" s="139" t="s">
        <v>799</v>
      </c>
      <c r="B450" s="139" t="s">
        <v>314</v>
      </c>
      <c r="C450" s="140" t="s">
        <v>315</v>
      </c>
      <c r="D450" s="140" t="s">
        <v>578</v>
      </c>
      <c r="E450" s="140" t="s">
        <v>76</v>
      </c>
      <c r="F450" s="139" t="s">
        <v>1845</v>
      </c>
      <c r="G450" s="139" t="s">
        <v>2157</v>
      </c>
      <c r="H450" s="141">
        <v>270</v>
      </c>
      <c r="I450" s="142"/>
      <c r="J450" s="139">
        <v>5525</v>
      </c>
      <c r="K450" s="140" t="s">
        <v>118</v>
      </c>
      <c r="L450" s="139">
        <v>55</v>
      </c>
      <c r="M450" s="139" t="s">
        <v>2219</v>
      </c>
      <c r="N450" s="140" t="s">
        <v>131</v>
      </c>
      <c r="O450" s="140" t="s">
        <v>549</v>
      </c>
      <c r="P450" s="140" t="s">
        <v>85</v>
      </c>
    </row>
    <row r="451" spans="1:16" x14ac:dyDescent="0.25">
      <c r="A451" s="10" t="s">
        <v>799</v>
      </c>
      <c r="B451" s="10" t="s">
        <v>316</v>
      </c>
      <c r="C451" s="136" t="s">
        <v>317</v>
      </c>
      <c r="D451" s="136" t="s">
        <v>578</v>
      </c>
      <c r="E451" s="136" t="s">
        <v>76</v>
      </c>
      <c r="F451" s="10" t="s">
        <v>1788</v>
      </c>
      <c r="G451" s="10" t="s">
        <v>177</v>
      </c>
      <c r="H451" s="137">
        <v>16000</v>
      </c>
      <c r="I451" s="138" t="s">
        <v>1809</v>
      </c>
      <c r="J451" s="10">
        <v>5511</v>
      </c>
      <c r="K451" s="136" t="s">
        <v>106</v>
      </c>
      <c r="L451" s="10">
        <v>55</v>
      </c>
      <c r="M451" s="10" t="s">
        <v>2219</v>
      </c>
      <c r="N451" s="136" t="s">
        <v>131</v>
      </c>
      <c r="O451" s="136" t="s">
        <v>549</v>
      </c>
      <c r="P451" s="136" t="s">
        <v>85</v>
      </c>
    </row>
    <row r="452" spans="1:16" x14ac:dyDescent="0.25">
      <c r="A452" s="139" t="s">
        <v>799</v>
      </c>
      <c r="B452" s="139" t="s">
        <v>316</v>
      </c>
      <c r="C452" s="140" t="s">
        <v>317</v>
      </c>
      <c r="D452" s="140" t="s">
        <v>578</v>
      </c>
      <c r="E452" s="140" t="s">
        <v>76</v>
      </c>
      <c r="F452" s="139" t="s">
        <v>1788</v>
      </c>
      <c r="G452" s="139" t="s">
        <v>178</v>
      </c>
      <c r="H452" s="141">
        <v>4800</v>
      </c>
      <c r="I452" s="142" t="s">
        <v>1810</v>
      </c>
      <c r="J452" s="139">
        <v>5511</v>
      </c>
      <c r="K452" s="140" t="s">
        <v>106</v>
      </c>
      <c r="L452" s="139">
        <v>55</v>
      </c>
      <c r="M452" s="139" t="s">
        <v>2219</v>
      </c>
      <c r="N452" s="140" t="s">
        <v>131</v>
      </c>
      <c r="O452" s="140" t="s">
        <v>549</v>
      </c>
      <c r="P452" s="140" t="s">
        <v>85</v>
      </c>
    </row>
    <row r="453" spans="1:16" x14ac:dyDescent="0.25">
      <c r="A453" s="10" t="s">
        <v>799</v>
      </c>
      <c r="B453" s="10" t="s">
        <v>316</v>
      </c>
      <c r="C453" s="136" t="s">
        <v>317</v>
      </c>
      <c r="D453" s="136" t="s">
        <v>578</v>
      </c>
      <c r="E453" s="136" t="s">
        <v>76</v>
      </c>
      <c r="F453" s="10" t="s">
        <v>1788</v>
      </c>
      <c r="G453" s="10" t="s">
        <v>443</v>
      </c>
      <c r="H453" s="137">
        <v>2575</v>
      </c>
      <c r="I453" s="138" t="s">
        <v>1811</v>
      </c>
      <c r="J453" s="10">
        <v>5511</v>
      </c>
      <c r="K453" s="136" t="s">
        <v>106</v>
      </c>
      <c r="L453" s="10">
        <v>55</v>
      </c>
      <c r="M453" s="10" t="s">
        <v>2219</v>
      </c>
      <c r="N453" s="136" t="s">
        <v>131</v>
      </c>
      <c r="O453" s="136" t="s">
        <v>549</v>
      </c>
      <c r="P453" s="136" t="s">
        <v>85</v>
      </c>
    </row>
    <row r="454" spans="1:16" x14ac:dyDescent="0.25">
      <c r="A454" s="139" t="s">
        <v>799</v>
      </c>
      <c r="B454" s="139" t="s">
        <v>316</v>
      </c>
      <c r="C454" s="140" t="s">
        <v>317</v>
      </c>
      <c r="D454" s="140" t="s">
        <v>578</v>
      </c>
      <c r="E454" s="140" t="s">
        <v>76</v>
      </c>
      <c r="F454" s="139" t="s">
        <v>1788</v>
      </c>
      <c r="G454" s="139" t="s">
        <v>1289</v>
      </c>
      <c r="H454" s="141">
        <v>460</v>
      </c>
      <c r="I454" s="142" t="s">
        <v>1812</v>
      </c>
      <c r="J454" s="139">
        <v>5511</v>
      </c>
      <c r="K454" s="140" t="s">
        <v>106</v>
      </c>
      <c r="L454" s="139">
        <v>55</v>
      </c>
      <c r="M454" s="139" t="s">
        <v>2219</v>
      </c>
      <c r="N454" s="140" t="s">
        <v>131</v>
      </c>
      <c r="O454" s="140" t="s">
        <v>549</v>
      </c>
      <c r="P454" s="140" t="s">
        <v>85</v>
      </c>
    </row>
    <row r="455" spans="1:16" x14ac:dyDescent="0.25">
      <c r="A455" s="10" t="s">
        <v>799</v>
      </c>
      <c r="B455" s="10" t="s">
        <v>316</v>
      </c>
      <c r="C455" s="136" t="s">
        <v>317</v>
      </c>
      <c r="D455" s="136" t="s">
        <v>578</v>
      </c>
      <c r="E455" s="136" t="s">
        <v>76</v>
      </c>
      <c r="F455" s="10" t="s">
        <v>1788</v>
      </c>
      <c r="G455" s="10" t="s">
        <v>194</v>
      </c>
      <c r="H455" s="137">
        <v>360</v>
      </c>
      <c r="I455" s="138" t="s">
        <v>1813</v>
      </c>
      <c r="J455" s="10">
        <v>5511</v>
      </c>
      <c r="K455" s="136" t="s">
        <v>106</v>
      </c>
      <c r="L455" s="10">
        <v>55</v>
      </c>
      <c r="M455" s="10" t="s">
        <v>2219</v>
      </c>
      <c r="N455" s="136" t="s">
        <v>131</v>
      </c>
      <c r="O455" s="136" t="s">
        <v>549</v>
      </c>
      <c r="P455" s="136" t="s">
        <v>85</v>
      </c>
    </row>
    <row r="456" spans="1:16" x14ac:dyDescent="0.25">
      <c r="A456" s="139" t="s">
        <v>799</v>
      </c>
      <c r="B456" s="139" t="s">
        <v>316</v>
      </c>
      <c r="C456" s="140" t="s">
        <v>317</v>
      </c>
      <c r="D456" s="140" t="s">
        <v>578</v>
      </c>
      <c r="E456" s="140" t="s">
        <v>76</v>
      </c>
      <c r="F456" s="139" t="s">
        <v>1788</v>
      </c>
      <c r="G456" s="139" t="s">
        <v>1814</v>
      </c>
      <c r="H456" s="141">
        <v>400</v>
      </c>
      <c r="I456" s="142" t="s">
        <v>1815</v>
      </c>
      <c r="J456" s="139">
        <v>5511</v>
      </c>
      <c r="K456" s="140" t="s">
        <v>106</v>
      </c>
      <c r="L456" s="139">
        <v>55</v>
      </c>
      <c r="M456" s="139" t="s">
        <v>2219</v>
      </c>
      <c r="N456" s="140" t="s">
        <v>131</v>
      </c>
      <c r="O456" s="140" t="s">
        <v>549</v>
      </c>
      <c r="P456" s="140" t="s">
        <v>85</v>
      </c>
    </row>
    <row r="457" spans="1:16" x14ac:dyDescent="0.25">
      <c r="A457" s="10" t="s">
        <v>799</v>
      </c>
      <c r="B457" s="10" t="s">
        <v>316</v>
      </c>
      <c r="C457" s="136" t="s">
        <v>317</v>
      </c>
      <c r="D457" s="136" t="s">
        <v>578</v>
      </c>
      <c r="E457" s="136" t="s">
        <v>76</v>
      </c>
      <c r="F457" s="10" t="s">
        <v>1788</v>
      </c>
      <c r="G457" s="10" t="s">
        <v>1816</v>
      </c>
      <c r="H457" s="137">
        <v>100</v>
      </c>
      <c r="I457" s="138" t="s">
        <v>1817</v>
      </c>
      <c r="J457" s="10">
        <v>5511</v>
      </c>
      <c r="K457" s="136" t="s">
        <v>106</v>
      </c>
      <c r="L457" s="10">
        <v>55</v>
      </c>
      <c r="M457" s="10" t="s">
        <v>2219</v>
      </c>
      <c r="N457" s="136" t="s">
        <v>131</v>
      </c>
      <c r="O457" s="136" t="s">
        <v>549</v>
      </c>
      <c r="P457" s="136" t="s">
        <v>85</v>
      </c>
    </row>
    <row r="458" spans="1:16" x14ac:dyDescent="0.25">
      <c r="A458" s="139" t="s">
        <v>799</v>
      </c>
      <c r="B458" s="139" t="s">
        <v>316</v>
      </c>
      <c r="C458" s="140" t="s">
        <v>317</v>
      </c>
      <c r="D458" s="140" t="s">
        <v>578</v>
      </c>
      <c r="E458" s="140" t="s">
        <v>76</v>
      </c>
      <c r="F458" s="139" t="s">
        <v>1788</v>
      </c>
      <c r="G458" s="139" t="s">
        <v>1489</v>
      </c>
      <c r="H458" s="141">
        <v>220</v>
      </c>
      <c r="I458" s="142" t="s">
        <v>1818</v>
      </c>
      <c r="J458" s="139">
        <v>5511</v>
      </c>
      <c r="K458" s="140" t="s">
        <v>106</v>
      </c>
      <c r="L458" s="139">
        <v>55</v>
      </c>
      <c r="M458" s="139" t="s">
        <v>2219</v>
      </c>
      <c r="N458" s="140" t="s">
        <v>131</v>
      </c>
      <c r="O458" s="140" t="s">
        <v>549</v>
      </c>
      <c r="P458" s="140" t="s">
        <v>85</v>
      </c>
    </row>
    <row r="459" spans="1:16" x14ac:dyDescent="0.25">
      <c r="A459" s="10" t="s">
        <v>799</v>
      </c>
      <c r="B459" s="10" t="s">
        <v>316</v>
      </c>
      <c r="C459" s="136" t="s">
        <v>317</v>
      </c>
      <c r="D459" s="136" t="s">
        <v>578</v>
      </c>
      <c r="E459" s="136" t="s">
        <v>76</v>
      </c>
      <c r="F459" s="10" t="s">
        <v>1788</v>
      </c>
      <c r="G459" s="10" t="s">
        <v>1802</v>
      </c>
      <c r="H459" s="137">
        <v>730</v>
      </c>
      <c r="I459" s="138" t="s">
        <v>1803</v>
      </c>
      <c r="J459" s="10">
        <v>5500</v>
      </c>
      <c r="K459" s="136" t="s">
        <v>100</v>
      </c>
      <c r="L459" s="10">
        <v>55</v>
      </c>
      <c r="M459" s="10" t="s">
        <v>2219</v>
      </c>
      <c r="N459" s="136" t="s">
        <v>131</v>
      </c>
      <c r="O459" s="136" t="s">
        <v>549</v>
      </c>
      <c r="P459" s="136" t="s">
        <v>85</v>
      </c>
    </row>
    <row r="460" spans="1:16" x14ac:dyDescent="0.25">
      <c r="A460" s="139" t="s">
        <v>799</v>
      </c>
      <c r="B460" s="139" t="s">
        <v>316</v>
      </c>
      <c r="C460" s="140" t="s">
        <v>317</v>
      </c>
      <c r="D460" s="140" t="s">
        <v>578</v>
      </c>
      <c r="E460" s="140" t="s">
        <v>76</v>
      </c>
      <c r="F460" s="139" t="s">
        <v>1788</v>
      </c>
      <c r="G460" s="139" t="s">
        <v>1804</v>
      </c>
      <c r="H460" s="141">
        <v>120</v>
      </c>
      <c r="I460" s="140">
        <v>5273878</v>
      </c>
      <c r="J460" s="139">
        <v>5500</v>
      </c>
      <c r="K460" s="140" t="s">
        <v>100</v>
      </c>
      <c r="L460" s="139">
        <v>55</v>
      </c>
      <c r="M460" s="139" t="s">
        <v>2219</v>
      </c>
      <c r="N460" s="140" t="s">
        <v>131</v>
      </c>
      <c r="O460" s="140" t="s">
        <v>549</v>
      </c>
      <c r="P460" s="140" t="s">
        <v>85</v>
      </c>
    </row>
    <row r="461" spans="1:16" x14ac:dyDescent="0.25">
      <c r="A461" s="10" t="s">
        <v>799</v>
      </c>
      <c r="B461" s="10" t="s">
        <v>316</v>
      </c>
      <c r="C461" s="136" t="s">
        <v>317</v>
      </c>
      <c r="D461" s="136" t="s">
        <v>578</v>
      </c>
      <c r="E461" s="136" t="s">
        <v>76</v>
      </c>
      <c r="F461" s="10" t="s">
        <v>1788</v>
      </c>
      <c r="G461" s="10" t="s">
        <v>169</v>
      </c>
      <c r="H461" s="137">
        <v>110</v>
      </c>
      <c r="I461" s="138" t="s">
        <v>1805</v>
      </c>
      <c r="J461" s="10">
        <v>5500</v>
      </c>
      <c r="K461" s="136" t="s">
        <v>100</v>
      </c>
      <c r="L461" s="10">
        <v>55</v>
      </c>
      <c r="M461" s="10" t="s">
        <v>2219</v>
      </c>
      <c r="N461" s="136" t="s">
        <v>131</v>
      </c>
      <c r="O461" s="136" t="s">
        <v>549</v>
      </c>
      <c r="P461" s="136" t="s">
        <v>85</v>
      </c>
    </row>
    <row r="462" spans="1:16" x14ac:dyDescent="0.25">
      <c r="A462" s="139" t="s">
        <v>799</v>
      </c>
      <c r="B462" s="139" t="s">
        <v>316</v>
      </c>
      <c r="C462" s="140" t="s">
        <v>317</v>
      </c>
      <c r="D462" s="140" t="s">
        <v>578</v>
      </c>
      <c r="E462" s="140" t="s">
        <v>76</v>
      </c>
      <c r="F462" s="139" t="s">
        <v>1788</v>
      </c>
      <c r="G462" s="139" t="s">
        <v>1806</v>
      </c>
      <c r="H462" s="141">
        <v>190</v>
      </c>
      <c r="I462" s="142" t="s">
        <v>1807</v>
      </c>
      <c r="J462" s="139">
        <v>5500</v>
      </c>
      <c r="K462" s="140" t="s">
        <v>100</v>
      </c>
      <c r="L462" s="139">
        <v>55</v>
      </c>
      <c r="M462" s="139" t="s">
        <v>2219</v>
      </c>
      <c r="N462" s="140" t="s">
        <v>131</v>
      </c>
      <c r="O462" s="140" t="s">
        <v>549</v>
      </c>
      <c r="P462" s="140" t="s">
        <v>85</v>
      </c>
    </row>
    <row r="463" spans="1:16" x14ac:dyDescent="0.25">
      <c r="A463" s="10" t="s">
        <v>799</v>
      </c>
      <c r="B463" s="10" t="s">
        <v>316</v>
      </c>
      <c r="C463" s="136" t="s">
        <v>317</v>
      </c>
      <c r="D463" s="136" t="s">
        <v>578</v>
      </c>
      <c r="E463" s="136" t="s">
        <v>76</v>
      </c>
      <c r="F463" s="10" t="s">
        <v>1788</v>
      </c>
      <c r="G463" s="10" t="s">
        <v>1521</v>
      </c>
      <c r="H463" s="137">
        <v>560</v>
      </c>
      <c r="I463" s="138" t="s">
        <v>1808</v>
      </c>
      <c r="J463" s="10">
        <v>5504</v>
      </c>
      <c r="K463" s="136" t="s">
        <v>102</v>
      </c>
      <c r="L463" s="10">
        <v>55</v>
      </c>
      <c r="M463" s="10" t="s">
        <v>2219</v>
      </c>
      <c r="N463" s="136" t="s">
        <v>131</v>
      </c>
      <c r="O463" s="136" t="s">
        <v>549</v>
      </c>
      <c r="P463" s="136" t="s">
        <v>85</v>
      </c>
    </row>
    <row r="464" spans="1:16" x14ac:dyDescent="0.25">
      <c r="A464" s="139" t="s">
        <v>799</v>
      </c>
      <c r="B464" s="139" t="s">
        <v>316</v>
      </c>
      <c r="C464" s="140" t="s">
        <v>317</v>
      </c>
      <c r="D464" s="140" t="s">
        <v>578</v>
      </c>
      <c r="E464" s="140" t="s">
        <v>76</v>
      </c>
      <c r="F464" s="139" t="s">
        <v>1788</v>
      </c>
      <c r="G464" s="139" t="s">
        <v>1650</v>
      </c>
      <c r="H464" s="141">
        <v>1536</v>
      </c>
      <c r="I464" s="142" t="s">
        <v>1819</v>
      </c>
      <c r="J464" s="139">
        <v>5513</v>
      </c>
      <c r="K464" s="140" t="s">
        <v>111</v>
      </c>
      <c r="L464" s="139">
        <v>55</v>
      </c>
      <c r="M464" s="139" t="s">
        <v>2219</v>
      </c>
      <c r="N464" s="140" t="s">
        <v>131</v>
      </c>
      <c r="O464" s="140" t="s">
        <v>549</v>
      </c>
      <c r="P464" s="140" t="s">
        <v>85</v>
      </c>
    </row>
    <row r="465" spans="1:16" x14ac:dyDescent="0.25">
      <c r="A465" s="10" t="s">
        <v>799</v>
      </c>
      <c r="B465" s="10" t="s">
        <v>316</v>
      </c>
      <c r="C465" s="136" t="s">
        <v>317</v>
      </c>
      <c r="D465" s="136" t="s">
        <v>578</v>
      </c>
      <c r="E465" s="136" t="s">
        <v>76</v>
      </c>
      <c r="F465" s="10" t="s">
        <v>1788</v>
      </c>
      <c r="G465" s="10" t="s">
        <v>1792</v>
      </c>
      <c r="H465" s="137">
        <v>400</v>
      </c>
      <c r="I465" s="138" t="s">
        <v>1793</v>
      </c>
      <c r="J465" s="10">
        <v>5525</v>
      </c>
      <c r="K465" s="136" t="s">
        <v>118</v>
      </c>
      <c r="L465" s="10">
        <v>55</v>
      </c>
      <c r="M465" s="10" t="s">
        <v>2219</v>
      </c>
      <c r="N465" s="136" t="s">
        <v>131</v>
      </c>
      <c r="O465" s="136" t="s">
        <v>549</v>
      </c>
      <c r="P465" s="136" t="s">
        <v>85</v>
      </c>
    </row>
    <row r="466" spans="1:16" x14ac:dyDescent="0.25">
      <c r="A466" s="139" t="s">
        <v>799</v>
      </c>
      <c r="B466" s="139" t="s">
        <v>316</v>
      </c>
      <c r="C466" s="140" t="s">
        <v>317</v>
      </c>
      <c r="D466" s="140" t="s">
        <v>578</v>
      </c>
      <c r="E466" s="140" t="s">
        <v>76</v>
      </c>
      <c r="F466" s="139" t="s">
        <v>1788</v>
      </c>
      <c r="G466" s="139" t="s">
        <v>1822</v>
      </c>
      <c r="H466" s="141">
        <v>3200</v>
      </c>
      <c r="I466" s="142"/>
      <c r="J466" s="139">
        <v>5515</v>
      </c>
      <c r="K466" s="140" t="s">
        <v>112</v>
      </c>
      <c r="L466" s="139">
        <v>55</v>
      </c>
      <c r="M466" s="139" t="s">
        <v>2219</v>
      </c>
      <c r="N466" s="140" t="s">
        <v>131</v>
      </c>
      <c r="O466" s="140" t="s">
        <v>549</v>
      </c>
      <c r="P466" s="140" t="s">
        <v>85</v>
      </c>
    </row>
    <row r="467" spans="1:16" x14ac:dyDescent="0.25">
      <c r="A467" s="10" t="s">
        <v>799</v>
      </c>
      <c r="B467" s="10" t="s">
        <v>316</v>
      </c>
      <c r="C467" s="136" t="s">
        <v>317</v>
      </c>
      <c r="D467" s="136" t="s">
        <v>578</v>
      </c>
      <c r="E467" s="136" t="s">
        <v>76</v>
      </c>
      <c r="F467" s="10" t="s">
        <v>1788</v>
      </c>
      <c r="G467" s="10" t="s">
        <v>1823</v>
      </c>
      <c r="H467" s="137">
        <v>400</v>
      </c>
      <c r="I467" s="138"/>
      <c r="J467" s="10">
        <v>5522</v>
      </c>
      <c r="K467" s="136" t="s">
        <v>115</v>
      </c>
      <c r="L467" s="10">
        <v>55</v>
      </c>
      <c r="M467" s="10" t="s">
        <v>2219</v>
      </c>
      <c r="N467" s="136" t="s">
        <v>131</v>
      </c>
      <c r="O467" s="136" t="s">
        <v>549</v>
      </c>
      <c r="P467" s="136" t="s">
        <v>85</v>
      </c>
    </row>
    <row r="468" spans="1:16" x14ac:dyDescent="0.25">
      <c r="A468" s="139" t="s">
        <v>799</v>
      </c>
      <c r="B468" s="139" t="s">
        <v>316</v>
      </c>
      <c r="C468" s="140" t="s">
        <v>317</v>
      </c>
      <c r="D468" s="140" t="s">
        <v>578</v>
      </c>
      <c r="E468" s="140" t="s">
        <v>76</v>
      </c>
      <c r="F468" s="139" t="s">
        <v>1788</v>
      </c>
      <c r="G468" s="139" t="s">
        <v>1824</v>
      </c>
      <c r="H468" s="141">
        <v>390</v>
      </c>
      <c r="I468" s="142"/>
      <c r="J468" s="139">
        <v>5524</v>
      </c>
      <c r="K468" s="140" t="s">
        <v>117</v>
      </c>
      <c r="L468" s="139">
        <v>55</v>
      </c>
      <c r="M468" s="139" t="s">
        <v>2219</v>
      </c>
      <c r="N468" s="140" t="s">
        <v>131</v>
      </c>
      <c r="O468" s="140" t="s">
        <v>549</v>
      </c>
      <c r="P468" s="140" t="s">
        <v>85</v>
      </c>
    </row>
    <row r="469" spans="1:16" x14ac:dyDescent="0.25">
      <c r="A469" s="10" t="s">
        <v>799</v>
      </c>
      <c r="B469" s="10" t="s">
        <v>316</v>
      </c>
      <c r="C469" s="136" t="s">
        <v>317</v>
      </c>
      <c r="D469" s="136" t="s">
        <v>578</v>
      </c>
      <c r="E469" s="136" t="s">
        <v>76</v>
      </c>
      <c r="F469" s="10" t="s">
        <v>1788</v>
      </c>
      <c r="G469" s="10" t="s">
        <v>242</v>
      </c>
      <c r="H469" s="137">
        <v>100</v>
      </c>
      <c r="I469" s="138"/>
      <c r="J469" s="10">
        <v>5514</v>
      </c>
      <c r="K469" s="136" t="s">
        <v>110</v>
      </c>
      <c r="L469" s="10">
        <v>55</v>
      </c>
      <c r="M469" s="10" t="s">
        <v>2219</v>
      </c>
      <c r="N469" s="136" t="s">
        <v>131</v>
      </c>
      <c r="O469" s="136" t="s">
        <v>549</v>
      </c>
      <c r="P469" s="136" t="s">
        <v>85</v>
      </c>
    </row>
    <row r="470" spans="1:16" x14ac:dyDescent="0.25">
      <c r="A470" s="139" t="s">
        <v>799</v>
      </c>
      <c r="B470" s="139" t="s">
        <v>316</v>
      </c>
      <c r="C470" s="140" t="s">
        <v>317</v>
      </c>
      <c r="D470" s="140" t="s">
        <v>578</v>
      </c>
      <c r="E470" s="140" t="s">
        <v>76</v>
      </c>
      <c r="F470" s="139" t="s">
        <v>1788</v>
      </c>
      <c r="G470" s="139" t="s">
        <v>1794</v>
      </c>
      <c r="H470" s="141">
        <v>1200</v>
      </c>
      <c r="I470" s="142" t="s">
        <v>1796</v>
      </c>
      <c r="J470" s="139">
        <v>5525</v>
      </c>
      <c r="K470" s="140" t="s">
        <v>118</v>
      </c>
      <c r="L470" s="139">
        <v>55</v>
      </c>
      <c r="M470" s="139" t="s">
        <v>2219</v>
      </c>
      <c r="N470" s="140" t="s">
        <v>131</v>
      </c>
      <c r="O470" s="140" t="s">
        <v>549</v>
      </c>
      <c r="P470" s="140" t="s">
        <v>85</v>
      </c>
    </row>
    <row r="471" spans="1:16" x14ac:dyDescent="0.25">
      <c r="A471" s="10" t="s">
        <v>799</v>
      </c>
      <c r="B471" s="10" t="s">
        <v>316</v>
      </c>
      <c r="C471" s="136" t="s">
        <v>317</v>
      </c>
      <c r="D471" s="136" t="s">
        <v>578</v>
      </c>
      <c r="E471" s="136" t="s">
        <v>76</v>
      </c>
      <c r="F471" s="10" t="s">
        <v>1788</v>
      </c>
      <c r="G471" s="10" t="s">
        <v>1795</v>
      </c>
      <c r="H471" s="137">
        <v>1500</v>
      </c>
      <c r="I471" s="138" t="s">
        <v>1797</v>
      </c>
      <c r="J471" s="10">
        <v>5525</v>
      </c>
      <c r="K471" s="136" t="s">
        <v>118</v>
      </c>
      <c r="L471" s="10">
        <v>55</v>
      </c>
      <c r="M471" s="10" t="s">
        <v>2219</v>
      </c>
      <c r="N471" s="136" t="s">
        <v>131</v>
      </c>
      <c r="O471" s="136" t="s">
        <v>549</v>
      </c>
      <c r="P471" s="136" t="s">
        <v>85</v>
      </c>
    </row>
    <row r="472" spans="1:16" x14ac:dyDescent="0.25">
      <c r="A472" s="139" t="s">
        <v>799</v>
      </c>
      <c r="B472" s="139" t="s">
        <v>316</v>
      </c>
      <c r="C472" s="140" t="s">
        <v>317</v>
      </c>
      <c r="D472" s="140" t="s">
        <v>578</v>
      </c>
      <c r="E472" s="140" t="s">
        <v>76</v>
      </c>
      <c r="F472" s="139" t="s">
        <v>1788</v>
      </c>
      <c r="G472" s="139" t="s">
        <v>1798</v>
      </c>
      <c r="H472" s="141">
        <v>1000</v>
      </c>
      <c r="I472" s="142" t="s">
        <v>1800</v>
      </c>
      <c r="J472" s="139">
        <v>5525</v>
      </c>
      <c r="K472" s="140" t="s">
        <v>118</v>
      </c>
      <c r="L472" s="139">
        <v>55</v>
      </c>
      <c r="M472" s="139" t="s">
        <v>2219</v>
      </c>
      <c r="N472" s="140" t="s">
        <v>131</v>
      </c>
      <c r="O472" s="140" t="s">
        <v>549</v>
      </c>
      <c r="P472" s="140" t="s">
        <v>85</v>
      </c>
    </row>
    <row r="473" spans="1:16" x14ac:dyDescent="0.25">
      <c r="A473" s="10" t="s">
        <v>799</v>
      </c>
      <c r="B473" s="10" t="s">
        <v>316</v>
      </c>
      <c r="C473" s="136" t="s">
        <v>317</v>
      </c>
      <c r="D473" s="136" t="s">
        <v>578</v>
      </c>
      <c r="E473" s="136" t="s">
        <v>76</v>
      </c>
      <c r="F473" s="10" t="s">
        <v>1788</v>
      </c>
      <c r="G473" s="10" t="s">
        <v>1799</v>
      </c>
      <c r="H473" s="137">
        <v>2500</v>
      </c>
      <c r="I473" s="138" t="s">
        <v>1801</v>
      </c>
      <c r="J473" s="10">
        <v>5525</v>
      </c>
      <c r="K473" s="136" t="s">
        <v>118</v>
      </c>
      <c r="L473" s="10">
        <v>55</v>
      </c>
      <c r="M473" s="10" t="s">
        <v>2219</v>
      </c>
      <c r="N473" s="136" t="s">
        <v>131</v>
      </c>
      <c r="O473" s="136" t="s">
        <v>549</v>
      </c>
      <c r="P473" s="136" t="s">
        <v>85</v>
      </c>
    </row>
    <row r="474" spans="1:16" x14ac:dyDescent="0.25">
      <c r="A474" s="139" t="s">
        <v>799</v>
      </c>
      <c r="B474" s="139" t="s">
        <v>316</v>
      </c>
      <c r="C474" s="140" t="s">
        <v>317</v>
      </c>
      <c r="D474" s="140" t="s">
        <v>578</v>
      </c>
      <c r="E474" s="140" t="s">
        <v>76</v>
      </c>
      <c r="F474" s="139" t="s">
        <v>1788</v>
      </c>
      <c r="G474" s="139" t="s">
        <v>2115</v>
      </c>
      <c r="H474" s="141">
        <v>50</v>
      </c>
      <c r="I474" s="142" t="s">
        <v>440</v>
      </c>
      <c r="J474" s="139">
        <v>5525</v>
      </c>
      <c r="K474" s="140" t="s">
        <v>118</v>
      </c>
      <c r="L474" s="139">
        <v>55</v>
      </c>
      <c r="M474" s="139" t="s">
        <v>2219</v>
      </c>
      <c r="N474" s="140" t="s">
        <v>131</v>
      </c>
      <c r="O474" s="140" t="s">
        <v>549</v>
      </c>
      <c r="P474" s="140" t="s">
        <v>85</v>
      </c>
    </row>
    <row r="475" spans="1:16" x14ac:dyDescent="0.25">
      <c r="A475" s="10" t="s">
        <v>799</v>
      </c>
      <c r="B475" s="10" t="s">
        <v>316</v>
      </c>
      <c r="C475" s="136" t="s">
        <v>317</v>
      </c>
      <c r="D475" s="136" t="s">
        <v>578</v>
      </c>
      <c r="E475" s="136" t="s">
        <v>76</v>
      </c>
      <c r="F475" s="10" t="s">
        <v>1788</v>
      </c>
      <c r="G475" s="10" t="s">
        <v>1820</v>
      </c>
      <c r="H475" s="137">
        <v>400</v>
      </c>
      <c r="I475" s="138" t="s">
        <v>1821</v>
      </c>
      <c r="J475" s="10">
        <v>5540</v>
      </c>
      <c r="K475" s="136" t="s">
        <v>121</v>
      </c>
      <c r="L475" s="10">
        <v>55</v>
      </c>
      <c r="M475" s="10" t="s">
        <v>2219</v>
      </c>
      <c r="N475" s="136" t="s">
        <v>131</v>
      </c>
      <c r="O475" s="136" t="s">
        <v>549</v>
      </c>
      <c r="P475" s="136" t="s">
        <v>85</v>
      </c>
    </row>
    <row r="476" spans="1:16" x14ac:dyDescent="0.25">
      <c r="A476" s="139" t="s">
        <v>799</v>
      </c>
      <c r="B476" s="139" t="s">
        <v>320</v>
      </c>
      <c r="C476" s="140" t="s">
        <v>2054</v>
      </c>
      <c r="D476" s="140" t="s">
        <v>578</v>
      </c>
      <c r="E476" s="140" t="s">
        <v>76</v>
      </c>
      <c r="F476" s="139" t="s">
        <v>1110</v>
      </c>
      <c r="G476" s="139" t="s">
        <v>1119</v>
      </c>
      <c r="H476" s="141">
        <v>300</v>
      </c>
      <c r="I476" s="142"/>
      <c r="J476" s="139">
        <v>5500</v>
      </c>
      <c r="K476" s="140" t="s">
        <v>100</v>
      </c>
      <c r="L476" s="139">
        <v>55</v>
      </c>
      <c r="M476" s="139" t="s">
        <v>2219</v>
      </c>
      <c r="N476" s="140" t="s">
        <v>131</v>
      </c>
      <c r="O476" s="140" t="s">
        <v>549</v>
      </c>
      <c r="P476" s="140" t="s">
        <v>85</v>
      </c>
    </row>
    <row r="477" spans="1:16" x14ac:dyDescent="0.25">
      <c r="A477" s="10" t="s">
        <v>799</v>
      </c>
      <c r="B477" s="10" t="s">
        <v>320</v>
      </c>
      <c r="C477" s="136" t="s">
        <v>2054</v>
      </c>
      <c r="D477" s="136" t="s">
        <v>578</v>
      </c>
      <c r="E477" s="136" t="s">
        <v>76</v>
      </c>
      <c r="F477" s="10" t="s">
        <v>1110</v>
      </c>
      <c r="G477" s="10" t="s">
        <v>1120</v>
      </c>
      <c r="H477" s="137">
        <v>500</v>
      </c>
      <c r="I477" s="138"/>
      <c r="J477" s="10">
        <v>5500</v>
      </c>
      <c r="K477" s="136" t="s">
        <v>100</v>
      </c>
      <c r="L477" s="10">
        <v>55</v>
      </c>
      <c r="M477" s="10" t="s">
        <v>2219</v>
      </c>
      <c r="N477" s="136" t="s">
        <v>131</v>
      </c>
      <c r="O477" s="136" t="s">
        <v>549</v>
      </c>
      <c r="P477" s="136" t="s">
        <v>85</v>
      </c>
    </row>
    <row r="478" spans="1:16" x14ac:dyDescent="0.25">
      <c r="A478" s="139" t="s">
        <v>799</v>
      </c>
      <c r="B478" s="139" t="s">
        <v>320</v>
      </c>
      <c r="C478" s="140" t="s">
        <v>2054</v>
      </c>
      <c r="D478" s="140" t="s">
        <v>578</v>
      </c>
      <c r="E478" s="140" t="s">
        <v>76</v>
      </c>
      <c r="F478" s="139" t="s">
        <v>1110</v>
      </c>
      <c r="G478" s="139" t="s">
        <v>1121</v>
      </c>
      <c r="H478" s="141">
        <v>300</v>
      </c>
      <c r="I478" s="142" t="s">
        <v>1122</v>
      </c>
      <c r="J478" s="139">
        <v>5500</v>
      </c>
      <c r="K478" s="140" t="s">
        <v>100</v>
      </c>
      <c r="L478" s="139">
        <v>55</v>
      </c>
      <c r="M478" s="139" t="s">
        <v>2219</v>
      </c>
      <c r="N478" s="140" t="s">
        <v>131</v>
      </c>
      <c r="O478" s="140" t="s">
        <v>549</v>
      </c>
      <c r="P478" s="140" t="s">
        <v>85</v>
      </c>
    </row>
    <row r="479" spans="1:16" x14ac:dyDescent="0.25">
      <c r="A479" s="10" t="s">
        <v>799</v>
      </c>
      <c r="B479" s="10" t="s">
        <v>320</v>
      </c>
      <c r="C479" s="136" t="s">
        <v>2054</v>
      </c>
      <c r="D479" s="136" t="s">
        <v>578</v>
      </c>
      <c r="E479" s="136" t="s">
        <v>76</v>
      </c>
      <c r="F479" s="10" t="s">
        <v>1110</v>
      </c>
      <c r="G479" s="10" t="s">
        <v>1123</v>
      </c>
      <c r="H479" s="137">
        <v>100</v>
      </c>
      <c r="I479" s="138"/>
      <c r="J479" s="10">
        <v>5500</v>
      </c>
      <c r="K479" s="136" t="s">
        <v>100</v>
      </c>
      <c r="L479" s="10">
        <v>55</v>
      </c>
      <c r="M479" s="10" t="s">
        <v>2219</v>
      </c>
      <c r="N479" s="136" t="s">
        <v>131</v>
      </c>
      <c r="O479" s="136" t="s">
        <v>549</v>
      </c>
      <c r="P479" s="136" t="s">
        <v>85</v>
      </c>
    </row>
    <row r="480" spans="1:16" x14ac:dyDescent="0.25">
      <c r="A480" s="139" t="s">
        <v>799</v>
      </c>
      <c r="B480" s="139" t="s">
        <v>320</v>
      </c>
      <c r="C480" s="140" t="s">
        <v>2054</v>
      </c>
      <c r="D480" s="140" t="s">
        <v>578</v>
      </c>
      <c r="E480" s="140" t="s">
        <v>76</v>
      </c>
      <c r="F480" s="139" t="s">
        <v>1110</v>
      </c>
      <c r="G480" s="139" t="s">
        <v>1124</v>
      </c>
      <c r="H480" s="141">
        <v>400</v>
      </c>
      <c r="I480" s="142"/>
      <c r="J480" s="139">
        <v>5500</v>
      </c>
      <c r="K480" s="140" t="s">
        <v>100</v>
      </c>
      <c r="L480" s="139">
        <v>55</v>
      </c>
      <c r="M480" s="139" t="s">
        <v>2219</v>
      </c>
      <c r="N480" s="140" t="s">
        <v>131</v>
      </c>
      <c r="O480" s="140" t="s">
        <v>549</v>
      </c>
      <c r="P480" s="140" t="s">
        <v>85</v>
      </c>
    </row>
    <row r="481" spans="1:16" x14ac:dyDescent="0.25">
      <c r="A481" s="10" t="s">
        <v>799</v>
      </c>
      <c r="B481" s="10" t="s">
        <v>320</v>
      </c>
      <c r="C481" s="136" t="s">
        <v>2054</v>
      </c>
      <c r="D481" s="136" t="s">
        <v>578</v>
      </c>
      <c r="E481" s="136" t="s">
        <v>76</v>
      </c>
      <c r="F481" s="10" t="s">
        <v>1110</v>
      </c>
      <c r="G481" s="10" t="s">
        <v>409</v>
      </c>
      <c r="H481" s="137">
        <v>200</v>
      </c>
      <c r="I481" s="138"/>
      <c r="J481" s="10">
        <v>5504</v>
      </c>
      <c r="K481" s="136" t="s">
        <v>102</v>
      </c>
      <c r="L481" s="10">
        <v>55</v>
      </c>
      <c r="M481" s="10" t="s">
        <v>2219</v>
      </c>
      <c r="N481" s="136" t="s">
        <v>131</v>
      </c>
      <c r="O481" s="136" t="s">
        <v>549</v>
      </c>
      <c r="P481" s="136" t="s">
        <v>85</v>
      </c>
    </row>
    <row r="482" spans="1:16" x14ac:dyDescent="0.25">
      <c r="A482" s="139" t="s">
        <v>799</v>
      </c>
      <c r="B482" s="139" t="s">
        <v>320</v>
      </c>
      <c r="C482" s="140" t="s">
        <v>2054</v>
      </c>
      <c r="D482" s="140" t="s">
        <v>578</v>
      </c>
      <c r="E482" s="140" t="s">
        <v>76</v>
      </c>
      <c r="F482" s="139" t="s">
        <v>1110</v>
      </c>
      <c r="G482" s="139" t="s">
        <v>442</v>
      </c>
      <c r="H482" s="141">
        <v>900</v>
      </c>
      <c r="I482" s="142"/>
      <c r="J482" s="139">
        <v>5513</v>
      </c>
      <c r="K482" s="140" t="s">
        <v>111</v>
      </c>
      <c r="L482" s="139">
        <v>55</v>
      </c>
      <c r="M482" s="139" t="s">
        <v>2219</v>
      </c>
      <c r="N482" s="140" t="s">
        <v>131</v>
      </c>
      <c r="O482" s="140" t="s">
        <v>549</v>
      </c>
      <c r="P482" s="140" t="s">
        <v>85</v>
      </c>
    </row>
    <row r="483" spans="1:16" x14ac:dyDescent="0.25">
      <c r="A483" s="10" t="s">
        <v>799</v>
      </c>
      <c r="B483" s="10" t="s">
        <v>320</v>
      </c>
      <c r="C483" s="136" t="s">
        <v>2054</v>
      </c>
      <c r="D483" s="136" t="s">
        <v>578</v>
      </c>
      <c r="E483" s="136" t="s">
        <v>76</v>
      </c>
      <c r="F483" s="10" t="s">
        <v>1110</v>
      </c>
      <c r="G483" s="10" t="s">
        <v>1137</v>
      </c>
      <c r="H483" s="137">
        <v>400</v>
      </c>
      <c r="I483" s="138"/>
      <c r="J483" s="10">
        <v>5522</v>
      </c>
      <c r="K483" s="136" t="s">
        <v>115</v>
      </c>
      <c r="L483" s="10">
        <v>55</v>
      </c>
      <c r="M483" s="10" t="s">
        <v>2219</v>
      </c>
      <c r="N483" s="136" t="s">
        <v>131</v>
      </c>
      <c r="O483" s="136" t="s">
        <v>549</v>
      </c>
      <c r="P483" s="136" t="s">
        <v>85</v>
      </c>
    </row>
    <row r="484" spans="1:16" x14ac:dyDescent="0.25">
      <c r="A484" s="139" t="s">
        <v>799</v>
      </c>
      <c r="B484" s="139" t="s">
        <v>320</v>
      </c>
      <c r="C484" s="140" t="s">
        <v>2054</v>
      </c>
      <c r="D484" s="140" t="s">
        <v>578</v>
      </c>
      <c r="E484" s="140" t="s">
        <v>76</v>
      </c>
      <c r="F484" s="139" t="s">
        <v>1110</v>
      </c>
      <c r="G484" s="139" t="s">
        <v>786</v>
      </c>
      <c r="H484" s="141">
        <v>18800</v>
      </c>
      <c r="I484" s="142" t="s">
        <v>1136</v>
      </c>
      <c r="J484" s="139">
        <v>5525</v>
      </c>
      <c r="K484" s="140" t="s">
        <v>118</v>
      </c>
      <c r="L484" s="139">
        <v>55</v>
      </c>
      <c r="M484" s="139" t="s">
        <v>2219</v>
      </c>
      <c r="N484" s="140" t="s">
        <v>131</v>
      </c>
      <c r="O484" s="140" t="s">
        <v>549</v>
      </c>
      <c r="P484" s="140" t="s">
        <v>85</v>
      </c>
    </row>
    <row r="485" spans="1:16" x14ac:dyDescent="0.25">
      <c r="A485" s="10" t="s">
        <v>799</v>
      </c>
      <c r="B485" s="10" t="s">
        <v>320</v>
      </c>
      <c r="C485" s="136" t="s">
        <v>2054</v>
      </c>
      <c r="D485" s="136" t="s">
        <v>578</v>
      </c>
      <c r="E485" s="136" t="s">
        <v>76</v>
      </c>
      <c r="F485" s="10" t="s">
        <v>1110</v>
      </c>
      <c r="G485" s="10" t="s">
        <v>1138</v>
      </c>
      <c r="H485" s="137">
        <v>1000</v>
      </c>
      <c r="I485" s="138"/>
      <c r="J485" s="10">
        <v>5525</v>
      </c>
      <c r="K485" s="136" t="s">
        <v>118</v>
      </c>
      <c r="L485" s="10">
        <v>55</v>
      </c>
      <c r="M485" s="10" t="s">
        <v>2219</v>
      </c>
      <c r="N485" s="136" t="s">
        <v>131</v>
      </c>
      <c r="O485" s="136" t="s">
        <v>549</v>
      </c>
      <c r="P485" s="136" t="s">
        <v>85</v>
      </c>
    </row>
    <row r="486" spans="1:16" x14ac:dyDescent="0.25">
      <c r="A486" s="139" t="s">
        <v>799</v>
      </c>
      <c r="B486" s="139" t="s">
        <v>320</v>
      </c>
      <c r="C486" s="140" t="s">
        <v>2054</v>
      </c>
      <c r="D486" s="140" t="s">
        <v>578</v>
      </c>
      <c r="E486" s="140" t="s">
        <v>76</v>
      </c>
      <c r="F486" s="139" t="s">
        <v>1110</v>
      </c>
      <c r="G486" s="139" t="s">
        <v>1125</v>
      </c>
      <c r="H486" s="141">
        <v>20000</v>
      </c>
      <c r="I486" s="142"/>
      <c r="J486" s="139">
        <v>5511</v>
      </c>
      <c r="K486" s="140" t="s">
        <v>106</v>
      </c>
      <c r="L486" s="139">
        <v>55</v>
      </c>
      <c r="M486" s="139" t="s">
        <v>2219</v>
      </c>
      <c r="N486" s="140" t="s">
        <v>131</v>
      </c>
      <c r="O486" s="140" t="s">
        <v>549</v>
      </c>
      <c r="P486" s="140" t="s">
        <v>85</v>
      </c>
    </row>
    <row r="487" spans="1:16" x14ac:dyDescent="0.25">
      <c r="A487" s="10" t="s">
        <v>799</v>
      </c>
      <c r="B487" s="10" t="s">
        <v>320</v>
      </c>
      <c r="C487" s="136" t="s">
        <v>2054</v>
      </c>
      <c r="D487" s="136" t="s">
        <v>578</v>
      </c>
      <c r="E487" s="136" t="s">
        <v>76</v>
      </c>
      <c r="F487" s="10" t="s">
        <v>1110</v>
      </c>
      <c r="G487" s="10" t="s">
        <v>943</v>
      </c>
      <c r="H487" s="137">
        <v>3000</v>
      </c>
      <c r="I487" s="138"/>
      <c r="J487" s="10">
        <v>5511</v>
      </c>
      <c r="K487" s="136" t="s">
        <v>106</v>
      </c>
      <c r="L487" s="10">
        <v>55</v>
      </c>
      <c r="M487" s="10" t="s">
        <v>2219</v>
      </c>
      <c r="N487" s="136" t="s">
        <v>131</v>
      </c>
      <c r="O487" s="136" t="s">
        <v>549</v>
      </c>
      <c r="P487" s="136" t="s">
        <v>85</v>
      </c>
    </row>
    <row r="488" spans="1:16" x14ac:dyDescent="0.25">
      <c r="A488" s="139" t="s">
        <v>799</v>
      </c>
      <c r="B488" s="139" t="s">
        <v>320</v>
      </c>
      <c r="C488" s="140" t="s">
        <v>2054</v>
      </c>
      <c r="D488" s="140" t="s">
        <v>578</v>
      </c>
      <c r="E488" s="140" t="s">
        <v>76</v>
      </c>
      <c r="F488" s="139" t="s">
        <v>1110</v>
      </c>
      <c r="G488" s="139" t="s">
        <v>1126</v>
      </c>
      <c r="H488" s="141">
        <v>400</v>
      </c>
      <c r="I488" s="142"/>
      <c r="J488" s="139">
        <v>5511</v>
      </c>
      <c r="K488" s="140" t="s">
        <v>106</v>
      </c>
      <c r="L488" s="139">
        <v>55</v>
      </c>
      <c r="M488" s="139" t="s">
        <v>2219</v>
      </c>
      <c r="N488" s="140" t="s">
        <v>131</v>
      </c>
      <c r="O488" s="140" t="s">
        <v>549</v>
      </c>
      <c r="P488" s="140" t="s">
        <v>85</v>
      </c>
    </row>
    <row r="489" spans="1:16" x14ac:dyDescent="0.25">
      <c r="A489" s="10" t="s">
        <v>799</v>
      </c>
      <c r="B489" s="10" t="s">
        <v>320</v>
      </c>
      <c r="C489" s="136" t="s">
        <v>2054</v>
      </c>
      <c r="D489" s="136" t="s">
        <v>578</v>
      </c>
      <c r="E489" s="136" t="s">
        <v>76</v>
      </c>
      <c r="F489" s="10" t="s">
        <v>1110</v>
      </c>
      <c r="G489" s="10" t="s">
        <v>1127</v>
      </c>
      <c r="H489" s="137">
        <v>2000</v>
      </c>
      <c r="I489" s="138" t="s">
        <v>1128</v>
      </c>
      <c r="J489" s="10">
        <v>5511</v>
      </c>
      <c r="K489" s="136" t="s">
        <v>106</v>
      </c>
      <c r="L489" s="10">
        <v>55</v>
      </c>
      <c r="M489" s="10" t="s">
        <v>2219</v>
      </c>
      <c r="N489" s="136" t="s">
        <v>131</v>
      </c>
      <c r="O489" s="136" t="s">
        <v>549</v>
      </c>
      <c r="P489" s="136" t="s">
        <v>85</v>
      </c>
    </row>
    <row r="490" spans="1:16" x14ac:dyDescent="0.25">
      <c r="A490" s="139" t="s">
        <v>799</v>
      </c>
      <c r="B490" s="139" t="s">
        <v>320</v>
      </c>
      <c r="C490" s="140" t="s">
        <v>2054</v>
      </c>
      <c r="D490" s="140" t="s">
        <v>578</v>
      </c>
      <c r="E490" s="140" t="s">
        <v>76</v>
      </c>
      <c r="F490" s="139" t="s">
        <v>1110</v>
      </c>
      <c r="G490" s="139" t="s">
        <v>971</v>
      </c>
      <c r="H490" s="141">
        <v>100</v>
      </c>
      <c r="I490" s="142"/>
      <c r="J490" s="139">
        <v>5511</v>
      </c>
      <c r="K490" s="140" t="s">
        <v>106</v>
      </c>
      <c r="L490" s="139">
        <v>55</v>
      </c>
      <c r="M490" s="139" t="s">
        <v>2219</v>
      </c>
      <c r="N490" s="140" t="s">
        <v>131</v>
      </c>
      <c r="O490" s="140" t="s">
        <v>549</v>
      </c>
      <c r="P490" s="140" t="s">
        <v>85</v>
      </c>
    </row>
    <row r="491" spans="1:16" x14ac:dyDescent="0.25">
      <c r="A491" s="10" t="s">
        <v>799</v>
      </c>
      <c r="B491" s="10" t="s">
        <v>320</v>
      </c>
      <c r="C491" s="136" t="s">
        <v>2054</v>
      </c>
      <c r="D491" s="136" t="s">
        <v>578</v>
      </c>
      <c r="E491" s="136" t="s">
        <v>76</v>
      </c>
      <c r="F491" s="10" t="s">
        <v>1110</v>
      </c>
      <c r="G491" s="10" t="s">
        <v>1129</v>
      </c>
      <c r="H491" s="137">
        <v>500</v>
      </c>
      <c r="I491" s="138"/>
      <c r="J491" s="10">
        <v>5511</v>
      </c>
      <c r="K491" s="136" t="s">
        <v>106</v>
      </c>
      <c r="L491" s="10">
        <v>55</v>
      </c>
      <c r="M491" s="10" t="s">
        <v>2219</v>
      </c>
      <c r="N491" s="136" t="s">
        <v>131</v>
      </c>
      <c r="O491" s="136" t="s">
        <v>549</v>
      </c>
      <c r="P491" s="136" t="s">
        <v>85</v>
      </c>
    </row>
    <row r="492" spans="1:16" x14ac:dyDescent="0.25">
      <c r="A492" s="139" t="s">
        <v>799</v>
      </c>
      <c r="B492" s="139" t="s">
        <v>320</v>
      </c>
      <c r="C492" s="140" t="s">
        <v>2054</v>
      </c>
      <c r="D492" s="140" t="s">
        <v>578</v>
      </c>
      <c r="E492" s="140" t="s">
        <v>76</v>
      </c>
      <c r="F492" s="139" t="s">
        <v>1110</v>
      </c>
      <c r="G492" s="139" t="s">
        <v>1130</v>
      </c>
      <c r="H492" s="141">
        <v>100</v>
      </c>
      <c r="I492" s="142"/>
      <c r="J492" s="139">
        <v>5511</v>
      </c>
      <c r="K492" s="140" t="s">
        <v>106</v>
      </c>
      <c r="L492" s="139">
        <v>55</v>
      </c>
      <c r="M492" s="139" t="s">
        <v>2219</v>
      </c>
      <c r="N492" s="140" t="s">
        <v>131</v>
      </c>
      <c r="O492" s="140" t="s">
        <v>549</v>
      </c>
      <c r="P492" s="140" t="s">
        <v>85</v>
      </c>
    </row>
    <row r="493" spans="1:16" x14ac:dyDescent="0.25">
      <c r="A493" s="10" t="s">
        <v>799</v>
      </c>
      <c r="B493" s="10" t="s">
        <v>320</v>
      </c>
      <c r="C493" s="136" t="s">
        <v>2054</v>
      </c>
      <c r="D493" s="136" t="s">
        <v>578</v>
      </c>
      <c r="E493" s="136" t="s">
        <v>76</v>
      </c>
      <c r="F493" s="10" t="s">
        <v>1110</v>
      </c>
      <c r="G493" s="10" t="s">
        <v>1131</v>
      </c>
      <c r="H493" s="137">
        <v>500</v>
      </c>
      <c r="I493" s="138" t="s">
        <v>1132</v>
      </c>
      <c r="J493" s="10">
        <v>5511</v>
      </c>
      <c r="K493" s="136" t="s">
        <v>106</v>
      </c>
      <c r="L493" s="10">
        <v>55</v>
      </c>
      <c r="M493" s="10" t="s">
        <v>2219</v>
      </c>
      <c r="N493" s="136" t="s">
        <v>131</v>
      </c>
      <c r="O493" s="136" t="s">
        <v>549</v>
      </c>
      <c r="P493" s="136" t="s">
        <v>85</v>
      </c>
    </row>
    <row r="494" spans="1:16" x14ac:dyDescent="0.25">
      <c r="A494" s="139" t="s">
        <v>799</v>
      </c>
      <c r="B494" s="139" t="s">
        <v>320</v>
      </c>
      <c r="C494" s="140" t="s">
        <v>2054</v>
      </c>
      <c r="D494" s="140" t="s">
        <v>578</v>
      </c>
      <c r="E494" s="140" t="s">
        <v>76</v>
      </c>
      <c r="F494" s="139" t="s">
        <v>1110</v>
      </c>
      <c r="G494" s="139" t="s">
        <v>2179</v>
      </c>
      <c r="H494" s="141">
        <v>552</v>
      </c>
      <c r="I494" s="142"/>
      <c r="J494" s="139">
        <v>5513</v>
      </c>
      <c r="K494" s="140" t="s">
        <v>111</v>
      </c>
      <c r="L494" s="139">
        <v>55</v>
      </c>
      <c r="M494" s="139" t="s">
        <v>2219</v>
      </c>
      <c r="N494" s="140" t="s">
        <v>131</v>
      </c>
      <c r="O494" s="140" t="s">
        <v>549</v>
      </c>
      <c r="P494" s="140" t="s">
        <v>85</v>
      </c>
    </row>
    <row r="495" spans="1:16" x14ac:dyDescent="0.25">
      <c r="A495" s="10" t="s">
        <v>799</v>
      </c>
      <c r="B495" s="10" t="s">
        <v>321</v>
      </c>
      <c r="C495" s="136" t="s">
        <v>322</v>
      </c>
      <c r="D495" s="136" t="s">
        <v>578</v>
      </c>
      <c r="E495" s="136" t="s">
        <v>76</v>
      </c>
      <c r="F495" s="10" t="s">
        <v>1585</v>
      </c>
      <c r="G495" s="10" t="s">
        <v>1586</v>
      </c>
      <c r="H495" s="137">
        <v>8000</v>
      </c>
      <c r="I495" s="138"/>
      <c r="J495" s="10">
        <v>5511</v>
      </c>
      <c r="K495" s="136" t="s">
        <v>106</v>
      </c>
      <c r="L495" s="10">
        <v>55</v>
      </c>
      <c r="M495" s="10" t="s">
        <v>2219</v>
      </c>
      <c r="N495" s="136" t="s">
        <v>131</v>
      </c>
      <c r="O495" s="136" t="s">
        <v>549</v>
      </c>
      <c r="P495" s="136" t="s">
        <v>85</v>
      </c>
    </row>
    <row r="496" spans="1:16" x14ac:dyDescent="0.25">
      <c r="A496" s="139" t="s">
        <v>799</v>
      </c>
      <c r="B496" s="139" t="s">
        <v>321</v>
      </c>
      <c r="C496" s="140" t="s">
        <v>322</v>
      </c>
      <c r="D496" s="140" t="s">
        <v>578</v>
      </c>
      <c r="E496" s="140" t="s">
        <v>76</v>
      </c>
      <c r="F496" s="139" t="s">
        <v>1585</v>
      </c>
      <c r="G496" s="139" t="s">
        <v>1119</v>
      </c>
      <c r="H496" s="141">
        <v>120</v>
      </c>
      <c r="I496" s="142"/>
      <c r="J496" s="139">
        <v>5500</v>
      </c>
      <c r="K496" s="140" t="s">
        <v>100</v>
      </c>
      <c r="L496" s="139">
        <v>55</v>
      </c>
      <c r="M496" s="139" t="s">
        <v>2219</v>
      </c>
      <c r="N496" s="140" t="s">
        <v>131</v>
      </c>
      <c r="O496" s="140" t="s">
        <v>549</v>
      </c>
      <c r="P496" s="140" t="s">
        <v>85</v>
      </c>
    </row>
    <row r="497" spans="1:16" x14ac:dyDescent="0.25">
      <c r="A497" s="10" t="s">
        <v>799</v>
      </c>
      <c r="B497" s="10" t="s">
        <v>321</v>
      </c>
      <c r="C497" s="136" t="s">
        <v>322</v>
      </c>
      <c r="D497" s="136" t="s">
        <v>578</v>
      </c>
      <c r="E497" s="136" t="s">
        <v>76</v>
      </c>
      <c r="F497" s="10" t="s">
        <v>1585</v>
      </c>
      <c r="G497" s="10" t="s">
        <v>1521</v>
      </c>
      <c r="H497" s="137">
        <v>100</v>
      </c>
      <c r="I497" s="138"/>
      <c r="J497" s="10">
        <v>5504</v>
      </c>
      <c r="K497" s="136" t="s">
        <v>102</v>
      </c>
      <c r="L497" s="10">
        <v>55</v>
      </c>
      <c r="M497" s="10" t="s">
        <v>2219</v>
      </c>
      <c r="N497" s="136" t="s">
        <v>131</v>
      </c>
      <c r="O497" s="136" t="s">
        <v>549</v>
      </c>
      <c r="P497" s="136" t="s">
        <v>85</v>
      </c>
    </row>
    <row r="498" spans="1:16" x14ac:dyDescent="0.25">
      <c r="A498" s="139" t="s">
        <v>799</v>
      </c>
      <c r="B498" s="139" t="s">
        <v>321</v>
      </c>
      <c r="C498" s="140" t="s">
        <v>322</v>
      </c>
      <c r="D498" s="140" t="s">
        <v>578</v>
      </c>
      <c r="E498" s="140" t="s">
        <v>76</v>
      </c>
      <c r="F498" s="139" t="s">
        <v>1585</v>
      </c>
      <c r="G498" s="139" t="s">
        <v>1587</v>
      </c>
      <c r="H498" s="141">
        <v>400</v>
      </c>
      <c r="I498" s="142"/>
      <c r="J498" s="139">
        <v>5513</v>
      </c>
      <c r="K498" s="140" t="s">
        <v>111</v>
      </c>
      <c r="L498" s="139">
        <v>55</v>
      </c>
      <c r="M498" s="139" t="s">
        <v>2219</v>
      </c>
      <c r="N498" s="140" t="s">
        <v>131</v>
      </c>
      <c r="O498" s="140" t="s">
        <v>549</v>
      </c>
      <c r="P498" s="140" t="s">
        <v>85</v>
      </c>
    </row>
    <row r="499" spans="1:16" x14ac:dyDescent="0.25">
      <c r="A499" s="10" t="s">
        <v>799</v>
      </c>
      <c r="B499" s="10" t="s">
        <v>321</v>
      </c>
      <c r="C499" s="136" t="s">
        <v>322</v>
      </c>
      <c r="D499" s="136" t="s">
        <v>578</v>
      </c>
      <c r="E499" s="136" t="s">
        <v>76</v>
      </c>
      <c r="F499" s="10" t="s">
        <v>1585</v>
      </c>
      <c r="G499" s="10" t="s">
        <v>1589</v>
      </c>
      <c r="H499" s="137">
        <v>500</v>
      </c>
      <c r="I499" s="138"/>
      <c r="J499" s="10">
        <v>5515</v>
      </c>
      <c r="K499" s="136" t="s">
        <v>112</v>
      </c>
      <c r="L499" s="10">
        <v>55</v>
      </c>
      <c r="M499" s="10" t="s">
        <v>2219</v>
      </c>
      <c r="N499" s="136" t="s">
        <v>131</v>
      </c>
      <c r="O499" s="136" t="s">
        <v>549</v>
      </c>
      <c r="P499" s="136" t="s">
        <v>85</v>
      </c>
    </row>
    <row r="500" spans="1:16" x14ac:dyDescent="0.25">
      <c r="A500" s="139" t="s">
        <v>799</v>
      </c>
      <c r="B500" s="139" t="s">
        <v>321</v>
      </c>
      <c r="C500" s="140" t="s">
        <v>322</v>
      </c>
      <c r="D500" s="140" t="s">
        <v>578</v>
      </c>
      <c r="E500" s="140" t="s">
        <v>76</v>
      </c>
      <c r="F500" s="139" t="s">
        <v>1585</v>
      </c>
      <c r="G500" s="139" t="s">
        <v>786</v>
      </c>
      <c r="H500" s="141">
        <v>2730</v>
      </c>
      <c r="I500" s="142"/>
      <c r="J500" s="139">
        <v>5525</v>
      </c>
      <c r="K500" s="140" t="s">
        <v>118</v>
      </c>
      <c r="L500" s="139">
        <v>55</v>
      </c>
      <c r="M500" s="139" t="s">
        <v>2219</v>
      </c>
      <c r="N500" s="140" t="s">
        <v>131</v>
      </c>
      <c r="O500" s="140" t="s">
        <v>549</v>
      </c>
      <c r="P500" s="140" t="s">
        <v>85</v>
      </c>
    </row>
    <row r="501" spans="1:16" x14ac:dyDescent="0.25">
      <c r="A501" s="10" t="s">
        <v>799</v>
      </c>
      <c r="B501" s="10" t="s">
        <v>321</v>
      </c>
      <c r="C501" s="136" t="s">
        <v>322</v>
      </c>
      <c r="D501" s="136" t="s">
        <v>578</v>
      </c>
      <c r="E501" s="136" t="s">
        <v>76</v>
      </c>
      <c r="F501" s="10" t="s">
        <v>1585</v>
      </c>
      <c r="G501" s="10" t="s">
        <v>1588</v>
      </c>
      <c r="H501" s="137">
        <v>600</v>
      </c>
      <c r="I501" s="138"/>
      <c r="J501" s="10">
        <v>5514</v>
      </c>
      <c r="K501" s="136" t="s">
        <v>110</v>
      </c>
      <c r="L501" s="10">
        <v>55</v>
      </c>
      <c r="M501" s="10" t="s">
        <v>2219</v>
      </c>
      <c r="N501" s="136" t="s">
        <v>131</v>
      </c>
      <c r="O501" s="136" t="s">
        <v>549</v>
      </c>
      <c r="P501" s="136" t="s">
        <v>85</v>
      </c>
    </row>
    <row r="502" spans="1:16" x14ac:dyDescent="0.25">
      <c r="A502" s="139" t="s">
        <v>799</v>
      </c>
      <c r="B502" s="139" t="s">
        <v>323</v>
      </c>
      <c r="C502" s="140" t="s">
        <v>324</v>
      </c>
      <c r="D502" s="140" t="s">
        <v>578</v>
      </c>
      <c r="E502" s="140" t="s">
        <v>76</v>
      </c>
      <c r="F502" s="139" t="s">
        <v>1142</v>
      </c>
      <c r="G502" s="139" t="s">
        <v>1144</v>
      </c>
      <c r="H502" s="141">
        <v>350</v>
      </c>
      <c r="I502" s="142" t="s">
        <v>1145</v>
      </c>
      <c r="J502" s="139">
        <v>5500</v>
      </c>
      <c r="K502" s="140" t="s">
        <v>100</v>
      </c>
      <c r="L502" s="139">
        <v>55</v>
      </c>
      <c r="M502" s="139" t="s">
        <v>2219</v>
      </c>
      <c r="N502" s="140" t="s">
        <v>131</v>
      </c>
      <c r="O502" s="140" t="s">
        <v>549</v>
      </c>
      <c r="P502" s="140" t="s">
        <v>85</v>
      </c>
    </row>
    <row r="503" spans="1:16" x14ac:dyDescent="0.25">
      <c r="A503" s="10" t="s">
        <v>799</v>
      </c>
      <c r="B503" s="10" t="s">
        <v>323</v>
      </c>
      <c r="C503" s="136" t="s">
        <v>324</v>
      </c>
      <c r="D503" s="136" t="s">
        <v>578</v>
      </c>
      <c r="E503" s="136" t="s">
        <v>76</v>
      </c>
      <c r="F503" s="10" t="s">
        <v>1142</v>
      </c>
      <c r="G503" s="10" t="s">
        <v>1146</v>
      </c>
      <c r="H503" s="137">
        <v>100</v>
      </c>
      <c r="I503" s="138" t="s">
        <v>1147</v>
      </c>
      <c r="J503" s="10">
        <v>5500</v>
      </c>
      <c r="K503" s="136" t="s">
        <v>100</v>
      </c>
      <c r="L503" s="10">
        <v>55</v>
      </c>
      <c r="M503" s="10" t="s">
        <v>2219</v>
      </c>
      <c r="N503" s="136" t="s">
        <v>131</v>
      </c>
      <c r="O503" s="136" t="s">
        <v>549</v>
      </c>
      <c r="P503" s="136" t="s">
        <v>85</v>
      </c>
    </row>
    <row r="504" spans="1:16" x14ac:dyDescent="0.25">
      <c r="A504" s="139" t="s">
        <v>799</v>
      </c>
      <c r="B504" s="139" t="s">
        <v>323</v>
      </c>
      <c r="C504" s="140" t="s">
        <v>324</v>
      </c>
      <c r="D504" s="140" t="s">
        <v>578</v>
      </c>
      <c r="E504" s="140" t="s">
        <v>76</v>
      </c>
      <c r="F504" s="139" t="s">
        <v>1142</v>
      </c>
      <c r="G504" s="139" t="s">
        <v>1148</v>
      </c>
      <c r="H504" s="141">
        <v>50</v>
      </c>
      <c r="I504" s="142"/>
      <c r="J504" s="139">
        <v>5500</v>
      </c>
      <c r="K504" s="140" t="s">
        <v>100</v>
      </c>
      <c r="L504" s="139">
        <v>55</v>
      </c>
      <c r="M504" s="139" t="s">
        <v>2219</v>
      </c>
      <c r="N504" s="140" t="s">
        <v>131</v>
      </c>
      <c r="O504" s="140" t="s">
        <v>549</v>
      </c>
      <c r="P504" s="140" t="s">
        <v>85</v>
      </c>
    </row>
    <row r="505" spans="1:16" x14ac:dyDescent="0.25">
      <c r="A505" s="10" t="s">
        <v>799</v>
      </c>
      <c r="B505" s="10" t="s">
        <v>323</v>
      </c>
      <c r="C505" s="136" t="s">
        <v>324</v>
      </c>
      <c r="D505" s="136" t="s">
        <v>578</v>
      </c>
      <c r="E505" s="136" t="s">
        <v>76</v>
      </c>
      <c r="F505" s="10" t="s">
        <v>1142</v>
      </c>
      <c r="G505" s="10" t="s">
        <v>1149</v>
      </c>
      <c r="H505" s="137">
        <v>450</v>
      </c>
      <c r="I505" s="138" t="s">
        <v>1150</v>
      </c>
      <c r="J505" s="10">
        <v>5504</v>
      </c>
      <c r="K505" s="136" t="s">
        <v>102</v>
      </c>
      <c r="L505" s="10">
        <v>55</v>
      </c>
      <c r="M505" s="10" t="s">
        <v>2219</v>
      </c>
      <c r="N505" s="136" t="s">
        <v>131</v>
      </c>
      <c r="O505" s="136" t="s">
        <v>549</v>
      </c>
      <c r="P505" s="136" t="s">
        <v>85</v>
      </c>
    </row>
    <row r="506" spans="1:16" x14ac:dyDescent="0.25">
      <c r="A506" s="139" t="s">
        <v>799</v>
      </c>
      <c r="B506" s="139" t="s">
        <v>323</v>
      </c>
      <c r="C506" s="140" t="s">
        <v>324</v>
      </c>
      <c r="D506" s="140" t="s">
        <v>578</v>
      </c>
      <c r="E506" s="140" t="s">
        <v>76</v>
      </c>
      <c r="F506" s="139" t="s">
        <v>1142</v>
      </c>
      <c r="G506" s="139" t="s">
        <v>1172</v>
      </c>
      <c r="H506" s="141">
        <v>720</v>
      </c>
      <c r="I506" s="142" t="s">
        <v>1173</v>
      </c>
      <c r="J506" s="139">
        <v>5513</v>
      </c>
      <c r="K506" s="140" t="s">
        <v>111</v>
      </c>
      <c r="L506" s="139">
        <v>55</v>
      </c>
      <c r="M506" s="139" t="s">
        <v>2219</v>
      </c>
      <c r="N506" s="140" t="s">
        <v>131</v>
      </c>
      <c r="O506" s="140" t="s">
        <v>549</v>
      </c>
      <c r="P506" s="140" t="s">
        <v>85</v>
      </c>
    </row>
    <row r="507" spans="1:16" x14ac:dyDescent="0.25">
      <c r="A507" s="10" t="s">
        <v>799</v>
      </c>
      <c r="B507" s="10" t="s">
        <v>323</v>
      </c>
      <c r="C507" s="136" t="s">
        <v>324</v>
      </c>
      <c r="D507" s="136" t="s">
        <v>578</v>
      </c>
      <c r="E507" s="136" t="s">
        <v>76</v>
      </c>
      <c r="F507" s="10" t="s">
        <v>1142</v>
      </c>
      <c r="G507" s="10" t="s">
        <v>1175</v>
      </c>
      <c r="H507" s="137">
        <v>1500</v>
      </c>
      <c r="I507" s="138" t="s">
        <v>1176</v>
      </c>
      <c r="J507" s="10">
        <v>5525</v>
      </c>
      <c r="K507" s="136" t="s">
        <v>118</v>
      </c>
      <c r="L507" s="10">
        <v>55</v>
      </c>
      <c r="M507" s="10" t="s">
        <v>2219</v>
      </c>
      <c r="N507" s="136" t="s">
        <v>131</v>
      </c>
      <c r="O507" s="136" t="s">
        <v>549</v>
      </c>
      <c r="P507" s="136" t="s">
        <v>85</v>
      </c>
    </row>
    <row r="508" spans="1:16" x14ac:dyDescent="0.25">
      <c r="A508" s="139" t="s">
        <v>799</v>
      </c>
      <c r="B508" s="139" t="s">
        <v>323</v>
      </c>
      <c r="C508" s="140" t="s">
        <v>324</v>
      </c>
      <c r="D508" s="140" t="s">
        <v>578</v>
      </c>
      <c r="E508" s="140" t="s">
        <v>76</v>
      </c>
      <c r="F508" s="139" t="s">
        <v>1142</v>
      </c>
      <c r="G508" s="139" t="s">
        <v>1177</v>
      </c>
      <c r="H508" s="141">
        <v>150</v>
      </c>
      <c r="I508" s="142" t="s">
        <v>1178</v>
      </c>
      <c r="J508" s="139">
        <v>5525</v>
      </c>
      <c r="K508" s="140" t="s">
        <v>118</v>
      </c>
      <c r="L508" s="139">
        <v>55</v>
      </c>
      <c r="M508" s="139" t="s">
        <v>2219</v>
      </c>
      <c r="N508" s="140" t="s">
        <v>131</v>
      </c>
      <c r="O508" s="140" t="s">
        <v>549</v>
      </c>
      <c r="P508" s="140" t="s">
        <v>85</v>
      </c>
    </row>
    <row r="509" spans="1:16" x14ac:dyDescent="0.25">
      <c r="A509" s="10" t="s">
        <v>799</v>
      </c>
      <c r="B509" s="10" t="s">
        <v>323</v>
      </c>
      <c r="C509" s="136" t="s">
        <v>324</v>
      </c>
      <c r="D509" s="136" t="s">
        <v>578</v>
      </c>
      <c r="E509" s="136" t="s">
        <v>76</v>
      </c>
      <c r="F509" s="10" t="s">
        <v>1142</v>
      </c>
      <c r="G509" s="10" t="s">
        <v>1179</v>
      </c>
      <c r="H509" s="137">
        <v>200</v>
      </c>
      <c r="I509" s="138" t="s">
        <v>1180</v>
      </c>
      <c r="J509" s="10">
        <v>5525</v>
      </c>
      <c r="K509" s="136" t="s">
        <v>118</v>
      </c>
      <c r="L509" s="10">
        <v>55</v>
      </c>
      <c r="M509" s="10" t="s">
        <v>2219</v>
      </c>
      <c r="N509" s="136" t="s">
        <v>131</v>
      </c>
      <c r="O509" s="136" t="s">
        <v>549</v>
      </c>
      <c r="P509" s="136" t="s">
        <v>85</v>
      </c>
    </row>
    <row r="510" spans="1:16" x14ac:dyDescent="0.25">
      <c r="A510" s="139" t="s">
        <v>799</v>
      </c>
      <c r="B510" s="139" t="s">
        <v>323</v>
      </c>
      <c r="C510" s="140" t="s">
        <v>324</v>
      </c>
      <c r="D510" s="140" t="s">
        <v>578</v>
      </c>
      <c r="E510" s="140" t="s">
        <v>76</v>
      </c>
      <c r="F510" s="139" t="s">
        <v>1142</v>
      </c>
      <c r="G510" s="139" t="s">
        <v>1181</v>
      </c>
      <c r="H510" s="141">
        <v>1000</v>
      </c>
      <c r="I510" s="142" t="s">
        <v>1182</v>
      </c>
      <c r="J510" s="139">
        <v>5525</v>
      </c>
      <c r="K510" s="140" t="s">
        <v>118</v>
      </c>
      <c r="L510" s="139">
        <v>55</v>
      </c>
      <c r="M510" s="139" t="s">
        <v>2219</v>
      </c>
      <c r="N510" s="140" t="s">
        <v>131</v>
      </c>
      <c r="O510" s="140" t="s">
        <v>549</v>
      </c>
      <c r="P510" s="140" t="s">
        <v>85</v>
      </c>
    </row>
    <row r="511" spans="1:16" x14ac:dyDescent="0.25">
      <c r="A511" s="10" t="s">
        <v>799</v>
      </c>
      <c r="B511" s="10" t="s">
        <v>323</v>
      </c>
      <c r="C511" s="136" t="s">
        <v>324</v>
      </c>
      <c r="D511" s="136" t="s">
        <v>578</v>
      </c>
      <c r="E511" s="136" t="s">
        <v>76</v>
      </c>
      <c r="F511" s="10" t="s">
        <v>1142</v>
      </c>
      <c r="G511" s="10" t="s">
        <v>1183</v>
      </c>
      <c r="H511" s="137">
        <v>100</v>
      </c>
      <c r="I511" s="138" t="s">
        <v>1184</v>
      </c>
      <c r="J511" s="10">
        <v>5525</v>
      </c>
      <c r="K511" s="136" t="s">
        <v>118</v>
      </c>
      <c r="L511" s="10">
        <v>55</v>
      </c>
      <c r="M511" s="10" t="s">
        <v>2219</v>
      </c>
      <c r="N511" s="136" t="s">
        <v>131</v>
      </c>
      <c r="O511" s="136" t="s">
        <v>549</v>
      </c>
      <c r="P511" s="136" t="s">
        <v>85</v>
      </c>
    </row>
    <row r="512" spans="1:16" x14ac:dyDescent="0.25">
      <c r="A512" s="139" t="s">
        <v>799</v>
      </c>
      <c r="B512" s="139" t="s">
        <v>323</v>
      </c>
      <c r="C512" s="140" t="s">
        <v>324</v>
      </c>
      <c r="D512" s="140" t="s">
        <v>578</v>
      </c>
      <c r="E512" s="140" t="s">
        <v>76</v>
      </c>
      <c r="F512" s="139" t="s">
        <v>1142</v>
      </c>
      <c r="G512" s="139" t="s">
        <v>1185</v>
      </c>
      <c r="H512" s="141">
        <v>1500</v>
      </c>
      <c r="I512" s="142" t="s">
        <v>1186</v>
      </c>
      <c r="J512" s="139">
        <v>5525</v>
      </c>
      <c r="K512" s="140" t="s">
        <v>118</v>
      </c>
      <c r="L512" s="139">
        <v>55</v>
      </c>
      <c r="M512" s="139" t="s">
        <v>2219</v>
      </c>
      <c r="N512" s="140" t="s">
        <v>131</v>
      </c>
      <c r="O512" s="140" t="s">
        <v>549</v>
      </c>
      <c r="P512" s="140" t="s">
        <v>85</v>
      </c>
    </row>
    <row r="513" spans="1:16" x14ac:dyDescent="0.25">
      <c r="A513" s="10" t="s">
        <v>799</v>
      </c>
      <c r="B513" s="10" t="s">
        <v>323</v>
      </c>
      <c r="C513" s="136" t="s">
        <v>324</v>
      </c>
      <c r="D513" s="136" t="s">
        <v>578</v>
      </c>
      <c r="E513" s="136" t="s">
        <v>76</v>
      </c>
      <c r="F513" s="10" t="s">
        <v>1142</v>
      </c>
      <c r="G513" s="10" t="s">
        <v>1187</v>
      </c>
      <c r="H513" s="137">
        <v>100</v>
      </c>
      <c r="I513" s="138" t="s">
        <v>1188</v>
      </c>
      <c r="J513" s="10">
        <v>5525</v>
      </c>
      <c r="K513" s="136" t="s">
        <v>118</v>
      </c>
      <c r="L513" s="10">
        <v>55</v>
      </c>
      <c r="M513" s="10" t="s">
        <v>2219</v>
      </c>
      <c r="N513" s="136" t="s">
        <v>131</v>
      </c>
      <c r="O513" s="136" t="s">
        <v>549</v>
      </c>
      <c r="P513" s="136" t="s">
        <v>85</v>
      </c>
    </row>
    <row r="514" spans="1:16" x14ac:dyDescent="0.25">
      <c r="A514" s="139" t="s">
        <v>799</v>
      </c>
      <c r="B514" s="139" t="s">
        <v>323</v>
      </c>
      <c r="C514" s="140" t="s">
        <v>324</v>
      </c>
      <c r="D514" s="140" t="s">
        <v>578</v>
      </c>
      <c r="E514" s="140" t="s">
        <v>76</v>
      </c>
      <c r="F514" s="139" t="s">
        <v>1142</v>
      </c>
      <c r="G514" s="139" t="s">
        <v>1189</v>
      </c>
      <c r="H514" s="141">
        <v>200</v>
      </c>
      <c r="I514" s="142" t="s">
        <v>1190</v>
      </c>
      <c r="J514" s="139">
        <v>5525</v>
      </c>
      <c r="K514" s="140" t="s">
        <v>118</v>
      </c>
      <c r="L514" s="139">
        <v>55</v>
      </c>
      <c r="M514" s="139" t="s">
        <v>2219</v>
      </c>
      <c r="N514" s="140" t="s">
        <v>131</v>
      </c>
      <c r="O514" s="140" t="s">
        <v>549</v>
      </c>
      <c r="P514" s="140" t="s">
        <v>85</v>
      </c>
    </row>
    <row r="515" spans="1:16" x14ac:dyDescent="0.25">
      <c r="A515" s="10" t="s">
        <v>799</v>
      </c>
      <c r="B515" s="10" t="s">
        <v>323</v>
      </c>
      <c r="C515" s="136" t="s">
        <v>324</v>
      </c>
      <c r="D515" s="136" t="s">
        <v>578</v>
      </c>
      <c r="E515" s="136" t="s">
        <v>76</v>
      </c>
      <c r="F515" s="10" t="s">
        <v>1142</v>
      </c>
      <c r="G515" s="10" t="s">
        <v>1191</v>
      </c>
      <c r="H515" s="137">
        <v>300</v>
      </c>
      <c r="I515" s="138" t="s">
        <v>1192</v>
      </c>
      <c r="J515" s="10">
        <v>5525</v>
      </c>
      <c r="K515" s="136" t="s">
        <v>118</v>
      </c>
      <c r="L515" s="10">
        <v>55</v>
      </c>
      <c r="M515" s="10" t="s">
        <v>2219</v>
      </c>
      <c r="N515" s="136" t="s">
        <v>131</v>
      </c>
      <c r="O515" s="136" t="s">
        <v>549</v>
      </c>
      <c r="P515" s="136" t="s">
        <v>85</v>
      </c>
    </row>
    <row r="516" spans="1:16" x14ac:dyDescent="0.25">
      <c r="A516" s="139" t="s">
        <v>799</v>
      </c>
      <c r="B516" s="139" t="s">
        <v>323</v>
      </c>
      <c r="C516" s="140" t="s">
        <v>324</v>
      </c>
      <c r="D516" s="140" t="s">
        <v>578</v>
      </c>
      <c r="E516" s="140" t="s">
        <v>76</v>
      </c>
      <c r="F516" s="139" t="s">
        <v>1142</v>
      </c>
      <c r="G516" s="139" t="s">
        <v>1193</v>
      </c>
      <c r="H516" s="141">
        <v>150</v>
      </c>
      <c r="I516" s="142" t="s">
        <v>1194</v>
      </c>
      <c r="J516" s="139">
        <v>5525</v>
      </c>
      <c r="K516" s="140" t="s">
        <v>118</v>
      </c>
      <c r="L516" s="139">
        <v>55</v>
      </c>
      <c r="M516" s="139" t="s">
        <v>2219</v>
      </c>
      <c r="N516" s="140" t="s">
        <v>131</v>
      </c>
      <c r="O516" s="140" t="s">
        <v>549</v>
      </c>
      <c r="P516" s="140" t="s">
        <v>85</v>
      </c>
    </row>
    <row r="517" spans="1:16" x14ac:dyDescent="0.25">
      <c r="A517" s="10" t="s">
        <v>799</v>
      </c>
      <c r="B517" s="10" t="s">
        <v>323</v>
      </c>
      <c r="C517" s="136" t="s">
        <v>324</v>
      </c>
      <c r="D517" s="136" t="s">
        <v>578</v>
      </c>
      <c r="E517" s="136" t="s">
        <v>76</v>
      </c>
      <c r="F517" s="10" t="s">
        <v>1142</v>
      </c>
      <c r="G517" s="10" t="s">
        <v>1195</v>
      </c>
      <c r="H517" s="137">
        <v>150</v>
      </c>
      <c r="I517" s="138"/>
      <c r="J517" s="10">
        <v>5525</v>
      </c>
      <c r="K517" s="136" t="s">
        <v>118</v>
      </c>
      <c r="L517" s="10">
        <v>55</v>
      </c>
      <c r="M517" s="10" t="s">
        <v>2219</v>
      </c>
      <c r="N517" s="136" t="s">
        <v>131</v>
      </c>
      <c r="O517" s="136" t="s">
        <v>549</v>
      </c>
      <c r="P517" s="136" t="s">
        <v>85</v>
      </c>
    </row>
    <row r="518" spans="1:16" x14ac:dyDescent="0.25">
      <c r="A518" s="139" t="s">
        <v>799</v>
      </c>
      <c r="B518" s="139" t="s">
        <v>323</v>
      </c>
      <c r="C518" s="140" t="s">
        <v>324</v>
      </c>
      <c r="D518" s="140" t="s">
        <v>578</v>
      </c>
      <c r="E518" s="140" t="s">
        <v>76</v>
      </c>
      <c r="F518" s="139" t="s">
        <v>1142</v>
      </c>
      <c r="G518" s="139" t="s">
        <v>1196</v>
      </c>
      <c r="H518" s="141">
        <v>100</v>
      </c>
      <c r="I518" s="142"/>
      <c r="J518" s="139">
        <v>5525</v>
      </c>
      <c r="K518" s="140" t="s">
        <v>118</v>
      </c>
      <c r="L518" s="139">
        <v>55</v>
      </c>
      <c r="M518" s="139" t="s">
        <v>2219</v>
      </c>
      <c r="N518" s="140" t="s">
        <v>131</v>
      </c>
      <c r="O518" s="140" t="s">
        <v>549</v>
      </c>
      <c r="P518" s="140" t="s">
        <v>85</v>
      </c>
    </row>
    <row r="519" spans="1:16" x14ac:dyDescent="0.25">
      <c r="A519" s="10" t="s">
        <v>799</v>
      </c>
      <c r="B519" s="10" t="s">
        <v>323</v>
      </c>
      <c r="C519" s="136" t="s">
        <v>324</v>
      </c>
      <c r="D519" s="136" t="s">
        <v>578</v>
      </c>
      <c r="E519" s="136" t="s">
        <v>76</v>
      </c>
      <c r="F519" s="10" t="s">
        <v>1142</v>
      </c>
      <c r="G519" s="10" t="s">
        <v>1151</v>
      </c>
      <c r="H519" s="137">
        <v>100</v>
      </c>
      <c r="I519" s="138" t="s">
        <v>1152</v>
      </c>
      <c r="J519" s="10">
        <v>5511</v>
      </c>
      <c r="K519" s="136" t="s">
        <v>106</v>
      </c>
      <c r="L519" s="10">
        <v>55</v>
      </c>
      <c r="M519" s="10" t="s">
        <v>2219</v>
      </c>
      <c r="N519" s="136" t="s">
        <v>131</v>
      </c>
      <c r="O519" s="136" t="s">
        <v>549</v>
      </c>
      <c r="P519" s="136" t="s">
        <v>85</v>
      </c>
    </row>
    <row r="520" spans="1:16" x14ac:dyDescent="0.25">
      <c r="A520" s="139" t="s">
        <v>799</v>
      </c>
      <c r="B520" s="139" t="s">
        <v>323</v>
      </c>
      <c r="C520" s="140" t="s">
        <v>324</v>
      </c>
      <c r="D520" s="140" t="s">
        <v>578</v>
      </c>
      <c r="E520" s="140" t="s">
        <v>76</v>
      </c>
      <c r="F520" s="139" t="s">
        <v>1142</v>
      </c>
      <c r="G520" s="139" t="s">
        <v>1153</v>
      </c>
      <c r="H520" s="141">
        <v>400</v>
      </c>
      <c r="I520" s="142" t="s">
        <v>1154</v>
      </c>
      <c r="J520" s="139">
        <v>5511</v>
      </c>
      <c r="K520" s="140" t="s">
        <v>106</v>
      </c>
      <c r="L520" s="139">
        <v>55</v>
      </c>
      <c r="M520" s="139" t="s">
        <v>2219</v>
      </c>
      <c r="N520" s="140" t="s">
        <v>131</v>
      </c>
      <c r="O520" s="140" t="s">
        <v>549</v>
      </c>
      <c r="P520" s="140" t="s">
        <v>85</v>
      </c>
    </row>
    <row r="521" spans="1:16" x14ac:dyDescent="0.25">
      <c r="A521" s="10" t="s">
        <v>799</v>
      </c>
      <c r="B521" s="10" t="s">
        <v>323</v>
      </c>
      <c r="C521" s="136" t="s">
        <v>324</v>
      </c>
      <c r="D521" s="136" t="s">
        <v>578</v>
      </c>
      <c r="E521" s="136" t="s">
        <v>76</v>
      </c>
      <c r="F521" s="10" t="s">
        <v>1142</v>
      </c>
      <c r="G521" s="10" t="s">
        <v>1155</v>
      </c>
      <c r="H521" s="137">
        <v>100</v>
      </c>
      <c r="I521" s="138" t="s">
        <v>1156</v>
      </c>
      <c r="J521" s="10">
        <v>5511</v>
      </c>
      <c r="K521" s="136" t="s">
        <v>106</v>
      </c>
      <c r="L521" s="10">
        <v>55</v>
      </c>
      <c r="M521" s="10" t="s">
        <v>2219</v>
      </c>
      <c r="N521" s="136" t="s">
        <v>131</v>
      </c>
      <c r="O521" s="136" t="s">
        <v>549</v>
      </c>
      <c r="P521" s="136" t="s">
        <v>85</v>
      </c>
    </row>
    <row r="522" spans="1:16" x14ac:dyDescent="0.25">
      <c r="A522" s="139" t="s">
        <v>799</v>
      </c>
      <c r="B522" s="139" t="s">
        <v>323</v>
      </c>
      <c r="C522" s="140" t="s">
        <v>324</v>
      </c>
      <c r="D522" s="140" t="s">
        <v>578</v>
      </c>
      <c r="E522" s="140" t="s">
        <v>76</v>
      </c>
      <c r="F522" s="139" t="s">
        <v>1142</v>
      </c>
      <c r="G522" s="139" t="s">
        <v>178</v>
      </c>
      <c r="H522" s="141">
        <v>10000</v>
      </c>
      <c r="I522" s="142" t="s">
        <v>1157</v>
      </c>
      <c r="J522" s="139">
        <v>5511</v>
      </c>
      <c r="K522" s="140" t="s">
        <v>106</v>
      </c>
      <c r="L522" s="139">
        <v>55</v>
      </c>
      <c r="M522" s="139" t="s">
        <v>2219</v>
      </c>
      <c r="N522" s="140" t="s">
        <v>131</v>
      </c>
      <c r="O522" s="140" t="s">
        <v>549</v>
      </c>
      <c r="P522" s="140" t="s">
        <v>85</v>
      </c>
    </row>
    <row r="523" spans="1:16" x14ac:dyDescent="0.25">
      <c r="A523" s="10" t="s">
        <v>799</v>
      </c>
      <c r="B523" s="10" t="s">
        <v>323</v>
      </c>
      <c r="C523" s="136" t="s">
        <v>324</v>
      </c>
      <c r="D523" s="136" t="s">
        <v>578</v>
      </c>
      <c r="E523" s="136" t="s">
        <v>76</v>
      </c>
      <c r="F523" s="10" t="s">
        <v>1142</v>
      </c>
      <c r="G523" s="10" t="s">
        <v>1158</v>
      </c>
      <c r="H523" s="137">
        <v>1000</v>
      </c>
      <c r="I523" s="138" t="s">
        <v>1159</v>
      </c>
      <c r="J523" s="10">
        <v>5511</v>
      </c>
      <c r="K523" s="136" t="s">
        <v>106</v>
      </c>
      <c r="L523" s="10">
        <v>55</v>
      </c>
      <c r="M523" s="10" t="s">
        <v>2219</v>
      </c>
      <c r="N523" s="136" t="s">
        <v>131</v>
      </c>
      <c r="O523" s="136" t="s">
        <v>549</v>
      </c>
      <c r="P523" s="136" t="s">
        <v>85</v>
      </c>
    </row>
    <row r="524" spans="1:16" x14ac:dyDescent="0.25">
      <c r="A524" s="139" t="s">
        <v>799</v>
      </c>
      <c r="B524" s="139" t="s">
        <v>323</v>
      </c>
      <c r="C524" s="140" t="s">
        <v>324</v>
      </c>
      <c r="D524" s="140" t="s">
        <v>578</v>
      </c>
      <c r="E524" s="140" t="s">
        <v>76</v>
      </c>
      <c r="F524" s="139" t="s">
        <v>1142</v>
      </c>
      <c r="G524" s="139" t="s">
        <v>1160</v>
      </c>
      <c r="H524" s="141">
        <v>200</v>
      </c>
      <c r="I524" s="142" t="s">
        <v>1161</v>
      </c>
      <c r="J524" s="139">
        <v>5511</v>
      </c>
      <c r="K524" s="140" t="s">
        <v>106</v>
      </c>
      <c r="L524" s="139">
        <v>55</v>
      </c>
      <c r="M524" s="139" t="s">
        <v>2219</v>
      </c>
      <c r="N524" s="140" t="s">
        <v>131</v>
      </c>
      <c r="O524" s="140" t="s">
        <v>549</v>
      </c>
      <c r="P524" s="140" t="s">
        <v>85</v>
      </c>
    </row>
    <row r="525" spans="1:16" x14ac:dyDescent="0.25">
      <c r="A525" s="10" t="s">
        <v>799</v>
      </c>
      <c r="B525" s="10" t="s">
        <v>323</v>
      </c>
      <c r="C525" s="136" t="s">
        <v>324</v>
      </c>
      <c r="D525" s="136" t="s">
        <v>578</v>
      </c>
      <c r="E525" s="136" t="s">
        <v>76</v>
      </c>
      <c r="F525" s="10" t="s">
        <v>1142</v>
      </c>
      <c r="G525" s="10" t="s">
        <v>1162</v>
      </c>
      <c r="H525" s="137">
        <v>120</v>
      </c>
      <c r="I525" s="138" t="s">
        <v>1163</v>
      </c>
      <c r="J525" s="10">
        <v>5511</v>
      </c>
      <c r="K525" s="136" t="s">
        <v>106</v>
      </c>
      <c r="L525" s="10">
        <v>55</v>
      </c>
      <c r="M525" s="10" t="s">
        <v>2219</v>
      </c>
      <c r="N525" s="136" t="s">
        <v>131</v>
      </c>
      <c r="O525" s="136" t="s">
        <v>549</v>
      </c>
      <c r="P525" s="136" t="s">
        <v>85</v>
      </c>
    </row>
    <row r="526" spans="1:16" x14ac:dyDescent="0.25">
      <c r="A526" s="139" t="s">
        <v>799</v>
      </c>
      <c r="B526" s="139" t="s">
        <v>323</v>
      </c>
      <c r="C526" s="140" t="s">
        <v>324</v>
      </c>
      <c r="D526" s="140" t="s">
        <v>578</v>
      </c>
      <c r="E526" s="140" t="s">
        <v>76</v>
      </c>
      <c r="F526" s="139" t="s">
        <v>1142</v>
      </c>
      <c r="G526" s="139" t="s">
        <v>1164</v>
      </c>
      <c r="H526" s="141">
        <v>1000</v>
      </c>
      <c r="I526" s="142" t="s">
        <v>1165</v>
      </c>
      <c r="J526" s="139">
        <v>5511</v>
      </c>
      <c r="K526" s="140" t="s">
        <v>106</v>
      </c>
      <c r="L526" s="139">
        <v>55</v>
      </c>
      <c r="M526" s="139" t="s">
        <v>2219</v>
      </c>
      <c r="N526" s="140" t="s">
        <v>131</v>
      </c>
      <c r="O526" s="140" t="s">
        <v>549</v>
      </c>
      <c r="P526" s="140" t="s">
        <v>85</v>
      </c>
    </row>
    <row r="527" spans="1:16" x14ac:dyDescent="0.25">
      <c r="A527" s="10" t="s">
        <v>799</v>
      </c>
      <c r="B527" s="10" t="s">
        <v>323</v>
      </c>
      <c r="C527" s="136" t="s">
        <v>324</v>
      </c>
      <c r="D527" s="136" t="s">
        <v>578</v>
      </c>
      <c r="E527" s="136" t="s">
        <v>76</v>
      </c>
      <c r="F527" s="10" t="s">
        <v>1142</v>
      </c>
      <c r="G527" s="10" t="s">
        <v>1166</v>
      </c>
      <c r="H527" s="137">
        <v>800</v>
      </c>
      <c r="I527" s="138" t="s">
        <v>1167</v>
      </c>
      <c r="J527" s="10">
        <v>5511</v>
      </c>
      <c r="K527" s="136" t="s">
        <v>106</v>
      </c>
      <c r="L527" s="10">
        <v>55</v>
      </c>
      <c r="M527" s="10" t="s">
        <v>2219</v>
      </c>
      <c r="N527" s="136" t="s">
        <v>131</v>
      </c>
      <c r="O527" s="136" t="s">
        <v>549</v>
      </c>
      <c r="P527" s="136" t="s">
        <v>85</v>
      </c>
    </row>
    <row r="528" spans="1:16" x14ac:dyDescent="0.25">
      <c r="A528" s="139" t="s">
        <v>799</v>
      </c>
      <c r="B528" s="139" t="s">
        <v>323</v>
      </c>
      <c r="C528" s="140" t="s">
        <v>324</v>
      </c>
      <c r="D528" s="140" t="s">
        <v>578</v>
      </c>
      <c r="E528" s="140" t="s">
        <v>76</v>
      </c>
      <c r="F528" s="139" t="s">
        <v>1142</v>
      </c>
      <c r="G528" s="139" t="s">
        <v>1168</v>
      </c>
      <c r="H528" s="141">
        <v>1000</v>
      </c>
      <c r="I528" s="142" t="s">
        <v>1169</v>
      </c>
      <c r="J528" s="139">
        <v>5511</v>
      </c>
      <c r="K528" s="140" t="s">
        <v>106</v>
      </c>
      <c r="L528" s="139">
        <v>55</v>
      </c>
      <c r="M528" s="139" t="s">
        <v>2219</v>
      </c>
      <c r="N528" s="140" t="s">
        <v>131</v>
      </c>
      <c r="O528" s="140" t="s">
        <v>549</v>
      </c>
      <c r="P528" s="140" t="s">
        <v>85</v>
      </c>
    </row>
    <row r="529" spans="1:16" x14ac:dyDescent="0.25">
      <c r="A529" s="10" t="s">
        <v>799</v>
      </c>
      <c r="B529" s="10" t="s">
        <v>323</v>
      </c>
      <c r="C529" s="136" t="s">
        <v>324</v>
      </c>
      <c r="D529" s="136" t="s">
        <v>578</v>
      </c>
      <c r="E529" s="136" t="s">
        <v>76</v>
      </c>
      <c r="F529" s="10" t="s">
        <v>1142</v>
      </c>
      <c r="G529" s="10" t="s">
        <v>1170</v>
      </c>
      <c r="H529" s="137">
        <v>100</v>
      </c>
      <c r="I529" s="138"/>
      <c r="J529" s="10">
        <v>5511</v>
      </c>
      <c r="K529" s="136" t="s">
        <v>106</v>
      </c>
      <c r="L529" s="10">
        <v>55</v>
      </c>
      <c r="M529" s="10" t="s">
        <v>2219</v>
      </c>
      <c r="N529" s="136" t="s">
        <v>131</v>
      </c>
      <c r="O529" s="136" t="s">
        <v>549</v>
      </c>
      <c r="P529" s="136" t="s">
        <v>85</v>
      </c>
    </row>
    <row r="530" spans="1:16" x14ac:dyDescent="0.25">
      <c r="A530" s="139" t="s">
        <v>799</v>
      </c>
      <c r="B530" s="139" t="s">
        <v>323</v>
      </c>
      <c r="C530" s="140" t="s">
        <v>324</v>
      </c>
      <c r="D530" s="140" t="s">
        <v>578</v>
      </c>
      <c r="E530" s="140" t="s">
        <v>76</v>
      </c>
      <c r="F530" s="139" t="s">
        <v>1142</v>
      </c>
      <c r="G530" s="139" t="s">
        <v>1171</v>
      </c>
      <c r="H530" s="141">
        <v>300</v>
      </c>
      <c r="I530" s="142"/>
      <c r="J530" s="139">
        <v>5511</v>
      </c>
      <c r="K530" s="140" t="s">
        <v>106</v>
      </c>
      <c r="L530" s="139">
        <v>55</v>
      </c>
      <c r="M530" s="139" t="s">
        <v>2219</v>
      </c>
      <c r="N530" s="140" t="s">
        <v>131</v>
      </c>
      <c r="O530" s="140" t="s">
        <v>549</v>
      </c>
      <c r="P530" s="140" t="s">
        <v>85</v>
      </c>
    </row>
    <row r="531" spans="1:16" x14ac:dyDescent="0.25">
      <c r="A531" s="10" t="s">
        <v>799</v>
      </c>
      <c r="B531" s="10" t="s">
        <v>323</v>
      </c>
      <c r="C531" s="136" t="s">
        <v>324</v>
      </c>
      <c r="D531" s="136" t="s">
        <v>578</v>
      </c>
      <c r="E531" s="136" t="s">
        <v>76</v>
      </c>
      <c r="F531" s="10" t="s">
        <v>1142</v>
      </c>
      <c r="G531" s="10" t="s">
        <v>1174</v>
      </c>
      <c r="H531" s="137">
        <v>300</v>
      </c>
      <c r="I531" s="138"/>
      <c r="J531" s="10">
        <v>5514</v>
      </c>
      <c r="K531" s="136" t="s">
        <v>110</v>
      </c>
      <c r="L531" s="10">
        <v>55</v>
      </c>
      <c r="M531" s="10" t="s">
        <v>2219</v>
      </c>
      <c r="N531" s="136" t="s">
        <v>131</v>
      </c>
      <c r="O531" s="136" t="s">
        <v>549</v>
      </c>
      <c r="P531" s="136" t="s">
        <v>85</v>
      </c>
    </row>
    <row r="532" spans="1:16" x14ac:dyDescent="0.25">
      <c r="A532" s="139" t="s">
        <v>799</v>
      </c>
      <c r="B532" s="139" t="s">
        <v>2076</v>
      </c>
      <c r="C532" s="140" t="s">
        <v>2078</v>
      </c>
      <c r="D532" s="140" t="s">
        <v>2077</v>
      </c>
      <c r="E532" s="140" t="s">
        <v>76</v>
      </c>
      <c r="F532" s="139" t="s">
        <v>2081</v>
      </c>
      <c r="G532" s="139" t="s">
        <v>2082</v>
      </c>
      <c r="H532" s="141">
        <v>1000</v>
      </c>
      <c r="I532" s="142" t="s">
        <v>2083</v>
      </c>
      <c r="J532" s="139">
        <v>5540</v>
      </c>
      <c r="K532" s="140" t="s">
        <v>121</v>
      </c>
      <c r="L532" s="139">
        <v>55</v>
      </c>
      <c r="M532" s="139" t="s">
        <v>2219</v>
      </c>
      <c r="N532" s="140" t="s">
        <v>131</v>
      </c>
      <c r="O532" s="140" t="s">
        <v>549</v>
      </c>
      <c r="P532" s="140" t="s">
        <v>85</v>
      </c>
    </row>
    <row r="533" spans="1:16" x14ac:dyDescent="0.25">
      <c r="A533" s="10" t="s">
        <v>799</v>
      </c>
      <c r="B533" s="10" t="s">
        <v>2076</v>
      </c>
      <c r="C533" s="136" t="s">
        <v>2078</v>
      </c>
      <c r="D533" s="136" t="s">
        <v>2077</v>
      </c>
      <c r="E533" s="136" t="s">
        <v>76</v>
      </c>
      <c r="F533" s="10" t="s">
        <v>2081</v>
      </c>
      <c r="G533" s="10" t="s">
        <v>2084</v>
      </c>
      <c r="H533" s="137">
        <v>540</v>
      </c>
      <c r="I533" s="138" t="s">
        <v>2086</v>
      </c>
      <c r="J533" s="10">
        <v>5514</v>
      </c>
      <c r="K533" s="136" t="s">
        <v>110</v>
      </c>
      <c r="L533" s="10">
        <v>55</v>
      </c>
      <c r="M533" s="10" t="s">
        <v>2219</v>
      </c>
      <c r="N533" s="136" t="s">
        <v>131</v>
      </c>
      <c r="O533" s="136" t="s">
        <v>549</v>
      </c>
      <c r="P533" s="136" t="s">
        <v>85</v>
      </c>
    </row>
    <row r="534" spans="1:16" x14ac:dyDescent="0.25">
      <c r="A534" s="139" t="s">
        <v>799</v>
      </c>
      <c r="B534" s="139" t="s">
        <v>2076</v>
      </c>
      <c r="C534" s="140" t="s">
        <v>2078</v>
      </c>
      <c r="D534" s="140" t="s">
        <v>2077</v>
      </c>
      <c r="E534" s="140" t="s">
        <v>76</v>
      </c>
      <c r="F534" s="139" t="s">
        <v>2081</v>
      </c>
      <c r="G534" s="139" t="s">
        <v>2085</v>
      </c>
      <c r="H534" s="141">
        <v>2400</v>
      </c>
      <c r="I534" s="142" t="s">
        <v>2086</v>
      </c>
      <c r="J534" s="139">
        <v>5500</v>
      </c>
      <c r="K534" s="140" t="s">
        <v>100</v>
      </c>
      <c r="L534" s="139">
        <v>55</v>
      </c>
      <c r="M534" s="139" t="s">
        <v>2219</v>
      </c>
      <c r="N534" s="140" t="s">
        <v>131</v>
      </c>
      <c r="O534" s="140" t="s">
        <v>549</v>
      </c>
      <c r="P534" s="140" t="s">
        <v>85</v>
      </c>
    </row>
    <row r="535" spans="1:16" x14ac:dyDescent="0.25">
      <c r="A535" s="10" t="s">
        <v>799</v>
      </c>
      <c r="B535" s="10" t="s">
        <v>2076</v>
      </c>
      <c r="C535" s="136" t="s">
        <v>2078</v>
      </c>
      <c r="D535" s="136" t="s">
        <v>2077</v>
      </c>
      <c r="E535" s="136" t="s">
        <v>76</v>
      </c>
      <c r="F535" s="10" t="s">
        <v>2081</v>
      </c>
      <c r="G535" s="10" t="s">
        <v>2087</v>
      </c>
      <c r="H535" s="137">
        <v>1500</v>
      </c>
      <c r="I535" s="138" t="s">
        <v>2088</v>
      </c>
      <c r="J535" s="10">
        <v>5540</v>
      </c>
      <c r="K535" s="136" t="s">
        <v>121</v>
      </c>
      <c r="L535" s="10">
        <v>55</v>
      </c>
      <c r="M535" s="10" t="s">
        <v>2219</v>
      </c>
      <c r="N535" s="136" t="s">
        <v>131</v>
      </c>
      <c r="O535" s="136" t="s">
        <v>549</v>
      </c>
      <c r="P535" s="136" t="s">
        <v>85</v>
      </c>
    </row>
    <row r="536" spans="1:16" x14ac:dyDescent="0.25">
      <c r="A536" s="139" t="s">
        <v>799</v>
      </c>
      <c r="B536" s="139" t="s">
        <v>2076</v>
      </c>
      <c r="C536" s="140" t="s">
        <v>2078</v>
      </c>
      <c r="D536" s="140" t="s">
        <v>2077</v>
      </c>
      <c r="E536" s="140" t="s">
        <v>76</v>
      </c>
      <c r="F536" s="139" t="s">
        <v>2081</v>
      </c>
      <c r="G536" s="139" t="s">
        <v>442</v>
      </c>
      <c r="H536" s="141">
        <v>4020</v>
      </c>
      <c r="I536" s="142"/>
      <c r="J536" s="139">
        <v>5513</v>
      </c>
      <c r="K536" s="140" t="s">
        <v>111</v>
      </c>
      <c r="L536" s="139">
        <v>55</v>
      </c>
      <c r="M536" s="139" t="s">
        <v>2219</v>
      </c>
      <c r="N536" s="140" t="s">
        <v>131</v>
      </c>
      <c r="O536" s="140" t="s">
        <v>549</v>
      </c>
      <c r="P536" s="140" t="s">
        <v>85</v>
      </c>
    </row>
    <row r="537" spans="1:16" x14ac:dyDescent="0.25">
      <c r="A537" s="10" t="s">
        <v>799</v>
      </c>
      <c r="B537" s="10" t="s">
        <v>2076</v>
      </c>
      <c r="C537" s="136" t="s">
        <v>2078</v>
      </c>
      <c r="D537" s="136" t="s">
        <v>2077</v>
      </c>
      <c r="E537" s="136" t="s">
        <v>76</v>
      </c>
      <c r="F537" s="10" t="s">
        <v>2081</v>
      </c>
      <c r="G537" s="10" t="s">
        <v>794</v>
      </c>
      <c r="H537" s="137">
        <v>180</v>
      </c>
      <c r="I537" s="138"/>
      <c r="J537" s="10">
        <v>5500</v>
      </c>
      <c r="K537" s="136" t="s">
        <v>100</v>
      </c>
      <c r="L537" s="10">
        <v>55</v>
      </c>
      <c r="M537" s="10" t="s">
        <v>2219</v>
      </c>
      <c r="N537" s="136" t="s">
        <v>131</v>
      </c>
      <c r="O537" s="136" t="s">
        <v>549</v>
      </c>
      <c r="P537" s="136" t="s">
        <v>85</v>
      </c>
    </row>
    <row r="538" spans="1:16" x14ac:dyDescent="0.25">
      <c r="A538" s="139" t="s">
        <v>799</v>
      </c>
      <c r="B538" s="139" t="s">
        <v>2076</v>
      </c>
      <c r="C538" s="140" t="s">
        <v>2078</v>
      </c>
      <c r="D538" s="140" t="s">
        <v>2077</v>
      </c>
      <c r="E538" s="140" t="s">
        <v>76</v>
      </c>
      <c r="F538" s="139" t="s">
        <v>2081</v>
      </c>
      <c r="G538" s="139" t="s">
        <v>2090</v>
      </c>
      <c r="H538" s="141">
        <v>300</v>
      </c>
      <c r="I538" s="142"/>
      <c r="J538" s="139">
        <v>5514</v>
      </c>
      <c r="K538" s="140" t="s">
        <v>110</v>
      </c>
      <c r="L538" s="139">
        <v>55</v>
      </c>
      <c r="M538" s="139" t="s">
        <v>2219</v>
      </c>
      <c r="N538" s="140" t="s">
        <v>131</v>
      </c>
      <c r="O538" s="140" t="s">
        <v>549</v>
      </c>
      <c r="P538" s="140" t="s">
        <v>85</v>
      </c>
    </row>
    <row r="539" spans="1:16" x14ac:dyDescent="0.25">
      <c r="A539" s="10" t="s">
        <v>799</v>
      </c>
      <c r="B539" s="10" t="s">
        <v>2076</v>
      </c>
      <c r="C539" s="136" t="s">
        <v>2078</v>
      </c>
      <c r="D539" s="136" t="s">
        <v>2077</v>
      </c>
      <c r="E539" s="136" t="s">
        <v>76</v>
      </c>
      <c r="F539" s="10" t="s">
        <v>2081</v>
      </c>
      <c r="G539" s="10" t="s">
        <v>2091</v>
      </c>
      <c r="H539" s="137">
        <v>200</v>
      </c>
      <c r="I539" s="138"/>
      <c r="J539" s="10">
        <v>5504</v>
      </c>
      <c r="K539" s="136" t="s">
        <v>102</v>
      </c>
      <c r="L539" s="10">
        <v>55</v>
      </c>
      <c r="M539" s="10" t="s">
        <v>2219</v>
      </c>
      <c r="N539" s="136" t="s">
        <v>131</v>
      </c>
      <c r="O539" s="136" t="s">
        <v>549</v>
      </c>
      <c r="P539" s="136" t="s">
        <v>85</v>
      </c>
    </row>
    <row r="540" spans="1:16" x14ac:dyDescent="0.25">
      <c r="A540" s="139" t="s">
        <v>799</v>
      </c>
      <c r="B540" s="139" t="s">
        <v>2076</v>
      </c>
      <c r="C540" s="140" t="s">
        <v>2078</v>
      </c>
      <c r="D540" s="140" t="s">
        <v>2077</v>
      </c>
      <c r="E540" s="140" t="s">
        <v>76</v>
      </c>
      <c r="F540" s="139" t="s">
        <v>2081</v>
      </c>
      <c r="G540" s="139" t="s">
        <v>2092</v>
      </c>
      <c r="H540" s="141">
        <v>1200</v>
      </c>
      <c r="I540" s="142" t="s">
        <v>2093</v>
      </c>
      <c r="J540" s="139">
        <v>5540</v>
      </c>
      <c r="K540" s="140" t="s">
        <v>121</v>
      </c>
      <c r="L540" s="139">
        <v>55</v>
      </c>
      <c r="M540" s="139" t="s">
        <v>2219</v>
      </c>
      <c r="N540" s="140" t="s">
        <v>131</v>
      </c>
      <c r="O540" s="140" t="s">
        <v>549</v>
      </c>
      <c r="P540" s="140" t="s">
        <v>85</v>
      </c>
    </row>
    <row r="541" spans="1:16" x14ac:dyDescent="0.25">
      <c r="A541" s="10" t="s">
        <v>799</v>
      </c>
      <c r="B541" s="10" t="s">
        <v>2076</v>
      </c>
      <c r="C541" s="136" t="s">
        <v>2078</v>
      </c>
      <c r="D541" s="136" t="s">
        <v>2077</v>
      </c>
      <c r="E541" s="136" t="s">
        <v>76</v>
      </c>
      <c r="F541" s="10" t="s">
        <v>2081</v>
      </c>
      <c r="G541" s="10" t="s">
        <v>2085</v>
      </c>
      <c r="H541" s="137">
        <v>1000</v>
      </c>
      <c r="I541" s="138"/>
      <c r="J541" s="10">
        <v>5500</v>
      </c>
      <c r="K541" s="136" t="s">
        <v>100</v>
      </c>
      <c r="L541" s="10">
        <v>55</v>
      </c>
      <c r="M541" s="10" t="s">
        <v>2219</v>
      </c>
      <c r="N541" s="136" t="s">
        <v>131</v>
      </c>
      <c r="O541" s="136" t="s">
        <v>549</v>
      </c>
      <c r="P541" s="136" t="s">
        <v>85</v>
      </c>
    </row>
    <row r="542" spans="1:16" x14ac:dyDescent="0.25">
      <c r="A542" s="139" t="s">
        <v>799</v>
      </c>
      <c r="B542" s="139" t="s">
        <v>2076</v>
      </c>
      <c r="C542" s="140" t="s">
        <v>2078</v>
      </c>
      <c r="D542" s="140" t="s">
        <v>2077</v>
      </c>
      <c r="E542" s="140" t="s">
        <v>76</v>
      </c>
      <c r="F542" s="139" t="s">
        <v>2081</v>
      </c>
      <c r="G542" s="139" t="s">
        <v>409</v>
      </c>
      <c r="H542" s="141">
        <v>500</v>
      </c>
      <c r="I542" s="142"/>
      <c r="J542" s="139">
        <v>5504</v>
      </c>
      <c r="K542" s="140" t="s">
        <v>102</v>
      </c>
      <c r="L542" s="139">
        <v>55</v>
      </c>
      <c r="M542" s="139" t="s">
        <v>2219</v>
      </c>
      <c r="N542" s="140" t="s">
        <v>131</v>
      </c>
      <c r="O542" s="140" t="s">
        <v>549</v>
      </c>
      <c r="P542" s="140" t="s">
        <v>85</v>
      </c>
    </row>
    <row r="543" spans="1:16" x14ac:dyDescent="0.25">
      <c r="A543" s="10" t="s">
        <v>799</v>
      </c>
      <c r="B543" s="10" t="s">
        <v>2076</v>
      </c>
      <c r="C543" s="136" t="s">
        <v>2078</v>
      </c>
      <c r="D543" s="136" t="s">
        <v>2077</v>
      </c>
      <c r="E543" s="136" t="s">
        <v>76</v>
      </c>
      <c r="F543" s="10" t="s">
        <v>2081</v>
      </c>
      <c r="G543" s="10" t="s">
        <v>2094</v>
      </c>
      <c r="H543" s="137">
        <v>600</v>
      </c>
      <c r="I543" s="138"/>
      <c r="J543" s="10">
        <v>5540</v>
      </c>
      <c r="K543" s="136" t="s">
        <v>121</v>
      </c>
      <c r="L543" s="10">
        <v>55</v>
      </c>
      <c r="M543" s="10" t="s">
        <v>2219</v>
      </c>
      <c r="N543" s="136" t="s">
        <v>131</v>
      </c>
      <c r="O543" s="136" t="s">
        <v>549</v>
      </c>
      <c r="P543" s="136" t="s">
        <v>85</v>
      </c>
    </row>
    <row r="544" spans="1:16" x14ac:dyDescent="0.25">
      <c r="A544" s="151" t="s">
        <v>799</v>
      </c>
      <c r="B544" s="151" t="s">
        <v>2076</v>
      </c>
      <c r="C544" s="154" t="s">
        <v>2078</v>
      </c>
      <c r="D544" s="154" t="s">
        <v>2077</v>
      </c>
      <c r="E544" s="154" t="s">
        <v>76</v>
      </c>
      <c r="F544" s="151" t="s">
        <v>2081</v>
      </c>
      <c r="G544" s="151" t="s">
        <v>1074</v>
      </c>
      <c r="H544" s="152">
        <v>2500</v>
      </c>
      <c r="I544" s="153"/>
      <c r="J544" s="151">
        <v>5540</v>
      </c>
      <c r="K544" s="154" t="s">
        <v>121</v>
      </c>
      <c r="L544" s="151">
        <v>55</v>
      </c>
      <c r="M544" s="151" t="s">
        <v>2219</v>
      </c>
      <c r="N544" s="154" t="s">
        <v>131</v>
      </c>
      <c r="O544" s="154" t="s">
        <v>549</v>
      </c>
      <c r="P544" s="154" t="s">
        <v>85</v>
      </c>
    </row>
    <row r="545" spans="1:16" x14ac:dyDescent="0.25">
      <c r="A545" s="10" t="s">
        <v>799</v>
      </c>
      <c r="B545" s="10" t="s">
        <v>45</v>
      </c>
      <c r="C545" s="136" t="s">
        <v>46</v>
      </c>
      <c r="D545" s="136" t="s">
        <v>579</v>
      </c>
      <c r="E545" s="136" t="s">
        <v>76</v>
      </c>
      <c r="F545" s="10" t="s">
        <v>1837</v>
      </c>
      <c r="G545" s="10" t="s">
        <v>1843</v>
      </c>
      <c r="H545" s="137">
        <v>14000</v>
      </c>
      <c r="I545" s="138"/>
      <c r="J545" s="10">
        <v>5500</v>
      </c>
      <c r="K545" s="136" t="s">
        <v>100</v>
      </c>
      <c r="L545" s="10">
        <v>55</v>
      </c>
      <c r="M545" s="10" t="s">
        <v>2219</v>
      </c>
      <c r="N545" s="136" t="s">
        <v>131</v>
      </c>
      <c r="O545" s="136" t="s">
        <v>549</v>
      </c>
      <c r="P545" s="136" t="s">
        <v>85</v>
      </c>
    </row>
    <row r="546" spans="1:16" x14ac:dyDescent="0.25">
      <c r="A546" s="151" t="s">
        <v>799</v>
      </c>
      <c r="B546" s="151" t="s">
        <v>47</v>
      </c>
      <c r="C546" s="154" t="s">
        <v>48</v>
      </c>
      <c r="D546" s="154" t="s">
        <v>643</v>
      </c>
      <c r="E546" s="154" t="s">
        <v>76</v>
      </c>
      <c r="F546" s="151" t="s">
        <v>818</v>
      </c>
      <c r="G546" s="151" t="s">
        <v>442</v>
      </c>
      <c r="H546" s="152">
        <v>1800</v>
      </c>
      <c r="I546" s="153" t="s">
        <v>2073</v>
      </c>
      <c r="J546" s="151">
        <v>5513</v>
      </c>
      <c r="K546" s="154" t="s">
        <v>111</v>
      </c>
      <c r="L546" s="151">
        <v>55</v>
      </c>
      <c r="M546" s="151" t="s">
        <v>2219</v>
      </c>
      <c r="N546" s="154" t="s">
        <v>131</v>
      </c>
      <c r="O546" s="154" t="s">
        <v>549</v>
      </c>
      <c r="P546" s="154" t="s">
        <v>85</v>
      </c>
    </row>
    <row r="547" spans="1:16" x14ac:dyDescent="0.25">
      <c r="A547" s="151" t="s">
        <v>799</v>
      </c>
      <c r="B547" s="151" t="s">
        <v>47</v>
      </c>
      <c r="C547" s="154" t="s">
        <v>48</v>
      </c>
      <c r="D547" s="154" t="s">
        <v>643</v>
      </c>
      <c r="E547" s="154" t="s">
        <v>76</v>
      </c>
      <c r="F547" s="151" t="s">
        <v>818</v>
      </c>
      <c r="G547" s="151" t="s">
        <v>1521</v>
      </c>
      <c r="H547" s="152">
        <v>350</v>
      </c>
      <c r="I547" s="153"/>
      <c r="J547" s="151">
        <v>5504</v>
      </c>
      <c r="K547" s="154" t="s">
        <v>102</v>
      </c>
      <c r="L547" s="151">
        <v>55</v>
      </c>
      <c r="M547" s="151" t="s">
        <v>2219</v>
      </c>
      <c r="N547" s="154" t="s">
        <v>131</v>
      </c>
      <c r="O547" s="154" t="s">
        <v>549</v>
      </c>
      <c r="P547" s="154" t="s">
        <v>85</v>
      </c>
    </row>
    <row r="548" spans="1:16" x14ac:dyDescent="0.25">
      <c r="A548" s="151" t="s">
        <v>799</v>
      </c>
      <c r="B548" s="151" t="s">
        <v>47</v>
      </c>
      <c r="C548" s="154" t="s">
        <v>48</v>
      </c>
      <c r="D548" s="154" t="s">
        <v>643</v>
      </c>
      <c r="E548" s="154" t="s">
        <v>76</v>
      </c>
      <c r="F548" s="151" t="s">
        <v>818</v>
      </c>
      <c r="G548" s="151" t="s">
        <v>794</v>
      </c>
      <c r="H548" s="152">
        <v>120</v>
      </c>
      <c r="I548" s="153"/>
      <c r="J548" s="151">
        <v>5500</v>
      </c>
      <c r="K548" s="154" t="s">
        <v>100</v>
      </c>
      <c r="L548" s="151">
        <v>55</v>
      </c>
      <c r="M548" s="151" t="s">
        <v>2219</v>
      </c>
      <c r="N548" s="154" t="s">
        <v>131</v>
      </c>
      <c r="O548" s="154" t="s">
        <v>549</v>
      </c>
      <c r="P548" s="154" t="s">
        <v>85</v>
      </c>
    </row>
    <row r="549" spans="1:16" x14ac:dyDescent="0.25">
      <c r="A549" s="10" t="s">
        <v>800</v>
      </c>
      <c r="B549" s="10" t="s">
        <v>325</v>
      </c>
      <c r="C549" s="136" t="s">
        <v>326</v>
      </c>
      <c r="D549" s="136" t="s">
        <v>581</v>
      </c>
      <c r="E549" s="136" t="s">
        <v>74</v>
      </c>
      <c r="F549" s="10" t="s">
        <v>1203</v>
      </c>
      <c r="G549" s="10" t="s">
        <v>1215</v>
      </c>
      <c r="H549" s="137">
        <v>800</v>
      </c>
      <c r="I549" s="138" t="s">
        <v>1216</v>
      </c>
      <c r="J549" s="10">
        <v>5500</v>
      </c>
      <c r="K549" s="136" t="s">
        <v>100</v>
      </c>
      <c r="L549" s="10">
        <v>55</v>
      </c>
      <c r="M549" s="10" t="s">
        <v>2219</v>
      </c>
      <c r="N549" s="136" t="s">
        <v>131</v>
      </c>
      <c r="O549" s="136" t="s">
        <v>549</v>
      </c>
      <c r="P549" s="136" t="s">
        <v>85</v>
      </c>
    </row>
    <row r="550" spans="1:16" x14ac:dyDescent="0.25">
      <c r="A550" s="139" t="s">
        <v>800</v>
      </c>
      <c r="B550" s="139" t="s">
        <v>325</v>
      </c>
      <c r="C550" s="140" t="s">
        <v>326</v>
      </c>
      <c r="D550" s="140" t="s">
        <v>581</v>
      </c>
      <c r="E550" s="140" t="s">
        <v>74</v>
      </c>
      <c r="F550" s="139" t="s">
        <v>1203</v>
      </c>
      <c r="G550" s="139" t="s">
        <v>1217</v>
      </c>
      <c r="H550" s="141">
        <v>500</v>
      </c>
      <c r="I550" s="142" t="s">
        <v>1218</v>
      </c>
      <c r="J550" s="139">
        <v>5500</v>
      </c>
      <c r="K550" s="140" t="s">
        <v>100</v>
      </c>
      <c r="L550" s="139">
        <v>55</v>
      </c>
      <c r="M550" s="139" t="s">
        <v>2219</v>
      </c>
      <c r="N550" s="140" t="s">
        <v>131</v>
      </c>
      <c r="O550" s="140" t="s">
        <v>549</v>
      </c>
      <c r="P550" s="140" t="s">
        <v>85</v>
      </c>
    </row>
    <row r="551" spans="1:16" x14ac:dyDescent="0.25">
      <c r="A551" s="10" t="s">
        <v>800</v>
      </c>
      <c r="B551" s="10" t="s">
        <v>325</v>
      </c>
      <c r="C551" s="136" t="s">
        <v>326</v>
      </c>
      <c r="D551" s="136" t="s">
        <v>581</v>
      </c>
      <c r="E551" s="136" t="s">
        <v>74</v>
      </c>
      <c r="F551" s="10" t="s">
        <v>1203</v>
      </c>
      <c r="G551" s="10" t="s">
        <v>1219</v>
      </c>
      <c r="H551" s="137">
        <v>450</v>
      </c>
      <c r="I551" s="138" t="s">
        <v>1220</v>
      </c>
      <c r="J551" s="10">
        <v>5500</v>
      </c>
      <c r="K551" s="136" t="s">
        <v>100</v>
      </c>
      <c r="L551" s="10">
        <v>55</v>
      </c>
      <c r="M551" s="10" t="s">
        <v>2219</v>
      </c>
      <c r="N551" s="136" t="s">
        <v>131</v>
      </c>
      <c r="O551" s="136" t="s">
        <v>549</v>
      </c>
      <c r="P551" s="136" t="s">
        <v>85</v>
      </c>
    </row>
    <row r="552" spans="1:16" x14ac:dyDescent="0.25">
      <c r="A552" s="139" t="s">
        <v>800</v>
      </c>
      <c r="B552" s="139" t="s">
        <v>325</v>
      </c>
      <c r="C552" s="140" t="s">
        <v>326</v>
      </c>
      <c r="D552" s="140" t="s">
        <v>581</v>
      </c>
      <c r="E552" s="140" t="s">
        <v>74</v>
      </c>
      <c r="F552" s="139" t="s">
        <v>1203</v>
      </c>
      <c r="G552" s="139" t="s">
        <v>1221</v>
      </c>
      <c r="H552" s="141">
        <v>1200</v>
      </c>
      <c r="I552" s="142"/>
      <c r="J552" s="139">
        <v>5504</v>
      </c>
      <c r="K552" s="140" t="s">
        <v>102</v>
      </c>
      <c r="L552" s="139">
        <v>55</v>
      </c>
      <c r="M552" s="139" t="s">
        <v>2219</v>
      </c>
      <c r="N552" s="140" t="s">
        <v>131</v>
      </c>
      <c r="O552" s="140" t="s">
        <v>549</v>
      </c>
      <c r="P552" s="140" t="s">
        <v>85</v>
      </c>
    </row>
    <row r="553" spans="1:16" x14ac:dyDescent="0.25">
      <c r="A553" s="10" t="s">
        <v>800</v>
      </c>
      <c r="B553" s="10" t="s">
        <v>325</v>
      </c>
      <c r="C553" s="136" t="s">
        <v>326</v>
      </c>
      <c r="D553" s="136" t="s">
        <v>581</v>
      </c>
      <c r="E553" s="136" t="s">
        <v>74</v>
      </c>
      <c r="F553" s="10" t="s">
        <v>1203</v>
      </c>
      <c r="G553" s="10" t="s">
        <v>1222</v>
      </c>
      <c r="H553" s="137">
        <v>500</v>
      </c>
      <c r="I553" s="138"/>
      <c r="J553" s="10">
        <v>5504</v>
      </c>
      <c r="K553" s="136" t="s">
        <v>102</v>
      </c>
      <c r="L553" s="10">
        <v>55</v>
      </c>
      <c r="M553" s="10" t="s">
        <v>2219</v>
      </c>
      <c r="N553" s="136" t="s">
        <v>131</v>
      </c>
      <c r="O553" s="136" t="s">
        <v>549</v>
      </c>
      <c r="P553" s="136" t="s">
        <v>85</v>
      </c>
    </row>
    <row r="554" spans="1:16" x14ac:dyDescent="0.25">
      <c r="A554" s="139" t="s">
        <v>800</v>
      </c>
      <c r="B554" s="139" t="s">
        <v>325</v>
      </c>
      <c r="C554" s="140" t="s">
        <v>326</v>
      </c>
      <c r="D554" s="140" t="s">
        <v>581</v>
      </c>
      <c r="E554" s="140" t="s">
        <v>74</v>
      </c>
      <c r="F554" s="139" t="s">
        <v>1203</v>
      </c>
      <c r="G554" s="139" t="s">
        <v>1223</v>
      </c>
      <c r="H554" s="141">
        <v>300</v>
      </c>
      <c r="I554" s="142"/>
      <c r="J554" s="139">
        <v>5504</v>
      </c>
      <c r="K554" s="140" t="s">
        <v>102</v>
      </c>
      <c r="L554" s="139">
        <v>55</v>
      </c>
      <c r="M554" s="139" t="s">
        <v>2219</v>
      </c>
      <c r="N554" s="140" t="s">
        <v>131</v>
      </c>
      <c r="O554" s="140" t="s">
        <v>549</v>
      </c>
      <c r="P554" s="140" t="s">
        <v>85</v>
      </c>
    </row>
    <row r="555" spans="1:16" x14ac:dyDescent="0.25">
      <c r="A555" s="10" t="s">
        <v>800</v>
      </c>
      <c r="B555" s="10" t="s">
        <v>325</v>
      </c>
      <c r="C555" s="136" t="s">
        <v>326</v>
      </c>
      <c r="D555" s="136" t="s">
        <v>581</v>
      </c>
      <c r="E555" s="136" t="s">
        <v>74</v>
      </c>
      <c r="F555" s="10" t="s">
        <v>1203</v>
      </c>
      <c r="G555" s="10" t="s">
        <v>1224</v>
      </c>
      <c r="H555" s="137">
        <v>300</v>
      </c>
      <c r="I555" s="138" t="s">
        <v>1225</v>
      </c>
      <c r="J555" s="10">
        <v>5504</v>
      </c>
      <c r="K555" s="136" t="s">
        <v>102</v>
      </c>
      <c r="L555" s="10">
        <v>55</v>
      </c>
      <c r="M555" s="10" t="s">
        <v>2219</v>
      </c>
      <c r="N555" s="136" t="s">
        <v>131</v>
      </c>
      <c r="O555" s="136" t="s">
        <v>549</v>
      </c>
      <c r="P555" s="136" t="s">
        <v>85</v>
      </c>
    </row>
    <row r="556" spans="1:16" x14ac:dyDescent="0.25">
      <c r="A556" s="139" t="s">
        <v>800</v>
      </c>
      <c r="B556" s="139" t="s">
        <v>325</v>
      </c>
      <c r="C556" s="140" t="s">
        <v>326</v>
      </c>
      <c r="D556" s="140" t="s">
        <v>581</v>
      </c>
      <c r="E556" s="140" t="s">
        <v>74</v>
      </c>
      <c r="F556" s="139" t="s">
        <v>1203</v>
      </c>
      <c r="G556" s="139" t="s">
        <v>1244</v>
      </c>
      <c r="H556" s="141">
        <v>1536</v>
      </c>
      <c r="I556" s="142" t="s">
        <v>1245</v>
      </c>
      <c r="J556" s="139">
        <v>5513</v>
      </c>
      <c r="K556" s="140" t="s">
        <v>111</v>
      </c>
      <c r="L556" s="139">
        <v>55</v>
      </c>
      <c r="M556" s="139" t="s">
        <v>2219</v>
      </c>
      <c r="N556" s="140" t="s">
        <v>131</v>
      </c>
      <c r="O556" s="140" t="s">
        <v>549</v>
      </c>
      <c r="P556" s="140" t="s">
        <v>85</v>
      </c>
    </row>
    <row r="557" spans="1:16" x14ac:dyDescent="0.25">
      <c r="A557" s="10" t="s">
        <v>800</v>
      </c>
      <c r="B557" s="10" t="s">
        <v>325</v>
      </c>
      <c r="C557" s="136" t="s">
        <v>326</v>
      </c>
      <c r="D557" s="136" t="s">
        <v>581</v>
      </c>
      <c r="E557" s="136" t="s">
        <v>74</v>
      </c>
      <c r="F557" s="10" t="s">
        <v>1203</v>
      </c>
      <c r="G557" s="10" t="s">
        <v>1250</v>
      </c>
      <c r="H557" s="137">
        <v>1500</v>
      </c>
      <c r="I557" s="138"/>
      <c r="J557" s="10">
        <v>5515</v>
      </c>
      <c r="K557" s="136" t="s">
        <v>112</v>
      </c>
      <c r="L557" s="10">
        <v>55</v>
      </c>
      <c r="M557" s="10" t="s">
        <v>2219</v>
      </c>
      <c r="N557" s="136" t="s">
        <v>131</v>
      </c>
      <c r="O557" s="136" t="s">
        <v>549</v>
      </c>
      <c r="P557" s="136" t="s">
        <v>85</v>
      </c>
    </row>
    <row r="558" spans="1:16" x14ac:dyDescent="0.25">
      <c r="A558" s="139" t="s">
        <v>800</v>
      </c>
      <c r="B558" s="139" t="s">
        <v>325</v>
      </c>
      <c r="C558" s="140" t="s">
        <v>326</v>
      </c>
      <c r="D558" s="140" t="s">
        <v>581</v>
      </c>
      <c r="E558" s="140" t="s">
        <v>74</v>
      </c>
      <c r="F558" s="139" t="s">
        <v>1203</v>
      </c>
      <c r="G558" s="139" t="s">
        <v>1251</v>
      </c>
      <c r="H558" s="141">
        <v>1000</v>
      </c>
      <c r="I558" s="142"/>
      <c r="J558" s="139">
        <v>5515</v>
      </c>
      <c r="K558" s="140" t="s">
        <v>112</v>
      </c>
      <c r="L558" s="139">
        <v>55</v>
      </c>
      <c r="M558" s="139" t="s">
        <v>2219</v>
      </c>
      <c r="N558" s="140" t="s">
        <v>131</v>
      </c>
      <c r="O558" s="140" t="s">
        <v>549</v>
      </c>
      <c r="P558" s="140" t="s">
        <v>85</v>
      </c>
    </row>
    <row r="559" spans="1:16" x14ac:dyDescent="0.25">
      <c r="A559" s="10" t="s">
        <v>800</v>
      </c>
      <c r="B559" s="10" t="s">
        <v>325</v>
      </c>
      <c r="C559" s="136" t="s">
        <v>326</v>
      </c>
      <c r="D559" s="136" t="s">
        <v>581</v>
      </c>
      <c r="E559" s="136" t="s">
        <v>74</v>
      </c>
      <c r="F559" s="10" t="s">
        <v>1203</v>
      </c>
      <c r="G559" s="10" t="s">
        <v>1252</v>
      </c>
      <c r="H559" s="137">
        <v>22000</v>
      </c>
      <c r="I559" s="138"/>
      <c r="J559" s="10">
        <v>5521</v>
      </c>
      <c r="K559" s="136" t="s">
        <v>114</v>
      </c>
      <c r="L559" s="10">
        <v>55</v>
      </c>
      <c r="M559" s="10" t="s">
        <v>2219</v>
      </c>
      <c r="N559" s="136" t="s">
        <v>131</v>
      </c>
      <c r="O559" s="136" t="s">
        <v>549</v>
      </c>
      <c r="P559" s="136" t="s">
        <v>85</v>
      </c>
    </row>
    <row r="560" spans="1:16" x14ac:dyDescent="0.25">
      <c r="A560" s="139" t="s">
        <v>800</v>
      </c>
      <c r="B560" s="139" t="s">
        <v>325</v>
      </c>
      <c r="C560" s="140" t="s">
        <v>326</v>
      </c>
      <c r="D560" s="140" t="s">
        <v>581</v>
      </c>
      <c r="E560" s="140" t="s">
        <v>74</v>
      </c>
      <c r="F560" s="139" t="s">
        <v>1203</v>
      </c>
      <c r="G560" s="139" t="s">
        <v>1253</v>
      </c>
      <c r="H560" s="141">
        <v>300</v>
      </c>
      <c r="I560" s="142" t="s">
        <v>1254</v>
      </c>
      <c r="J560" s="139">
        <v>5522</v>
      </c>
      <c r="K560" s="140" t="s">
        <v>115</v>
      </c>
      <c r="L560" s="139">
        <v>55</v>
      </c>
      <c r="M560" s="139" t="s">
        <v>2219</v>
      </c>
      <c r="N560" s="140" t="s">
        <v>131</v>
      </c>
      <c r="O560" s="140" t="s">
        <v>549</v>
      </c>
      <c r="P560" s="140" t="s">
        <v>85</v>
      </c>
    </row>
    <row r="561" spans="1:16" x14ac:dyDescent="0.25">
      <c r="A561" s="10" t="s">
        <v>800</v>
      </c>
      <c r="B561" s="10" t="s">
        <v>325</v>
      </c>
      <c r="C561" s="136" t="s">
        <v>326</v>
      </c>
      <c r="D561" s="136" t="s">
        <v>581</v>
      </c>
      <c r="E561" s="136" t="s">
        <v>74</v>
      </c>
      <c r="F561" s="10" t="s">
        <v>1203</v>
      </c>
      <c r="G561" s="10" t="s">
        <v>1255</v>
      </c>
      <c r="H561" s="137">
        <v>200</v>
      </c>
      <c r="I561" s="138" t="s">
        <v>1256</v>
      </c>
      <c r="J561" s="10">
        <v>5522</v>
      </c>
      <c r="K561" s="136" t="s">
        <v>115</v>
      </c>
      <c r="L561" s="10">
        <v>55</v>
      </c>
      <c r="M561" s="10" t="s">
        <v>2219</v>
      </c>
      <c r="N561" s="136" t="s">
        <v>131</v>
      </c>
      <c r="O561" s="136" t="s">
        <v>549</v>
      </c>
      <c r="P561" s="136" t="s">
        <v>85</v>
      </c>
    </row>
    <row r="562" spans="1:16" x14ac:dyDescent="0.25">
      <c r="A562" s="139" t="s">
        <v>800</v>
      </c>
      <c r="B562" s="139" t="s">
        <v>325</v>
      </c>
      <c r="C562" s="140" t="s">
        <v>326</v>
      </c>
      <c r="D562" s="140" t="s">
        <v>581</v>
      </c>
      <c r="E562" s="140" t="s">
        <v>74</v>
      </c>
      <c r="F562" s="139" t="s">
        <v>1203</v>
      </c>
      <c r="G562" s="139" t="s">
        <v>1257</v>
      </c>
      <c r="H562" s="141">
        <v>500</v>
      </c>
      <c r="I562" s="142"/>
      <c r="J562" s="139">
        <v>5523</v>
      </c>
      <c r="K562" s="140" t="s">
        <v>116</v>
      </c>
      <c r="L562" s="139">
        <v>55</v>
      </c>
      <c r="M562" s="139" t="s">
        <v>2219</v>
      </c>
      <c r="N562" s="140" t="s">
        <v>131</v>
      </c>
      <c r="O562" s="140" t="s">
        <v>549</v>
      </c>
      <c r="P562" s="140" t="s">
        <v>85</v>
      </c>
    </row>
    <row r="563" spans="1:16" x14ac:dyDescent="0.25">
      <c r="A563" s="10" t="s">
        <v>800</v>
      </c>
      <c r="B563" s="10" t="s">
        <v>325</v>
      </c>
      <c r="C563" s="136" t="s">
        <v>326</v>
      </c>
      <c r="D563" s="136" t="s">
        <v>581</v>
      </c>
      <c r="E563" s="136" t="s">
        <v>74</v>
      </c>
      <c r="F563" s="10" t="s">
        <v>1203</v>
      </c>
      <c r="G563" s="10" t="s">
        <v>1258</v>
      </c>
      <c r="H563" s="137">
        <v>500</v>
      </c>
      <c r="I563" s="138"/>
      <c r="J563" s="10">
        <v>5523</v>
      </c>
      <c r="K563" s="136" t="s">
        <v>116</v>
      </c>
      <c r="L563" s="10">
        <v>55</v>
      </c>
      <c r="M563" s="10" t="s">
        <v>2219</v>
      </c>
      <c r="N563" s="136" t="s">
        <v>131</v>
      </c>
      <c r="O563" s="136" t="s">
        <v>549</v>
      </c>
      <c r="P563" s="136" t="s">
        <v>85</v>
      </c>
    </row>
    <row r="564" spans="1:16" x14ac:dyDescent="0.25">
      <c r="A564" s="139" t="s">
        <v>800</v>
      </c>
      <c r="B564" s="139" t="s">
        <v>325</v>
      </c>
      <c r="C564" s="140" t="s">
        <v>326</v>
      </c>
      <c r="D564" s="140" t="s">
        <v>581</v>
      </c>
      <c r="E564" s="140" t="s">
        <v>74</v>
      </c>
      <c r="F564" s="139" t="s">
        <v>1203</v>
      </c>
      <c r="G564" s="139" t="s">
        <v>1259</v>
      </c>
      <c r="H564" s="141">
        <v>4400</v>
      </c>
      <c r="I564" s="142"/>
      <c r="J564" s="139">
        <v>5524</v>
      </c>
      <c r="K564" s="140" t="s">
        <v>117</v>
      </c>
      <c r="L564" s="139">
        <v>55</v>
      </c>
      <c r="M564" s="139" t="s">
        <v>2219</v>
      </c>
      <c r="N564" s="140" t="s">
        <v>131</v>
      </c>
      <c r="O564" s="140" t="s">
        <v>549</v>
      </c>
      <c r="P564" s="140" t="s">
        <v>85</v>
      </c>
    </row>
    <row r="565" spans="1:16" x14ac:dyDescent="0.25">
      <c r="A565" s="10" t="s">
        <v>800</v>
      </c>
      <c r="B565" s="10" t="s">
        <v>325</v>
      </c>
      <c r="C565" s="136" t="s">
        <v>326</v>
      </c>
      <c r="D565" s="136" t="s">
        <v>581</v>
      </c>
      <c r="E565" s="136" t="s">
        <v>74</v>
      </c>
      <c r="F565" s="10" t="s">
        <v>1203</v>
      </c>
      <c r="G565" s="10" t="s">
        <v>1260</v>
      </c>
      <c r="H565" s="137">
        <v>4400</v>
      </c>
      <c r="I565" s="138"/>
      <c r="J565" s="10">
        <v>5524</v>
      </c>
      <c r="K565" s="136" t="s">
        <v>117</v>
      </c>
      <c r="L565" s="10">
        <v>55</v>
      </c>
      <c r="M565" s="10" t="s">
        <v>2219</v>
      </c>
      <c r="N565" s="136" t="s">
        <v>131</v>
      </c>
      <c r="O565" s="136" t="s">
        <v>549</v>
      </c>
      <c r="P565" s="136" t="s">
        <v>85</v>
      </c>
    </row>
    <row r="566" spans="1:16" x14ac:dyDescent="0.25">
      <c r="A566" s="139" t="s">
        <v>800</v>
      </c>
      <c r="B566" s="139" t="s">
        <v>325</v>
      </c>
      <c r="C566" s="140" t="s">
        <v>326</v>
      </c>
      <c r="D566" s="140" t="s">
        <v>581</v>
      </c>
      <c r="E566" s="140" t="s">
        <v>74</v>
      </c>
      <c r="F566" s="139" t="s">
        <v>1203</v>
      </c>
      <c r="G566" s="139" t="s">
        <v>1261</v>
      </c>
      <c r="H566" s="141">
        <v>2000</v>
      </c>
      <c r="I566" s="142" t="s">
        <v>1262</v>
      </c>
      <c r="J566" s="139">
        <v>5525</v>
      </c>
      <c r="K566" s="140" t="s">
        <v>118</v>
      </c>
      <c r="L566" s="139">
        <v>55</v>
      </c>
      <c r="M566" s="139" t="s">
        <v>2219</v>
      </c>
      <c r="N566" s="140" t="s">
        <v>131</v>
      </c>
      <c r="O566" s="140" t="s">
        <v>549</v>
      </c>
      <c r="P566" s="140" t="s">
        <v>85</v>
      </c>
    </row>
    <row r="567" spans="1:16" x14ac:dyDescent="0.25">
      <c r="A567" s="10" t="s">
        <v>800</v>
      </c>
      <c r="B567" s="10" t="s">
        <v>325</v>
      </c>
      <c r="C567" s="136" t="s">
        <v>326</v>
      </c>
      <c r="D567" s="136" t="s">
        <v>581</v>
      </c>
      <c r="E567" s="136" t="s">
        <v>74</v>
      </c>
      <c r="F567" s="10" t="s">
        <v>1203</v>
      </c>
      <c r="G567" s="10" t="s">
        <v>1263</v>
      </c>
      <c r="H567" s="137">
        <v>2000</v>
      </c>
      <c r="I567" s="138" t="s">
        <v>1264</v>
      </c>
      <c r="J567" s="10">
        <v>5525</v>
      </c>
      <c r="K567" s="136" t="s">
        <v>118</v>
      </c>
      <c r="L567" s="10">
        <v>55</v>
      </c>
      <c r="M567" s="10" t="s">
        <v>2219</v>
      </c>
      <c r="N567" s="136" t="s">
        <v>131</v>
      </c>
      <c r="O567" s="136" t="s">
        <v>549</v>
      </c>
      <c r="P567" s="136" t="s">
        <v>85</v>
      </c>
    </row>
    <row r="568" spans="1:16" x14ac:dyDescent="0.25">
      <c r="A568" s="139" t="s">
        <v>800</v>
      </c>
      <c r="B568" s="139" t="s">
        <v>325</v>
      </c>
      <c r="C568" s="140" t="s">
        <v>326</v>
      </c>
      <c r="D568" s="140" t="s">
        <v>581</v>
      </c>
      <c r="E568" s="140" t="s">
        <v>74</v>
      </c>
      <c r="F568" s="139" t="s">
        <v>1203</v>
      </c>
      <c r="G568" s="139" t="s">
        <v>1226</v>
      </c>
      <c r="H568" s="141">
        <v>18000</v>
      </c>
      <c r="I568" s="142" t="s">
        <v>1227</v>
      </c>
      <c r="J568" s="139">
        <v>5511</v>
      </c>
      <c r="K568" s="140" t="s">
        <v>106</v>
      </c>
      <c r="L568" s="139">
        <v>55</v>
      </c>
      <c r="M568" s="139" t="s">
        <v>2219</v>
      </c>
      <c r="N568" s="140" t="s">
        <v>131</v>
      </c>
      <c r="O568" s="140" t="s">
        <v>549</v>
      </c>
      <c r="P568" s="140" t="s">
        <v>85</v>
      </c>
    </row>
    <row r="569" spans="1:16" x14ac:dyDescent="0.25">
      <c r="A569" s="10" t="s">
        <v>800</v>
      </c>
      <c r="B569" s="10" t="s">
        <v>325</v>
      </c>
      <c r="C569" s="136" t="s">
        <v>326</v>
      </c>
      <c r="D569" s="136" t="s">
        <v>581</v>
      </c>
      <c r="E569" s="136" t="s">
        <v>74</v>
      </c>
      <c r="F569" s="10" t="s">
        <v>1203</v>
      </c>
      <c r="G569" s="10" t="s">
        <v>1129</v>
      </c>
      <c r="H569" s="137">
        <v>2500</v>
      </c>
      <c r="I569" s="138" t="s">
        <v>1228</v>
      </c>
      <c r="J569" s="10">
        <v>5511</v>
      </c>
      <c r="K569" s="136" t="s">
        <v>106</v>
      </c>
      <c r="L569" s="10">
        <v>55</v>
      </c>
      <c r="M569" s="10" t="s">
        <v>2219</v>
      </c>
      <c r="N569" s="136" t="s">
        <v>131</v>
      </c>
      <c r="O569" s="136" t="s">
        <v>549</v>
      </c>
      <c r="P569" s="136" t="s">
        <v>85</v>
      </c>
    </row>
    <row r="570" spans="1:16" x14ac:dyDescent="0.25">
      <c r="A570" s="139" t="s">
        <v>800</v>
      </c>
      <c r="B570" s="139" t="s">
        <v>325</v>
      </c>
      <c r="C570" s="140" t="s">
        <v>326</v>
      </c>
      <c r="D570" s="140" t="s">
        <v>581</v>
      </c>
      <c r="E570" s="140" t="s">
        <v>74</v>
      </c>
      <c r="F570" s="139" t="s">
        <v>1203</v>
      </c>
      <c r="G570" s="139" t="s">
        <v>943</v>
      </c>
      <c r="H570" s="141">
        <v>6000</v>
      </c>
      <c r="I570" s="142" t="s">
        <v>1157</v>
      </c>
      <c r="J570" s="139">
        <v>5511</v>
      </c>
      <c r="K570" s="140" t="s">
        <v>106</v>
      </c>
      <c r="L570" s="139">
        <v>55</v>
      </c>
      <c r="M570" s="139" t="s">
        <v>2219</v>
      </c>
      <c r="N570" s="140" t="s">
        <v>131</v>
      </c>
      <c r="O570" s="140" t="s">
        <v>549</v>
      </c>
      <c r="P570" s="140" t="s">
        <v>85</v>
      </c>
    </row>
    <row r="571" spans="1:16" x14ac:dyDescent="0.25">
      <c r="A571" s="10" t="s">
        <v>800</v>
      </c>
      <c r="B571" s="10" t="s">
        <v>325</v>
      </c>
      <c r="C571" s="136" t="s">
        <v>326</v>
      </c>
      <c r="D571" s="136" t="s">
        <v>581</v>
      </c>
      <c r="E571" s="136" t="s">
        <v>74</v>
      </c>
      <c r="F571" s="10" t="s">
        <v>1203</v>
      </c>
      <c r="G571" s="10" t="s">
        <v>1059</v>
      </c>
      <c r="H571" s="137">
        <v>360</v>
      </c>
      <c r="I571" s="138" t="s">
        <v>1229</v>
      </c>
      <c r="J571" s="10">
        <v>5511</v>
      </c>
      <c r="K571" s="136" t="s">
        <v>106</v>
      </c>
      <c r="L571" s="10">
        <v>55</v>
      </c>
      <c r="M571" s="10" t="s">
        <v>2219</v>
      </c>
      <c r="N571" s="136" t="s">
        <v>131</v>
      </c>
      <c r="O571" s="136" t="s">
        <v>549</v>
      </c>
      <c r="P571" s="136" t="s">
        <v>85</v>
      </c>
    </row>
    <row r="572" spans="1:16" x14ac:dyDescent="0.25">
      <c r="A572" s="139" t="s">
        <v>800</v>
      </c>
      <c r="B572" s="139" t="s">
        <v>325</v>
      </c>
      <c r="C572" s="140" t="s">
        <v>326</v>
      </c>
      <c r="D572" s="140" t="s">
        <v>581</v>
      </c>
      <c r="E572" s="140" t="s">
        <v>74</v>
      </c>
      <c r="F572" s="139" t="s">
        <v>1203</v>
      </c>
      <c r="G572" s="139" t="s">
        <v>1230</v>
      </c>
      <c r="H572" s="141">
        <v>1020</v>
      </c>
      <c r="I572" s="142" t="s">
        <v>1231</v>
      </c>
      <c r="J572" s="139">
        <v>5511</v>
      </c>
      <c r="K572" s="140" t="s">
        <v>106</v>
      </c>
      <c r="L572" s="139">
        <v>55</v>
      </c>
      <c r="M572" s="139" t="s">
        <v>2219</v>
      </c>
      <c r="N572" s="140" t="s">
        <v>131</v>
      </c>
      <c r="O572" s="140" t="s">
        <v>549</v>
      </c>
      <c r="P572" s="140" t="s">
        <v>85</v>
      </c>
    </row>
    <row r="573" spans="1:16" x14ac:dyDescent="0.25">
      <c r="A573" s="10" t="s">
        <v>800</v>
      </c>
      <c r="B573" s="10" t="s">
        <v>325</v>
      </c>
      <c r="C573" s="136" t="s">
        <v>326</v>
      </c>
      <c r="D573" s="136" t="s">
        <v>581</v>
      </c>
      <c r="E573" s="136" t="s">
        <v>74</v>
      </c>
      <c r="F573" s="10" t="s">
        <v>1203</v>
      </c>
      <c r="G573" s="10" t="s">
        <v>1232</v>
      </c>
      <c r="H573" s="137">
        <v>460</v>
      </c>
      <c r="I573" s="138" t="s">
        <v>1233</v>
      </c>
      <c r="J573" s="10">
        <v>5511</v>
      </c>
      <c r="K573" s="136" t="s">
        <v>106</v>
      </c>
      <c r="L573" s="10">
        <v>55</v>
      </c>
      <c r="M573" s="10" t="s">
        <v>2219</v>
      </c>
      <c r="N573" s="136" t="s">
        <v>131</v>
      </c>
      <c r="O573" s="136" t="s">
        <v>549</v>
      </c>
      <c r="P573" s="136" t="s">
        <v>85</v>
      </c>
    </row>
    <row r="574" spans="1:16" x14ac:dyDescent="0.25">
      <c r="A574" s="139" t="s">
        <v>800</v>
      </c>
      <c r="B574" s="139" t="s">
        <v>325</v>
      </c>
      <c r="C574" s="140" t="s">
        <v>326</v>
      </c>
      <c r="D574" s="140" t="s">
        <v>581</v>
      </c>
      <c r="E574" s="140" t="s">
        <v>74</v>
      </c>
      <c r="F574" s="139" t="s">
        <v>1203</v>
      </c>
      <c r="G574" s="139" t="s">
        <v>1234</v>
      </c>
      <c r="H574" s="141">
        <v>1200</v>
      </c>
      <c r="I574" s="142" t="s">
        <v>1235</v>
      </c>
      <c r="J574" s="139">
        <v>5511</v>
      </c>
      <c r="K574" s="140" t="s">
        <v>106</v>
      </c>
      <c r="L574" s="139">
        <v>55</v>
      </c>
      <c r="M574" s="139" t="s">
        <v>2219</v>
      </c>
      <c r="N574" s="140" t="s">
        <v>131</v>
      </c>
      <c r="O574" s="140" t="s">
        <v>549</v>
      </c>
      <c r="P574" s="140" t="s">
        <v>85</v>
      </c>
    </row>
    <row r="575" spans="1:16" x14ac:dyDescent="0.25">
      <c r="A575" s="10" t="s">
        <v>800</v>
      </c>
      <c r="B575" s="10" t="s">
        <v>325</v>
      </c>
      <c r="C575" s="136" t="s">
        <v>326</v>
      </c>
      <c r="D575" s="136" t="s">
        <v>581</v>
      </c>
      <c r="E575" s="136" t="s">
        <v>74</v>
      </c>
      <c r="F575" s="10" t="s">
        <v>1203</v>
      </c>
      <c r="G575" s="10" t="s">
        <v>1236</v>
      </c>
      <c r="H575" s="137">
        <v>192</v>
      </c>
      <c r="I575" s="138" t="s">
        <v>1237</v>
      </c>
      <c r="J575" s="10">
        <v>5511</v>
      </c>
      <c r="K575" s="136" t="s">
        <v>106</v>
      </c>
      <c r="L575" s="10">
        <v>55</v>
      </c>
      <c r="M575" s="10" t="s">
        <v>2219</v>
      </c>
      <c r="N575" s="136" t="s">
        <v>131</v>
      </c>
      <c r="O575" s="136" t="s">
        <v>549</v>
      </c>
      <c r="P575" s="136" t="s">
        <v>85</v>
      </c>
    </row>
    <row r="576" spans="1:16" x14ac:dyDescent="0.25">
      <c r="A576" s="139" t="s">
        <v>800</v>
      </c>
      <c r="B576" s="139" t="s">
        <v>325</v>
      </c>
      <c r="C576" s="140" t="s">
        <v>326</v>
      </c>
      <c r="D576" s="140" t="s">
        <v>581</v>
      </c>
      <c r="E576" s="140" t="s">
        <v>74</v>
      </c>
      <c r="F576" s="139" t="s">
        <v>1203</v>
      </c>
      <c r="G576" s="139" t="s">
        <v>1238</v>
      </c>
      <c r="H576" s="141">
        <v>200</v>
      </c>
      <c r="I576" s="142" t="s">
        <v>1239</v>
      </c>
      <c r="J576" s="139">
        <v>5511</v>
      </c>
      <c r="K576" s="140" t="s">
        <v>106</v>
      </c>
      <c r="L576" s="139">
        <v>55</v>
      </c>
      <c r="M576" s="139" t="s">
        <v>2219</v>
      </c>
      <c r="N576" s="140" t="s">
        <v>131</v>
      </c>
      <c r="O576" s="140" t="s">
        <v>549</v>
      </c>
      <c r="P576" s="140" t="s">
        <v>85</v>
      </c>
    </row>
    <row r="577" spans="1:16" x14ac:dyDescent="0.25">
      <c r="A577" s="10" t="s">
        <v>800</v>
      </c>
      <c r="B577" s="10" t="s">
        <v>325</v>
      </c>
      <c r="C577" s="136" t="s">
        <v>326</v>
      </c>
      <c r="D577" s="136" t="s">
        <v>581</v>
      </c>
      <c r="E577" s="136" t="s">
        <v>74</v>
      </c>
      <c r="F577" s="10" t="s">
        <v>1203</v>
      </c>
      <c r="G577" s="10" t="s">
        <v>1240</v>
      </c>
      <c r="H577" s="137">
        <v>4000</v>
      </c>
      <c r="I577" s="138" t="s">
        <v>1241</v>
      </c>
      <c r="J577" s="10">
        <v>5511</v>
      </c>
      <c r="K577" s="136" t="s">
        <v>106</v>
      </c>
      <c r="L577" s="10">
        <v>55</v>
      </c>
      <c r="M577" s="10" t="s">
        <v>2219</v>
      </c>
      <c r="N577" s="136" t="s">
        <v>131</v>
      </c>
      <c r="O577" s="136" t="s">
        <v>549</v>
      </c>
      <c r="P577" s="136" t="s">
        <v>85</v>
      </c>
    </row>
    <row r="578" spans="1:16" x14ac:dyDescent="0.25">
      <c r="A578" s="139" t="s">
        <v>800</v>
      </c>
      <c r="B578" s="139" t="s">
        <v>325</v>
      </c>
      <c r="C578" s="140" t="s">
        <v>326</v>
      </c>
      <c r="D578" s="140" t="s">
        <v>581</v>
      </c>
      <c r="E578" s="140" t="s">
        <v>74</v>
      </c>
      <c r="F578" s="139" t="s">
        <v>1203</v>
      </c>
      <c r="G578" s="139" t="s">
        <v>1242</v>
      </c>
      <c r="H578" s="141">
        <v>3000</v>
      </c>
      <c r="I578" s="142" t="s">
        <v>1243</v>
      </c>
      <c r="J578" s="139">
        <v>5511</v>
      </c>
      <c r="K578" s="140" t="s">
        <v>106</v>
      </c>
      <c r="L578" s="139">
        <v>55</v>
      </c>
      <c r="M578" s="139" t="s">
        <v>2219</v>
      </c>
      <c r="N578" s="140" t="s">
        <v>131</v>
      </c>
      <c r="O578" s="140" t="s">
        <v>549</v>
      </c>
      <c r="P578" s="140" t="s">
        <v>85</v>
      </c>
    </row>
    <row r="579" spans="1:16" x14ac:dyDescent="0.25">
      <c r="A579" s="10" t="s">
        <v>800</v>
      </c>
      <c r="B579" s="10" t="s">
        <v>325</v>
      </c>
      <c r="C579" s="136" t="s">
        <v>326</v>
      </c>
      <c r="D579" s="136" t="s">
        <v>581</v>
      </c>
      <c r="E579" s="136" t="s">
        <v>74</v>
      </c>
      <c r="F579" s="10" t="s">
        <v>1203</v>
      </c>
      <c r="G579" s="10" t="s">
        <v>1246</v>
      </c>
      <c r="H579" s="137">
        <v>850</v>
      </c>
      <c r="I579" s="138"/>
      <c r="J579" s="10">
        <v>5514</v>
      </c>
      <c r="K579" s="136" t="s">
        <v>110</v>
      </c>
      <c r="L579" s="10">
        <v>55</v>
      </c>
      <c r="M579" s="10" t="s">
        <v>2219</v>
      </c>
      <c r="N579" s="136" t="s">
        <v>131</v>
      </c>
      <c r="O579" s="136" t="s">
        <v>549</v>
      </c>
      <c r="P579" s="136" t="s">
        <v>85</v>
      </c>
    </row>
    <row r="580" spans="1:16" x14ac:dyDescent="0.25">
      <c r="A580" s="139" t="s">
        <v>800</v>
      </c>
      <c r="B580" s="139" t="s">
        <v>325</v>
      </c>
      <c r="C580" s="140" t="s">
        <v>326</v>
      </c>
      <c r="D580" s="140" t="s">
        <v>581</v>
      </c>
      <c r="E580" s="140" t="s">
        <v>74</v>
      </c>
      <c r="F580" s="139" t="s">
        <v>1203</v>
      </c>
      <c r="G580" s="139" t="s">
        <v>1247</v>
      </c>
      <c r="H580" s="141">
        <v>350</v>
      </c>
      <c r="I580" s="142" t="s">
        <v>1248</v>
      </c>
      <c r="J580" s="139">
        <v>5514</v>
      </c>
      <c r="K580" s="140" t="s">
        <v>110</v>
      </c>
      <c r="L580" s="139">
        <v>55</v>
      </c>
      <c r="M580" s="139" t="s">
        <v>2219</v>
      </c>
      <c r="N580" s="140" t="s">
        <v>131</v>
      </c>
      <c r="O580" s="140" t="s">
        <v>549</v>
      </c>
      <c r="P580" s="140" t="s">
        <v>85</v>
      </c>
    </row>
    <row r="581" spans="1:16" x14ac:dyDescent="0.25">
      <c r="A581" s="10" t="s">
        <v>800</v>
      </c>
      <c r="B581" s="10" t="s">
        <v>325</v>
      </c>
      <c r="C581" s="136" t="s">
        <v>326</v>
      </c>
      <c r="D581" s="136" t="s">
        <v>581</v>
      </c>
      <c r="E581" s="136" t="s">
        <v>74</v>
      </c>
      <c r="F581" s="10" t="s">
        <v>1203</v>
      </c>
      <c r="G581" s="10" t="s">
        <v>1249</v>
      </c>
      <c r="H581" s="137">
        <v>200</v>
      </c>
      <c r="I581" s="138"/>
      <c r="J581" s="10">
        <v>5514</v>
      </c>
      <c r="K581" s="136" t="s">
        <v>110</v>
      </c>
      <c r="L581" s="10">
        <v>55</v>
      </c>
      <c r="M581" s="10" t="s">
        <v>2219</v>
      </c>
      <c r="N581" s="136" t="s">
        <v>131</v>
      </c>
      <c r="O581" s="136" t="s">
        <v>549</v>
      </c>
      <c r="P581" s="136" t="s">
        <v>85</v>
      </c>
    </row>
    <row r="582" spans="1:16" x14ac:dyDescent="0.25">
      <c r="A582" s="147" t="s">
        <v>800</v>
      </c>
      <c r="B582" s="147" t="s">
        <v>325</v>
      </c>
      <c r="C582" s="148" t="s">
        <v>326</v>
      </c>
      <c r="D582" s="148" t="s">
        <v>581</v>
      </c>
      <c r="E582" s="148" t="s">
        <v>74</v>
      </c>
      <c r="F582" s="147" t="s">
        <v>1203</v>
      </c>
      <c r="G582" s="147" t="s">
        <v>1199</v>
      </c>
      <c r="H582" s="149">
        <v>5000</v>
      </c>
      <c r="I582" s="150" t="s">
        <v>2187</v>
      </c>
      <c r="J582" s="147">
        <v>5511</v>
      </c>
      <c r="K582" s="148" t="s">
        <v>106</v>
      </c>
      <c r="L582" s="147">
        <v>55</v>
      </c>
      <c r="M582" s="147" t="s">
        <v>2219</v>
      </c>
      <c r="N582" s="148" t="s">
        <v>131</v>
      </c>
      <c r="O582" s="148" t="s">
        <v>549</v>
      </c>
      <c r="P582" s="148" t="s">
        <v>85</v>
      </c>
    </row>
    <row r="583" spans="1:16" x14ac:dyDescent="0.25">
      <c r="A583" s="147" t="s">
        <v>800</v>
      </c>
      <c r="B583" s="147" t="s">
        <v>325</v>
      </c>
      <c r="C583" s="148" t="s">
        <v>326</v>
      </c>
      <c r="D583" s="148" t="s">
        <v>581</v>
      </c>
      <c r="E583" s="148" t="s">
        <v>74</v>
      </c>
      <c r="F583" s="147" t="s">
        <v>1203</v>
      </c>
      <c r="G583" s="147" t="s">
        <v>2186</v>
      </c>
      <c r="H583" s="149">
        <v>500</v>
      </c>
      <c r="I583" s="150" t="s">
        <v>2191</v>
      </c>
      <c r="J583" s="147">
        <v>5511</v>
      </c>
      <c r="K583" s="148" t="s">
        <v>106</v>
      </c>
      <c r="L583" s="147">
        <v>55</v>
      </c>
      <c r="M583" s="147" t="s">
        <v>2219</v>
      </c>
      <c r="N583" s="148" t="s">
        <v>131</v>
      </c>
      <c r="O583" s="148" t="s">
        <v>549</v>
      </c>
      <c r="P583" s="148" t="s">
        <v>85</v>
      </c>
    </row>
    <row r="584" spans="1:16" x14ac:dyDescent="0.25">
      <c r="A584" s="139" t="s">
        <v>800</v>
      </c>
      <c r="B584" s="139" t="s">
        <v>327</v>
      </c>
      <c r="C584" s="140" t="s">
        <v>328</v>
      </c>
      <c r="D584" s="140" t="s">
        <v>581</v>
      </c>
      <c r="E584" s="140" t="s">
        <v>74</v>
      </c>
      <c r="F584" s="139" t="s">
        <v>1273</v>
      </c>
      <c r="G584" s="139" t="s">
        <v>167</v>
      </c>
      <c r="H584" s="141">
        <v>760</v>
      </c>
      <c r="I584" s="142"/>
      <c r="J584" s="139">
        <v>5500</v>
      </c>
      <c r="K584" s="140" t="s">
        <v>100</v>
      </c>
      <c r="L584" s="139">
        <v>55</v>
      </c>
      <c r="M584" s="139" t="s">
        <v>2219</v>
      </c>
      <c r="N584" s="140" t="s">
        <v>131</v>
      </c>
      <c r="O584" s="140" t="s">
        <v>549</v>
      </c>
      <c r="P584" s="140" t="s">
        <v>85</v>
      </c>
    </row>
    <row r="585" spans="1:16" x14ac:dyDescent="0.25">
      <c r="A585" s="10" t="s">
        <v>800</v>
      </c>
      <c r="B585" s="10" t="s">
        <v>327</v>
      </c>
      <c r="C585" s="136" t="s">
        <v>328</v>
      </c>
      <c r="D585" s="136" t="s">
        <v>581</v>
      </c>
      <c r="E585" s="136" t="s">
        <v>74</v>
      </c>
      <c r="F585" s="10" t="s">
        <v>1273</v>
      </c>
      <c r="G585" s="10" t="s">
        <v>1281</v>
      </c>
      <c r="H585" s="137">
        <v>25</v>
      </c>
      <c r="I585" s="138"/>
      <c r="J585" s="10">
        <v>5500</v>
      </c>
      <c r="K585" s="136" t="s">
        <v>100</v>
      </c>
      <c r="L585" s="10">
        <v>55</v>
      </c>
      <c r="M585" s="10" t="s">
        <v>2219</v>
      </c>
      <c r="N585" s="136" t="s">
        <v>131</v>
      </c>
      <c r="O585" s="136" t="s">
        <v>549</v>
      </c>
      <c r="P585" s="136" t="s">
        <v>85</v>
      </c>
    </row>
    <row r="586" spans="1:16" x14ac:dyDescent="0.25">
      <c r="A586" s="139" t="s">
        <v>800</v>
      </c>
      <c r="B586" s="139" t="s">
        <v>327</v>
      </c>
      <c r="C586" s="140" t="s">
        <v>328</v>
      </c>
      <c r="D586" s="140" t="s">
        <v>581</v>
      </c>
      <c r="E586" s="140" t="s">
        <v>74</v>
      </c>
      <c r="F586" s="139" t="s">
        <v>1273</v>
      </c>
      <c r="G586" s="139" t="s">
        <v>1282</v>
      </c>
      <c r="H586" s="141">
        <v>60</v>
      </c>
      <c r="I586" s="142"/>
      <c r="J586" s="139">
        <v>5500</v>
      </c>
      <c r="K586" s="140" t="s">
        <v>100</v>
      </c>
      <c r="L586" s="139">
        <v>55</v>
      </c>
      <c r="M586" s="139" t="s">
        <v>2219</v>
      </c>
      <c r="N586" s="140" t="s">
        <v>131</v>
      </c>
      <c r="O586" s="140" t="s">
        <v>549</v>
      </c>
      <c r="P586" s="140" t="s">
        <v>85</v>
      </c>
    </row>
    <row r="587" spans="1:16" x14ac:dyDescent="0.25">
      <c r="A587" s="10" t="s">
        <v>800</v>
      </c>
      <c r="B587" s="10" t="s">
        <v>327</v>
      </c>
      <c r="C587" s="136" t="s">
        <v>328</v>
      </c>
      <c r="D587" s="136" t="s">
        <v>581</v>
      </c>
      <c r="E587" s="136" t="s">
        <v>74</v>
      </c>
      <c r="F587" s="10" t="s">
        <v>1273</v>
      </c>
      <c r="G587" s="10" t="s">
        <v>1284</v>
      </c>
      <c r="H587" s="137">
        <v>500</v>
      </c>
      <c r="I587" s="138"/>
      <c r="J587" s="10">
        <v>5500</v>
      </c>
      <c r="K587" s="136" t="s">
        <v>100</v>
      </c>
      <c r="L587" s="10">
        <v>55</v>
      </c>
      <c r="M587" s="10" t="s">
        <v>2219</v>
      </c>
      <c r="N587" s="136" t="s">
        <v>131</v>
      </c>
      <c r="O587" s="136" t="s">
        <v>549</v>
      </c>
      <c r="P587" s="136" t="s">
        <v>85</v>
      </c>
    </row>
    <row r="588" spans="1:16" x14ac:dyDescent="0.25">
      <c r="A588" s="139" t="s">
        <v>800</v>
      </c>
      <c r="B588" s="139" t="s">
        <v>327</v>
      </c>
      <c r="C588" s="140" t="s">
        <v>328</v>
      </c>
      <c r="D588" s="140" t="s">
        <v>581</v>
      </c>
      <c r="E588" s="140" t="s">
        <v>74</v>
      </c>
      <c r="F588" s="139" t="s">
        <v>1273</v>
      </c>
      <c r="G588" s="139" t="s">
        <v>409</v>
      </c>
      <c r="H588" s="141">
        <v>300</v>
      </c>
      <c r="I588" s="142"/>
      <c r="J588" s="139">
        <v>5504</v>
      </c>
      <c r="K588" s="140" t="s">
        <v>102</v>
      </c>
      <c r="L588" s="139">
        <v>55</v>
      </c>
      <c r="M588" s="139" t="s">
        <v>2219</v>
      </c>
      <c r="N588" s="140" t="s">
        <v>131</v>
      </c>
      <c r="O588" s="140" t="s">
        <v>549</v>
      </c>
      <c r="P588" s="140" t="s">
        <v>85</v>
      </c>
    </row>
    <row r="589" spans="1:16" x14ac:dyDescent="0.25">
      <c r="A589" s="10" t="s">
        <v>800</v>
      </c>
      <c r="B589" s="10" t="s">
        <v>327</v>
      </c>
      <c r="C589" s="136" t="s">
        <v>328</v>
      </c>
      <c r="D589" s="136" t="s">
        <v>581</v>
      </c>
      <c r="E589" s="136" t="s">
        <v>74</v>
      </c>
      <c r="F589" s="10" t="s">
        <v>1273</v>
      </c>
      <c r="G589" s="10" t="s">
        <v>1297</v>
      </c>
      <c r="H589" s="137">
        <v>704</v>
      </c>
      <c r="I589" s="138" t="s">
        <v>1298</v>
      </c>
      <c r="J589" s="10">
        <v>5513</v>
      </c>
      <c r="K589" s="136" t="s">
        <v>111</v>
      </c>
      <c r="L589" s="10">
        <v>55</v>
      </c>
      <c r="M589" s="10" t="s">
        <v>2219</v>
      </c>
      <c r="N589" s="136" t="s">
        <v>131</v>
      </c>
      <c r="O589" s="136" t="s">
        <v>549</v>
      </c>
      <c r="P589" s="136" t="s">
        <v>85</v>
      </c>
    </row>
    <row r="590" spans="1:16" x14ac:dyDescent="0.25">
      <c r="A590" s="139" t="s">
        <v>800</v>
      </c>
      <c r="B590" s="139" t="s">
        <v>327</v>
      </c>
      <c r="C590" s="140" t="s">
        <v>328</v>
      </c>
      <c r="D590" s="140" t="s">
        <v>581</v>
      </c>
      <c r="E590" s="140" t="s">
        <v>74</v>
      </c>
      <c r="F590" s="139" t="s">
        <v>1273</v>
      </c>
      <c r="G590" s="139" t="s">
        <v>1300</v>
      </c>
      <c r="H590" s="141">
        <v>600</v>
      </c>
      <c r="I590" s="142"/>
      <c r="J590" s="139">
        <v>5515</v>
      </c>
      <c r="K590" s="140" t="s">
        <v>112</v>
      </c>
      <c r="L590" s="139">
        <v>55</v>
      </c>
      <c r="M590" s="139" t="s">
        <v>2219</v>
      </c>
      <c r="N590" s="140" t="s">
        <v>131</v>
      </c>
      <c r="O590" s="140" t="s">
        <v>549</v>
      </c>
      <c r="P590" s="140" t="s">
        <v>85</v>
      </c>
    </row>
    <row r="591" spans="1:16" x14ac:dyDescent="0.25">
      <c r="A591" s="10" t="s">
        <v>800</v>
      </c>
      <c r="B591" s="10" t="s">
        <v>327</v>
      </c>
      <c r="C591" s="136" t="s">
        <v>328</v>
      </c>
      <c r="D591" s="136" t="s">
        <v>581</v>
      </c>
      <c r="E591" s="136" t="s">
        <v>74</v>
      </c>
      <c r="F591" s="10" t="s">
        <v>1273</v>
      </c>
      <c r="G591" s="10" t="s">
        <v>1301</v>
      </c>
      <c r="H591" s="137">
        <v>140</v>
      </c>
      <c r="I591" s="138"/>
      <c r="J591" s="10">
        <v>5515</v>
      </c>
      <c r="K591" s="136" t="s">
        <v>112</v>
      </c>
      <c r="L591" s="10">
        <v>55</v>
      </c>
      <c r="M591" s="10" t="s">
        <v>2219</v>
      </c>
      <c r="N591" s="136" t="s">
        <v>131</v>
      </c>
      <c r="O591" s="136" t="s">
        <v>549</v>
      </c>
      <c r="P591" s="136" t="s">
        <v>85</v>
      </c>
    </row>
    <row r="592" spans="1:16" x14ac:dyDescent="0.25">
      <c r="A592" s="139" t="s">
        <v>800</v>
      </c>
      <c r="B592" s="139" t="s">
        <v>327</v>
      </c>
      <c r="C592" s="140" t="s">
        <v>328</v>
      </c>
      <c r="D592" s="140" t="s">
        <v>581</v>
      </c>
      <c r="E592" s="140" t="s">
        <v>74</v>
      </c>
      <c r="F592" s="139" t="s">
        <v>1273</v>
      </c>
      <c r="G592" s="139" t="s">
        <v>1302</v>
      </c>
      <c r="H592" s="141">
        <v>6500</v>
      </c>
      <c r="I592" s="142" t="s">
        <v>1303</v>
      </c>
      <c r="J592" s="139">
        <v>5521</v>
      </c>
      <c r="K592" s="140" t="s">
        <v>114</v>
      </c>
      <c r="L592" s="139">
        <v>55</v>
      </c>
      <c r="M592" s="139" t="s">
        <v>2219</v>
      </c>
      <c r="N592" s="140" t="s">
        <v>131</v>
      </c>
      <c r="O592" s="140" t="s">
        <v>549</v>
      </c>
      <c r="P592" s="140" t="s">
        <v>85</v>
      </c>
    </row>
    <row r="593" spans="1:16" x14ac:dyDescent="0.25">
      <c r="A593" s="10" t="s">
        <v>800</v>
      </c>
      <c r="B593" s="10" t="s">
        <v>327</v>
      </c>
      <c r="C593" s="136" t="s">
        <v>328</v>
      </c>
      <c r="D593" s="136" t="s">
        <v>581</v>
      </c>
      <c r="E593" s="136" t="s">
        <v>74</v>
      </c>
      <c r="F593" s="10" t="s">
        <v>1273</v>
      </c>
      <c r="G593" s="10" t="s">
        <v>1304</v>
      </c>
      <c r="H593" s="137">
        <v>80</v>
      </c>
      <c r="I593" s="138"/>
      <c r="J593" s="10">
        <v>5522</v>
      </c>
      <c r="K593" s="136" t="s">
        <v>115</v>
      </c>
      <c r="L593" s="10">
        <v>55</v>
      </c>
      <c r="M593" s="10" t="s">
        <v>2219</v>
      </c>
      <c r="N593" s="136" t="s">
        <v>131</v>
      </c>
      <c r="O593" s="136" t="s">
        <v>549</v>
      </c>
      <c r="P593" s="136" t="s">
        <v>85</v>
      </c>
    </row>
    <row r="594" spans="1:16" x14ac:dyDescent="0.25">
      <c r="A594" s="139" t="s">
        <v>800</v>
      </c>
      <c r="B594" s="139" t="s">
        <v>327</v>
      </c>
      <c r="C594" s="140" t="s">
        <v>328</v>
      </c>
      <c r="D594" s="140" t="s">
        <v>581</v>
      </c>
      <c r="E594" s="140" t="s">
        <v>74</v>
      </c>
      <c r="F594" s="139" t="s">
        <v>1273</v>
      </c>
      <c r="G594" s="139" t="s">
        <v>1305</v>
      </c>
      <c r="H594" s="141">
        <v>4800</v>
      </c>
      <c r="I594" s="142"/>
      <c r="J594" s="139">
        <v>5524</v>
      </c>
      <c r="K594" s="140" t="s">
        <v>117</v>
      </c>
      <c r="L594" s="139">
        <v>55</v>
      </c>
      <c r="M594" s="139" t="s">
        <v>2219</v>
      </c>
      <c r="N594" s="140" t="s">
        <v>131</v>
      </c>
      <c r="O594" s="140" t="s">
        <v>549</v>
      </c>
      <c r="P594" s="140" t="s">
        <v>85</v>
      </c>
    </row>
    <row r="595" spans="1:16" x14ac:dyDescent="0.25">
      <c r="A595" s="10" t="s">
        <v>800</v>
      </c>
      <c r="B595" s="10" t="s">
        <v>327</v>
      </c>
      <c r="C595" s="136" t="s">
        <v>328</v>
      </c>
      <c r="D595" s="136" t="s">
        <v>581</v>
      </c>
      <c r="E595" s="136" t="s">
        <v>74</v>
      </c>
      <c r="F595" s="10" t="s">
        <v>1273</v>
      </c>
      <c r="G595" s="10" t="s">
        <v>1306</v>
      </c>
      <c r="H595" s="137">
        <v>200</v>
      </c>
      <c r="I595" s="138"/>
      <c r="J595" s="10">
        <v>5525</v>
      </c>
      <c r="K595" s="136" t="s">
        <v>118</v>
      </c>
      <c r="L595" s="10">
        <v>55</v>
      </c>
      <c r="M595" s="10" t="s">
        <v>2219</v>
      </c>
      <c r="N595" s="136" t="s">
        <v>131</v>
      </c>
      <c r="O595" s="136" t="s">
        <v>549</v>
      </c>
      <c r="P595" s="136" t="s">
        <v>85</v>
      </c>
    </row>
    <row r="596" spans="1:16" x14ac:dyDescent="0.25">
      <c r="A596" s="139" t="s">
        <v>800</v>
      </c>
      <c r="B596" s="139" t="s">
        <v>327</v>
      </c>
      <c r="C596" s="140" t="s">
        <v>328</v>
      </c>
      <c r="D596" s="140" t="s">
        <v>581</v>
      </c>
      <c r="E596" s="140" t="s">
        <v>74</v>
      </c>
      <c r="F596" s="139" t="s">
        <v>1273</v>
      </c>
      <c r="G596" s="139" t="s">
        <v>1307</v>
      </c>
      <c r="H596" s="141">
        <v>350</v>
      </c>
      <c r="I596" s="142"/>
      <c r="J596" s="139">
        <v>5525</v>
      </c>
      <c r="K596" s="140" t="s">
        <v>118</v>
      </c>
      <c r="L596" s="139">
        <v>55</v>
      </c>
      <c r="M596" s="139" t="s">
        <v>2219</v>
      </c>
      <c r="N596" s="140" t="s">
        <v>131</v>
      </c>
      <c r="O596" s="140" t="s">
        <v>549</v>
      </c>
      <c r="P596" s="140" t="s">
        <v>85</v>
      </c>
    </row>
    <row r="597" spans="1:16" x14ac:dyDescent="0.25">
      <c r="A597" s="10" t="s">
        <v>800</v>
      </c>
      <c r="B597" s="10" t="s">
        <v>327</v>
      </c>
      <c r="C597" s="136" t="s">
        <v>328</v>
      </c>
      <c r="D597" s="136" t="s">
        <v>581</v>
      </c>
      <c r="E597" s="136" t="s">
        <v>74</v>
      </c>
      <c r="F597" s="10" t="s">
        <v>1273</v>
      </c>
      <c r="G597" s="10" t="s">
        <v>177</v>
      </c>
      <c r="H597" s="137">
        <v>6951</v>
      </c>
      <c r="I597" s="138" t="s">
        <v>1285</v>
      </c>
      <c r="J597" s="10">
        <v>5511</v>
      </c>
      <c r="K597" s="136" t="s">
        <v>106</v>
      </c>
      <c r="L597" s="10">
        <v>55</v>
      </c>
      <c r="M597" s="10" t="s">
        <v>2219</v>
      </c>
      <c r="N597" s="136" t="s">
        <v>131</v>
      </c>
      <c r="O597" s="136" t="s">
        <v>549</v>
      </c>
      <c r="P597" s="136" t="s">
        <v>85</v>
      </c>
    </row>
    <row r="598" spans="1:16" x14ac:dyDescent="0.25">
      <c r="A598" s="139" t="s">
        <v>800</v>
      </c>
      <c r="B598" s="139" t="s">
        <v>327</v>
      </c>
      <c r="C598" s="140" t="s">
        <v>328</v>
      </c>
      <c r="D598" s="140" t="s">
        <v>581</v>
      </c>
      <c r="E598" s="140" t="s">
        <v>74</v>
      </c>
      <c r="F598" s="139" t="s">
        <v>1273</v>
      </c>
      <c r="G598" s="139" t="s">
        <v>178</v>
      </c>
      <c r="H598" s="141">
        <v>2860</v>
      </c>
      <c r="I598" s="142" t="s">
        <v>1286</v>
      </c>
      <c r="J598" s="139">
        <v>5511</v>
      </c>
      <c r="K598" s="140" t="s">
        <v>106</v>
      </c>
      <c r="L598" s="139">
        <v>55</v>
      </c>
      <c r="M598" s="139" t="s">
        <v>2219</v>
      </c>
      <c r="N598" s="140" t="s">
        <v>131</v>
      </c>
      <c r="O598" s="140" t="s">
        <v>549</v>
      </c>
      <c r="P598" s="140" t="s">
        <v>85</v>
      </c>
    </row>
    <row r="599" spans="1:16" x14ac:dyDescent="0.25">
      <c r="A599" s="10" t="s">
        <v>800</v>
      </c>
      <c r="B599" s="10" t="s">
        <v>327</v>
      </c>
      <c r="C599" s="136" t="s">
        <v>328</v>
      </c>
      <c r="D599" s="136" t="s">
        <v>581</v>
      </c>
      <c r="E599" s="136" t="s">
        <v>74</v>
      </c>
      <c r="F599" s="10" t="s">
        <v>1273</v>
      </c>
      <c r="G599" s="10" t="s">
        <v>443</v>
      </c>
      <c r="H599" s="137">
        <v>927</v>
      </c>
      <c r="I599" s="138" t="s">
        <v>1287</v>
      </c>
      <c r="J599" s="10">
        <v>5511</v>
      </c>
      <c r="K599" s="136" t="s">
        <v>106</v>
      </c>
      <c r="L599" s="10">
        <v>55</v>
      </c>
      <c r="M599" s="10" t="s">
        <v>2219</v>
      </c>
      <c r="N599" s="136" t="s">
        <v>131</v>
      </c>
      <c r="O599" s="136" t="s">
        <v>549</v>
      </c>
      <c r="P599" s="136" t="s">
        <v>85</v>
      </c>
    </row>
    <row r="600" spans="1:16" x14ac:dyDescent="0.25">
      <c r="A600" s="139" t="s">
        <v>800</v>
      </c>
      <c r="B600" s="139" t="s">
        <v>327</v>
      </c>
      <c r="C600" s="140" t="s">
        <v>328</v>
      </c>
      <c r="D600" s="140" t="s">
        <v>581</v>
      </c>
      <c r="E600" s="140" t="s">
        <v>74</v>
      </c>
      <c r="F600" s="139" t="s">
        <v>1273</v>
      </c>
      <c r="G600" s="139" t="s">
        <v>194</v>
      </c>
      <c r="H600" s="141">
        <v>1300</v>
      </c>
      <c r="I600" s="142" t="s">
        <v>1288</v>
      </c>
      <c r="J600" s="139">
        <v>5511</v>
      </c>
      <c r="K600" s="140" t="s">
        <v>106</v>
      </c>
      <c r="L600" s="139">
        <v>55</v>
      </c>
      <c r="M600" s="139" t="s">
        <v>2219</v>
      </c>
      <c r="N600" s="140" t="s">
        <v>131</v>
      </c>
      <c r="O600" s="140" t="s">
        <v>549</v>
      </c>
      <c r="P600" s="140" t="s">
        <v>85</v>
      </c>
    </row>
    <row r="601" spans="1:16" x14ac:dyDescent="0.25">
      <c r="A601" s="10" t="s">
        <v>800</v>
      </c>
      <c r="B601" s="10" t="s">
        <v>327</v>
      </c>
      <c r="C601" s="136" t="s">
        <v>328</v>
      </c>
      <c r="D601" s="136" t="s">
        <v>581</v>
      </c>
      <c r="E601" s="136" t="s">
        <v>74</v>
      </c>
      <c r="F601" s="10" t="s">
        <v>1273</v>
      </c>
      <c r="G601" s="10" t="s">
        <v>1289</v>
      </c>
      <c r="H601" s="137">
        <v>184</v>
      </c>
      <c r="I601" s="138" t="s">
        <v>1290</v>
      </c>
      <c r="J601" s="10">
        <v>5511</v>
      </c>
      <c r="K601" s="136" t="s">
        <v>106</v>
      </c>
      <c r="L601" s="10">
        <v>55</v>
      </c>
      <c r="M601" s="10" t="s">
        <v>2219</v>
      </c>
      <c r="N601" s="136" t="s">
        <v>131</v>
      </c>
      <c r="O601" s="136" t="s">
        <v>549</v>
      </c>
      <c r="P601" s="136" t="s">
        <v>85</v>
      </c>
    </row>
    <row r="602" spans="1:16" x14ac:dyDescent="0.25">
      <c r="A602" s="139" t="s">
        <v>800</v>
      </c>
      <c r="B602" s="139" t="s">
        <v>327</v>
      </c>
      <c r="C602" s="140" t="s">
        <v>328</v>
      </c>
      <c r="D602" s="140" t="s">
        <v>581</v>
      </c>
      <c r="E602" s="140" t="s">
        <v>74</v>
      </c>
      <c r="F602" s="139" t="s">
        <v>1273</v>
      </c>
      <c r="G602" s="139" t="s">
        <v>1291</v>
      </c>
      <c r="H602" s="141">
        <v>540</v>
      </c>
      <c r="I602" s="142" t="s">
        <v>1292</v>
      </c>
      <c r="J602" s="139">
        <v>5511</v>
      </c>
      <c r="K602" s="140" t="s">
        <v>106</v>
      </c>
      <c r="L602" s="139">
        <v>55</v>
      </c>
      <c r="M602" s="139" t="s">
        <v>2219</v>
      </c>
      <c r="N602" s="140" t="s">
        <v>131</v>
      </c>
      <c r="O602" s="140" t="s">
        <v>549</v>
      </c>
      <c r="P602" s="140" t="s">
        <v>85</v>
      </c>
    </row>
    <row r="603" spans="1:16" x14ac:dyDescent="0.25">
      <c r="A603" s="10" t="s">
        <v>800</v>
      </c>
      <c r="B603" s="10" t="s">
        <v>327</v>
      </c>
      <c r="C603" s="136" t="s">
        <v>328</v>
      </c>
      <c r="D603" s="136" t="s">
        <v>581</v>
      </c>
      <c r="E603" s="136" t="s">
        <v>74</v>
      </c>
      <c r="F603" s="10" t="s">
        <v>1273</v>
      </c>
      <c r="G603" s="10" t="s">
        <v>1293</v>
      </c>
      <c r="H603" s="137">
        <v>240</v>
      </c>
      <c r="I603" s="138" t="s">
        <v>1294</v>
      </c>
      <c r="J603" s="10">
        <v>5511</v>
      </c>
      <c r="K603" s="136" t="s">
        <v>106</v>
      </c>
      <c r="L603" s="10">
        <v>55</v>
      </c>
      <c r="M603" s="10" t="s">
        <v>2219</v>
      </c>
      <c r="N603" s="136" t="s">
        <v>131</v>
      </c>
      <c r="O603" s="136" t="s">
        <v>549</v>
      </c>
      <c r="P603" s="136" t="s">
        <v>85</v>
      </c>
    </row>
    <row r="604" spans="1:16" x14ac:dyDescent="0.25">
      <c r="A604" s="139" t="s">
        <v>800</v>
      </c>
      <c r="B604" s="139" t="s">
        <v>327</v>
      </c>
      <c r="C604" s="140" t="s">
        <v>328</v>
      </c>
      <c r="D604" s="140" t="s">
        <v>581</v>
      </c>
      <c r="E604" s="140" t="s">
        <v>74</v>
      </c>
      <c r="F604" s="139" t="s">
        <v>1273</v>
      </c>
      <c r="G604" s="139" t="s">
        <v>1295</v>
      </c>
      <c r="H604" s="141">
        <v>117</v>
      </c>
      <c r="I604" s="142" t="s">
        <v>1296</v>
      </c>
      <c r="J604" s="139">
        <v>5511</v>
      </c>
      <c r="K604" s="140" t="s">
        <v>106</v>
      </c>
      <c r="L604" s="139">
        <v>55</v>
      </c>
      <c r="M604" s="139" t="s">
        <v>2219</v>
      </c>
      <c r="N604" s="140" t="s">
        <v>131</v>
      </c>
      <c r="O604" s="140" t="s">
        <v>549</v>
      </c>
      <c r="P604" s="140" t="s">
        <v>85</v>
      </c>
    </row>
    <row r="605" spans="1:16" x14ac:dyDescent="0.25">
      <c r="A605" s="10" t="s">
        <v>800</v>
      </c>
      <c r="B605" s="10" t="s">
        <v>327</v>
      </c>
      <c r="C605" s="136" t="s">
        <v>328</v>
      </c>
      <c r="D605" s="136" t="s">
        <v>581</v>
      </c>
      <c r="E605" s="136" t="s">
        <v>74</v>
      </c>
      <c r="F605" s="10" t="s">
        <v>1273</v>
      </c>
      <c r="G605" s="10" t="s">
        <v>1283</v>
      </c>
      <c r="H605" s="137">
        <v>260</v>
      </c>
      <c r="I605" s="138"/>
      <c r="J605" s="10">
        <v>5514</v>
      </c>
      <c r="K605" s="136" t="s">
        <v>110</v>
      </c>
      <c r="L605" s="10">
        <v>55</v>
      </c>
      <c r="M605" s="10" t="s">
        <v>2219</v>
      </c>
      <c r="N605" s="136" t="s">
        <v>131</v>
      </c>
      <c r="O605" s="136" t="s">
        <v>549</v>
      </c>
      <c r="P605" s="136" t="s">
        <v>85</v>
      </c>
    </row>
    <row r="606" spans="1:16" x14ac:dyDescent="0.25">
      <c r="A606" s="139" t="s">
        <v>800</v>
      </c>
      <c r="B606" s="139" t="s">
        <v>327</v>
      </c>
      <c r="C606" s="140" t="s">
        <v>328</v>
      </c>
      <c r="D606" s="140" t="s">
        <v>581</v>
      </c>
      <c r="E606" s="140" t="s">
        <v>74</v>
      </c>
      <c r="F606" s="139" t="s">
        <v>1273</v>
      </c>
      <c r="G606" s="139" t="s">
        <v>1299</v>
      </c>
      <c r="H606" s="141">
        <v>120</v>
      </c>
      <c r="I606" s="142"/>
      <c r="J606" s="139">
        <v>5514</v>
      </c>
      <c r="K606" s="140" t="s">
        <v>110</v>
      </c>
      <c r="L606" s="139">
        <v>55</v>
      </c>
      <c r="M606" s="139" t="s">
        <v>2219</v>
      </c>
      <c r="N606" s="140" t="s">
        <v>131</v>
      </c>
      <c r="O606" s="140" t="s">
        <v>549</v>
      </c>
      <c r="P606" s="140" t="s">
        <v>85</v>
      </c>
    </row>
    <row r="607" spans="1:16" x14ac:dyDescent="0.25">
      <c r="A607" s="10" t="s">
        <v>800</v>
      </c>
      <c r="B607" s="10" t="s">
        <v>327</v>
      </c>
      <c r="C607" s="136" t="s">
        <v>328</v>
      </c>
      <c r="D607" s="136" t="s">
        <v>581</v>
      </c>
      <c r="E607" s="136" t="s">
        <v>74</v>
      </c>
      <c r="F607" s="10" t="s">
        <v>1273</v>
      </c>
      <c r="G607" s="10" t="s">
        <v>2168</v>
      </c>
      <c r="H607" s="137">
        <v>967</v>
      </c>
      <c r="I607" s="138"/>
      <c r="J607" s="10">
        <v>5511</v>
      </c>
      <c r="K607" s="136" t="s">
        <v>106</v>
      </c>
      <c r="L607" s="10">
        <v>55</v>
      </c>
      <c r="M607" s="10" t="s">
        <v>2219</v>
      </c>
      <c r="N607" s="136" t="s">
        <v>131</v>
      </c>
      <c r="O607" s="136" t="s">
        <v>549</v>
      </c>
      <c r="P607" s="136" t="s">
        <v>85</v>
      </c>
    </row>
    <row r="608" spans="1:16" x14ac:dyDescent="0.25">
      <c r="A608" s="147" t="s">
        <v>800</v>
      </c>
      <c r="B608" s="147" t="s">
        <v>327</v>
      </c>
      <c r="C608" s="148" t="s">
        <v>328</v>
      </c>
      <c r="D608" s="148" t="s">
        <v>581</v>
      </c>
      <c r="E608" s="148" t="s">
        <v>74</v>
      </c>
      <c r="F608" s="147" t="s">
        <v>1273</v>
      </c>
      <c r="G608" s="147" t="s">
        <v>2188</v>
      </c>
      <c r="H608" s="149">
        <v>5500</v>
      </c>
      <c r="I608" s="150"/>
      <c r="J608" s="147">
        <v>5511</v>
      </c>
      <c r="K608" s="148" t="s">
        <v>106</v>
      </c>
      <c r="L608" s="147">
        <v>55</v>
      </c>
      <c r="M608" s="147" t="s">
        <v>2219</v>
      </c>
      <c r="N608" s="148" t="s">
        <v>131</v>
      </c>
      <c r="O608" s="148" t="s">
        <v>549</v>
      </c>
      <c r="P608" s="148" t="s">
        <v>85</v>
      </c>
    </row>
    <row r="609" spans="1:16" x14ac:dyDescent="0.25">
      <c r="A609" s="10" t="s">
        <v>800</v>
      </c>
      <c r="B609" s="10" t="s">
        <v>329</v>
      </c>
      <c r="C609" s="136" t="s">
        <v>330</v>
      </c>
      <c r="D609" s="136" t="s">
        <v>581</v>
      </c>
      <c r="E609" s="136" t="s">
        <v>74</v>
      </c>
      <c r="F609" s="10" t="s">
        <v>1314</v>
      </c>
      <c r="G609" s="10" t="s">
        <v>1144</v>
      </c>
      <c r="H609" s="137">
        <v>650</v>
      </c>
      <c r="I609" s="138" t="s">
        <v>1321</v>
      </c>
      <c r="J609" s="10">
        <v>5500</v>
      </c>
      <c r="K609" s="136" t="s">
        <v>100</v>
      </c>
      <c r="L609" s="10">
        <v>55</v>
      </c>
      <c r="M609" s="10" t="s">
        <v>2219</v>
      </c>
      <c r="N609" s="136" t="s">
        <v>131</v>
      </c>
      <c r="O609" s="136" t="s">
        <v>549</v>
      </c>
      <c r="P609" s="136" t="s">
        <v>85</v>
      </c>
    </row>
    <row r="610" spans="1:16" x14ac:dyDescent="0.25">
      <c r="A610" s="139" t="s">
        <v>800</v>
      </c>
      <c r="B610" s="139" t="s">
        <v>329</v>
      </c>
      <c r="C610" s="140" t="s">
        <v>330</v>
      </c>
      <c r="D610" s="140" t="s">
        <v>581</v>
      </c>
      <c r="E610" s="140" t="s">
        <v>74</v>
      </c>
      <c r="F610" s="139" t="s">
        <v>1314</v>
      </c>
      <c r="G610" s="139" t="s">
        <v>1091</v>
      </c>
      <c r="H610" s="141">
        <v>100</v>
      </c>
      <c r="I610" s="142" t="s">
        <v>1322</v>
      </c>
      <c r="J610" s="139">
        <v>5500</v>
      </c>
      <c r="K610" s="140" t="s">
        <v>100</v>
      </c>
      <c r="L610" s="139">
        <v>55</v>
      </c>
      <c r="M610" s="139" t="s">
        <v>2219</v>
      </c>
      <c r="N610" s="140" t="s">
        <v>131</v>
      </c>
      <c r="O610" s="140" t="s">
        <v>549</v>
      </c>
      <c r="P610" s="140" t="s">
        <v>85</v>
      </c>
    </row>
    <row r="611" spans="1:16" x14ac:dyDescent="0.25">
      <c r="A611" s="10" t="s">
        <v>800</v>
      </c>
      <c r="B611" s="10" t="s">
        <v>329</v>
      </c>
      <c r="C611" s="136" t="s">
        <v>330</v>
      </c>
      <c r="D611" s="136" t="s">
        <v>581</v>
      </c>
      <c r="E611" s="136" t="s">
        <v>74</v>
      </c>
      <c r="F611" s="10" t="s">
        <v>1314</v>
      </c>
      <c r="G611" s="10" t="s">
        <v>1315</v>
      </c>
      <c r="H611" s="137">
        <v>120</v>
      </c>
      <c r="I611" s="138"/>
      <c r="J611" s="10">
        <v>5500</v>
      </c>
      <c r="K611" s="136" t="s">
        <v>100</v>
      </c>
      <c r="L611" s="10">
        <v>55</v>
      </c>
      <c r="M611" s="10" t="s">
        <v>2219</v>
      </c>
      <c r="N611" s="136" t="s">
        <v>131</v>
      </c>
      <c r="O611" s="136" t="s">
        <v>549</v>
      </c>
      <c r="P611" s="136" t="s">
        <v>85</v>
      </c>
    </row>
    <row r="612" spans="1:16" x14ac:dyDescent="0.25">
      <c r="A612" s="139" t="s">
        <v>800</v>
      </c>
      <c r="B612" s="139" t="s">
        <v>329</v>
      </c>
      <c r="C612" s="140" t="s">
        <v>330</v>
      </c>
      <c r="D612" s="140" t="s">
        <v>581</v>
      </c>
      <c r="E612" s="140" t="s">
        <v>74</v>
      </c>
      <c r="F612" s="139" t="s">
        <v>1314</v>
      </c>
      <c r="G612" s="139" t="s">
        <v>1316</v>
      </c>
      <c r="H612" s="141">
        <v>16</v>
      </c>
      <c r="I612" s="142" t="s">
        <v>1323</v>
      </c>
      <c r="J612" s="139">
        <v>5500</v>
      </c>
      <c r="K612" s="140" t="s">
        <v>100</v>
      </c>
      <c r="L612" s="139">
        <v>55</v>
      </c>
      <c r="M612" s="139" t="s">
        <v>2219</v>
      </c>
      <c r="N612" s="140" t="s">
        <v>131</v>
      </c>
      <c r="O612" s="140" t="s">
        <v>549</v>
      </c>
      <c r="P612" s="140" t="s">
        <v>85</v>
      </c>
    </row>
    <row r="613" spans="1:16" x14ac:dyDescent="0.25">
      <c r="A613" s="10" t="s">
        <v>800</v>
      </c>
      <c r="B613" s="10" t="s">
        <v>329</v>
      </c>
      <c r="C613" s="136" t="s">
        <v>330</v>
      </c>
      <c r="D613" s="136" t="s">
        <v>581</v>
      </c>
      <c r="E613" s="136" t="s">
        <v>74</v>
      </c>
      <c r="F613" s="10" t="s">
        <v>1314</v>
      </c>
      <c r="G613" s="10" t="s">
        <v>1317</v>
      </c>
      <c r="H613" s="137">
        <v>25</v>
      </c>
      <c r="I613" s="138" t="s">
        <v>1324</v>
      </c>
      <c r="J613" s="10">
        <v>5500</v>
      </c>
      <c r="K613" s="136" t="s">
        <v>100</v>
      </c>
      <c r="L613" s="10">
        <v>55</v>
      </c>
      <c r="M613" s="10" t="s">
        <v>2219</v>
      </c>
      <c r="N613" s="136" t="s">
        <v>131</v>
      </c>
      <c r="O613" s="136" t="s">
        <v>549</v>
      </c>
      <c r="P613" s="136" t="s">
        <v>85</v>
      </c>
    </row>
    <row r="614" spans="1:16" x14ac:dyDescent="0.25">
      <c r="A614" s="139" t="s">
        <v>800</v>
      </c>
      <c r="B614" s="139" t="s">
        <v>329</v>
      </c>
      <c r="C614" s="140" t="s">
        <v>330</v>
      </c>
      <c r="D614" s="140" t="s">
        <v>581</v>
      </c>
      <c r="E614" s="140" t="s">
        <v>74</v>
      </c>
      <c r="F614" s="139" t="s">
        <v>1314</v>
      </c>
      <c r="G614" s="139" t="s">
        <v>1318</v>
      </c>
      <c r="H614" s="141">
        <v>288</v>
      </c>
      <c r="I614" s="142" t="s">
        <v>1325</v>
      </c>
      <c r="J614" s="139">
        <v>5500</v>
      </c>
      <c r="K614" s="140" t="s">
        <v>100</v>
      </c>
      <c r="L614" s="139">
        <v>55</v>
      </c>
      <c r="M614" s="139" t="s">
        <v>2219</v>
      </c>
      <c r="N614" s="140" t="s">
        <v>131</v>
      </c>
      <c r="O614" s="140" t="s">
        <v>549</v>
      </c>
      <c r="P614" s="140" t="s">
        <v>85</v>
      </c>
    </row>
    <row r="615" spans="1:16" x14ac:dyDescent="0.25">
      <c r="A615" s="10" t="s">
        <v>800</v>
      </c>
      <c r="B615" s="10" t="s">
        <v>329</v>
      </c>
      <c r="C615" s="136" t="s">
        <v>330</v>
      </c>
      <c r="D615" s="136" t="s">
        <v>581</v>
      </c>
      <c r="E615" s="136" t="s">
        <v>74</v>
      </c>
      <c r="F615" s="10" t="s">
        <v>1314</v>
      </c>
      <c r="G615" s="10" t="s">
        <v>1319</v>
      </c>
      <c r="H615" s="137">
        <v>28</v>
      </c>
      <c r="I615" s="138" t="s">
        <v>1326</v>
      </c>
      <c r="J615" s="10">
        <v>5500</v>
      </c>
      <c r="K615" s="136" t="s">
        <v>100</v>
      </c>
      <c r="L615" s="10">
        <v>55</v>
      </c>
      <c r="M615" s="10" t="s">
        <v>2219</v>
      </c>
      <c r="N615" s="136" t="s">
        <v>131</v>
      </c>
      <c r="O615" s="136" t="s">
        <v>549</v>
      </c>
      <c r="P615" s="136" t="s">
        <v>85</v>
      </c>
    </row>
    <row r="616" spans="1:16" x14ac:dyDescent="0.25">
      <c r="A616" s="139" t="s">
        <v>800</v>
      </c>
      <c r="B616" s="139" t="s">
        <v>329</v>
      </c>
      <c r="C616" s="140" t="s">
        <v>330</v>
      </c>
      <c r="D616" s="140" t="s">
        <v>581</v>
      </c>
      <c r="E616" s="140" t="s">
        <v>74</v>
      </c>
      <c r="F616" s="139" t="s">
        <v>1314</v>
      </c>
      <c r="G616" s="139" t="s">
        <v>1320</v>
      </c>
      <c r="H616" s="141">
        <v>18</v>
      </c>
      <c r="I616" s="142" t="s">
        <v>1326</v>
      </c>
      <c r="J616" s="139">
        <v>5500</v>
      </c>
      <c r="K616" s="140" t="s">
        <v>100</v>
      </c>
      <c r="L616" s="139">
        <v>55</v>
      </c>
      <c r="M616" s="139" t="s">
        <v>2219</v>
      </c>
      <c r="N616" s="140" t="s">
        <v>131</v>
      </c>
      <c r="O616" s="140" t="s">
        <v>549</v>
      </c>
      <c r="P616" s="140" t="s">
        <v>85</v>
      </c>
    </row>
    <row r="617" spans="1:16" x14ac:dyDescent="0.25">
      <c r="A617" s="10" t="s">
        <v>800</v>
      </c>
      <c r="B617" s="10" t="s">
        <v>329</v>
      </c>
      <c r="C617" s="136" t="s">
        <v>330</v>
      </c>
      <c r="D617" s="136" t="s">
        <v>581</v>
      </c>
      <c r="E617" s="136" t="s">
        <v>74</v>
      </c>
      <c r="F617" s="10" t="s">
        <v>1314</v>
      </c>
      <c r="G617" s="10" t="s">
        <v>176</v>
      </c>
      <c r="H617" s="137">
        <v>504</v>
      </c>
      <c r="I617" s="138"/>
      <c r="J617" s="10">
        <v>5504</v>
      </c>
      <c r="K617" s="136" t="s">
        <v>102</v>
      </c>
      <c r="L617" s="10">
        <v>55</v>
      </c>
      <c r="M617" s="10" t="s">
        <v>2219</v>
      </c>
      <c r="N617" s="136" t="s">
        <v>131</v>
      </c>
      <c r="O617" s="136" t="s">
        <v>549</v>
      </c>
      <c r="P617" s="136" t="s">
        <v>85</v>
      </c>
    </row>
    <row r="618" spans="1:16" x14ac:dyDescent="0.25">
      <c r="A618" s="139" t="s">
        <v>800</v>
      </c>
      <c r="B618" s="139" t="s">
        <v>329</v>
      </c>
      <c r="C618" s="140" t="s">
        <v>330</v>
      </c>
      <c r="D618" s="140" t="s">
        <v>581</v>
      </c>
      <c r="E618" s="140" t="s">
        <v>74</v>
      </c>
      <c r="F618" s="139" t="s">
        <v>1314</v>
      </c>
      <c r="G618" s="139" t="s">
        <v>1327</v>
      </c>
      <c r="H618" s="141">
        <v>165</v>
      </c>
      <c r="I618" s="142"/>
      <c r="J618" s="139">
        <v>5504</v>
      </c>
      <c r="K618" s="140" t="s">
        <v>102</v>
      </c>
      <c r="L618" s="139">
        <v>55</v>
      </c>
      <c r="M618" s="139" t="s">
        <v>2219</v>
      </c>
      <c r="N618" s="140" t="s">
        <v>131</v>
      </c>
      <c r="O618" s="140" t="s">
        <v>549</v>
      </c>
      <c r="P618" s="140" t="s">
        <v>85</v>
      </c>
    </row>
    <row r="619" spans="1:16" x14ac:dyDescent="0.25">
      <c r="A619" s="10" t="s">
        <v>800</v>
      </c>
      <c r="B619" s="10" t="s">
        <v>329</v>
      </c>
      <c r="C619" s="136" t="s">
        <v>330</v>
      </c>
      <c r="D619" s="136" t="s">
        <v>581</v>
      </c>
      <c r="E619" s="136" t="s">
        <v>74</v>
      </c>
      <c r="F619" s="10" t="s">
        <v>1314</v>
      </c>
      <c r="G619" s="10" t="s">
        <v>442</v>
      </c>
      <c r="H619" s="137">
        <v>1430</v>
      </c>
      <c r="I619" s="138" t="s">
        <v>1344</v>
      </c>
      <c r="J619" s="10">
        <v>5513</v>
      </c>
      <c r="K619" s="136" t="s">
        <v>111</v>
      </c>
      <c r="L619" s="10">
        <v>55</v>
      </c>
      <c r="M619" s="10" t="s">
        <v>2219</v>
      </c>
      <c r="N619" s="136" t="s">
        <v>131</v>
      </c>
      <c r="O619" s="136" t="s">
        <v>549</v>
      </c>
      <c r="P619" s="136" t="s">
        <v>85</v>
      </c>
    </row>
    <row r="620" spans="1:16" x14ac:dyDescent="0.25">
      <c r="A620" s="139" t="s">
        <v>800</v>
      </c>
      <c r="B620" s="139" t="s">
        <v>329</v>
      </c>
      <c r="C620" s="140" t="s">
        <v>330</v>
      </c>
      <c r="D620" s="140" t="s">
        <v>581</v>
      </c>
      <c r="E620" s="140" t="s">
        <v>74</v>
      </c>
      <c r="F620" s="139" t="s">
        <v>1314</v>
      </c>
      <c r="G620" s="139" t="s">
        <v>1346</v>
      </c>
      <c r="H620" s="141">
        <v>250</v>
      </c>
      <c r="I620" s="142" t="s">
        <v>1348</v>
      </c>
      <c r="J620" s="139">
        <v>5515</v>
      </c>
      <c r="K620" s="140" t="s">
        <v>112</v>
      </c>
      <c r="L620" s="139">
        <v>55</v>
      </c>
      <c r="M620" s="139" t="s">
        <v>2219</v>
      </c>
      <c r="N620" s="140" t="s">
        <v>131</v>
      </c>
      <c r="O620" s="140" t="s">
        <v>549</v>
      </c>
      <c r="P620" s="140" t="s">
        <v>85</v>
      </c>
    </row>
    <row r="621" spans="1:16" x14ac:dyDescent="0.25">
      <c r="A621" s="10" t="s">
        <v>800</v>
      </c>
      <c r="B621" s="10" t="s">
        <v>329</v>
      </c>
      <c r="C621" s="136" t="s">
        <v>330</v>
      </c>
      <c r="D621" s="136" t="s">
        <v>581</v>
      </c>
      <c r="E621" s="136" t="s">
        <v>74</v>
      </c>
      <c r="F621" s="10" t="s">
        <v>1314</v>
      </c>
      <c r="G621" s="10" t="s">
        <v>1349</v>
      </c>
      <c r="H621" s="137">
        <v>350</v>
      </c>
      <c r="I621" s="138" t="s">
        <v>1355</v>
      </c>
      <c r="J621" s="10">
        <v>5515</v>
      </c>
      <c r="K621" s="136" t="s">
        <v>112</v>
      </c>
      <c r="L621" s="10">
        <v>55</v>
      </c>
      <c r="M621" s="10" t="s">
        <v>2219</v>
      </c>
      <c r="N621" s="136" t="s">
        <v>131</v>
      </c>
      <c r="O621" s="136" t="s">
        <v>549</v>
      </c>
      <c r="P621" s="136" t="s">
        <v>85</v>
      </c>
    </row>
    <row r="622" spans="1:16" x14ac:dyDescent="0.25">
      <c r="A622" s="139" t="s">
        <v>800</v>
      </c>
      <c r="B622" s="139" t="s">
        <v>329</v>
      </c>
      <c r="C622" s="140" t="s">
        <v>330</v>
      </c>
      <c r="D622" s="140" t="s">
        <v>581</v>
      </c>
      <c r="E622" s="140" t="s">
        <v>74</v>
      </c>
      <c r="F622" s="139" t="s">
        <v>1314</v>
      </c>
      <c r="G622" s="139" t="s">
        <v>1350</v>
      </c>
      <c r="H622" s="141">
        <v>300</v>
      </c>
      <c r="I622" s="142" t="s">
        <v>1356</v>
      </c>
      <c r="J622" s="139">
        <v>5515</v>
      </c>
      <c r="K622" s="140" t="s">
        <v>112</v>
      </c>
      <c r="L622" s="139">
        <v>55</v>
      </c>
      <c r="M622" s="139" t="s">
        <v>2219</v>
      </c>
      <c r="N622" s="140" t="s">
        <v>131</v>
      </c>
      <c r="O622" s="140" t="s">
        <v>549</v>
      </c>
      <c r="P622" s="140" t="s">
        <v>85</v>
      </c>
    </row>
    <row r="623" spans="1:16" x14ac:dyDescent="0.25">
      <c r="A623" s="10" t="s">
        <v>800</v>
      </c>
      <c r="B623" s="10" t="s">
        <v>329</v>
      </c>
      <c r="C623" s="136" t="s">
        <v>330</v>
      </c>
      <c r="D623" s="136" t="s">
        <v>581</v>
      </c>
      <c r="E623" s="136" t="s">
        <v>74</v>
      </c>
      <c r="F623" s="10" t="s">
        <v>1314</v>
      </c>
      <c r="G623" s="10" t="s">
        <v>1351</v>
      </c>
      <c r="H623" s="137">
        <v>80</v>
      </c>
      <c r="I623" s="138" t="s">
        <v>1357</v>
      </c>
      <c r="J623" s="10">
        <v>5515</v>
      </c>
      <c r="K623" s="136" t="s">
        <v>112</v>
      </c>
      <c r="L623" s="10">
        <v>55</v>
      </c>
      <c r="M623" s="10" t="s">
        <v>2219</v>
      </c>
      <c r="N623" s="136" t="s">
        <v>131</v>
      </c>
      <c r="O623" s="136" t="s">
        <v>549</v>
      </c>
      <c r="P623" s="136" t="s">
        <v>85</v>
      </c>
    </row>
    <row r="624" spans="1:16" x14ac:dyDescent="0.25">
      <c r="A624" s="139" t="s">
        <v>800</v>
      </c>
      <c r="B624" s="139" t="s">
        <v>329</v>
      </c>
      <c r="C624" s="140" t="s">
        <v>330</v>
      </c>
      <c r="D624" s="140" t="s">
        <v>581</v>
      </c>
      <c r="E624" s="140" t="s">
        <v>74</v>
      </c>
      <c r="F624" s="139" t="s">
        <v>1314</v>
      </c>
      <c r="G624" s="139" t="s">
        <v>1352</v>
      </c>
      <c r="H624" s="141">
        <v>75</v>
      </c>
      <c r="I624" s="142" t="s">
        <v>1358</v>
      </c>
      <c r="J624" s="139">
        <v>5515</v>
      </c>
      <c r="K624" s="140" t="s">
        <v>112</v>
      </c>
      <c r="L624" s="139">
        <v>55</v>
      </c>
      <c r="M624" s="139" t="s">
        <v>2219</v>
      </c>
      <c r="N624" s="140" t="s">
        <v>131</v>
      </c>
      <c r="O624" s="140" t="s">
        <v>549</v>
      </c>
      <c r="P624" s="140" t="s">
        <v>85</v>
      </c>
    </row>
    <row r="625" spans="1:16" x14ac:dyDescent="0.25">
      <c r="A625" s="10" t="s">
        <v>800</v>
      </c>
      <c r="B625" s="10" t="s">
        <v>329</v>
      </c>
      <c r="C625" s="136" t="s">
        <v>330</v>
      </c>
      <c r="D625" s="136" t="s">
        <v>581</v>
      </c>
      <c r="E625" s="136" t="s">
        <v>74</v>
      </c>
      <c r="F625" s="10" t="s">
        <v>1314</v>
      </c>
      <c r="G625" s="10" t="s">
        <v>1353</v>
      </c>
      <c r="H625" s="137">
        <v>250</v>
      </c>
      <c r="I625" s="138" t="s">
        <v>1359</v>
      </c>
      <c r="J625" s="10">
        <v>5515</v>
      </c>
      <c r="K625" s="136" t="s">
        <v>112</v>
      </c>
      <c r="L625" s="10">
        <v>55</v>
      </c>
      <c r="M625" s="10" t="s">
        <v>2219</v>
      </c>
      <c r="N625" s="136" t="s">
        <v>131</v>
      </c>
      <c r="O625" s="136" t="s">
        <v>549</v>
      </c>
      <c r="P625" s="136" t="s">
        <v>85</v>
      </c>
    </row>
    <row r="626" spans="1:16" x14ac:dyDescent="0.25">
      <c r="A626" s="139" t="s">
        <v>800</v>
      </c>
      <c r="B626" s="139" t="s">
        <v>329</v>
      </c>
      <c r="C626" s="140" t="s">
        <v>330</v>
      </c>
      <c r="D626" s="140" t="s">
        <v>581</v>
      </c>
      <c r="E626" s="140" t="s">
        <v>74</v>
      </c>
      <c r="F626" s="139" t="s">
        <v>1314</v>
      </c>
      <c r="G626" s="139" t="s">
        <v>1361</v>
      </c>
      <c r="H626" s="141">
        <v>6200</v>
      </c>
      <c r="I626" s="142" t="s">
        <v>1362</v>
      </c>
      <c r="J626" s="139">
        <v>5521</v>
      </c>
      <c r="K626" s="140" t="s">
        <v>114</v>
      </c>
      <c r="L626" s="139">
        <v>55</v>
      </c>
      <c r="M626" s="139" t="s">
        <v>2219</v>
      </c>
      <c r="N626" s="140" t="s">
        <v>131</v>
      </c>
      <c r="O626" s="140" t="s">
        <v>549</v>
      </c>
      <c r="P626" s="140" t="s">
        <v>85</v>
      </c>
    </row>
    <row r="627" spans="1:16" x14ac:dyDescent="0.25">
      <c r="A627" s="10" t="s">
        <v>800</v>
      </c>
      <c r="B627" s="10" t="s">
        <v>329</v>
      </c>
      <c r="C627" s="136" t="s">
        <v>330</v>
      </c>
      <c r="D627" s="136" t="s">
        <v>581</v>
      </c>
      <c r="E627" s="136" t="s">
        <v>74</v>
      </c>
      <c r="F627" s="10" t="s">
        <v>1314</v>
      </c>
      <c r="G627" s="10" t="s">
        <v>426</v>
      </c>
      <c r="H627" s="137">
        <v>120</v>
      </c>
      <c r="I627" s="138" t="s">
        <v>1363</v>
      </c>
      <c r="J627" s="10">
        <v>5522</v>
      </c>
      <c r="K627" s="136" t="s">
        <v>115</v>
      </c>
      <c r="L627" s="10">
        <v>55</v>
      </c>
      <c r="M627" s="10" t="s">
        <v>2219</v>
      </c>
      <c r="N627" s="136" t="s">
        <v>131</v>
      </c>
      <c r="O627" s="136" t="s">
        <v>549</v>
      </c>
      <c r="P627" s="136" t="s">
        <v>85</v>
      </c>
    </row>
    <row r="628" spans="1:16" x14ac:dyDescent="0.25">
      <c r="A628" s="139" t="s">
        <v>800</v>
      </c>
      <c r="B628" s="139" t="s">
        <v>329</v>
      </c>
      <c r="C628" s="140" t="s">
        <v>330</v>
      </c>
      <c r="D628" s="140" t="s">
        <v>581</v>
      </c>
      <c r="E628" s="140" t="s">
        <v>74</v>
      </c>
      <c r="F628" s="139" t="s">
        <v>1314</v>
      </c>
      <c r="G628" s="139" t="s">
        <v>1364</v>
      </c>
      <c r="H628" s="141">
        <v>1700</v>
      </c>
      <c r="I628" s="142" t="s">
        <v>1366</v>
      </c>
      <c r="J628" s="139">
        <v>5524</v>
      </c>
      <c r="K628" s="140" t="s">
        <v>117</v>
      </c>
      <c r="L628" s="139">
        <v>55</v>
      </c>
      <c r="M628" s="139" t="s">
        <v>2219</v>
      </c>
      <c r="N628" s="140" t="s">
        <v>131</v>
      </c>
      <c r="O628" s="140" t="s">
        <v>549</v>
      </c>
      <c r="P628" s="140" t="s">
        <v>85</v>
      </c>
    </row>
    <row r="629" spans="1:16" x14ac:dyDescent="0.25">
      <c r="A629" s="10" t="s">
        <v>800</v>
      </c>
      <c r="B629" s="10" t="s">
        <v>329</v>
      </c>
      <c r="C629" s="136" t="s">
        <v>330</v>
      </c>
      <c r="D629" s="136" t="s">
        <v>581</v>
      </c>
      <c r="E629" s="136" t="s">
        <v>74</v>
      </c>
      <c r="F629" s="10" t="s">
        <v>1314</v>
      </c>
      <c r="G629" s="10" t="s">
        <v>1365</v>
      </c>
      <c r="H629" s="137">
        <v>740</v>
      </c>
      <c r="I629" s="138" t="s">
        <v>1367</v>
      </c>
      <c r="J629" s="10">
        <v>5524</v>
      </c>
      <c r="K629" s="136" t="s">
        <v>117</v>
      </c>
      <c r="L629" s="10">
        <v>55</v>
      </c>
      <c r="M629" s="10" t="s">
        <v>2219</v>
      </c>
      <c r="N629" s="136" t="s">
        <v>131</v>
      </c>
      <c r="O629" s="136" t="s">
        <v>549</v>
      </c>
      <c r="P629" s="136" t="s">
        <v>85</v>
      </c>
    </row>
    <row r="630" spans="1:16" x14ac:dyDescent="0.25">
      <c r="A630" s="139" t="s">
        <v>800</v>
      </c>
      <c r="B630" s="139" t="s">
        <v>329</v>
      </c>
      <c r="C630" s="140" t="s">
        <v>330</v>
      </c>
      <c r="D630" s="140" t="s">
        <v>581</v>
      </c>
      <c r="E630" s="140" t="s">
        <v>74</v>
      </c>
      <c r="F630" s="139" t="s">
        <v>1314</v>
      </c>
      <c r="G630" s="139" t="s">
        <v>1368</v>
      </c>
      <c r="H630" s="141">
        <v>500</v>
      </c>
      <c r="I630" s="142" t="s">
        <v>1369</v>
      </c>
      <c r="J630" s="139">
        <v>5525</v>
      </c>
      <c r="K630" s="140" t="s">
        <v>118</v>
      </c>
      <c r="L630" s="139">
        <v>55</v>
      </c>
      <c r="M630" s="139" t="s">
        <v>2219</v>
      </c>
      <c r="N630" s="140" t="s">
        <v>131</v>
      </c>
      <c r="O630" s="140" t="s">
        <v>549</v>
      </c>
      <c r="P630" s="140" t="s">
        <v>85</v>
      </c>
    </row>
    <row r="631" spans="1:16" x14ac:dyDescent="0.25">
      <c r="A631" s="10" t="s">
        <v>800</v>
      </c>
      <c r="B631" s="10" t="s">
        <v>329</v>
      </c>
      <c r="C631" s="136" t="s">
        <v>330</v>
      </c>
      <c r="D631" s="136" t="s">
        <v>581</v>
      </c>
      <c r="E631" s="136" t="s">
        <v>74</v>
      </c>
      <c r="F631" s="10" t="s">
        <v>1314</v>
      </c>
      <c r="G631" s="10" t="s">
        <v>178</v>
      </c>
      <c r="H631" s="137">
        <v>6000</v>
      </c>
      <c r="I631" s="138" t="s">
        <v>1334</v>
      </c>
      <c r="J631" s="10">
        <v>5511</v>
      </c>
      <c r="K631" s="136" t="s">
        <v>106</v>
      </c>
      <c r="L631" s="10">
        <v>55</v>
      </c>
      <c r="M631" s="10" t="s">
        <v>2219</v>
      </c>
      <c r="N631" s="136" t="s">
        <v>131</v>
      </c>
      <c r="O631" s="136" t="s">
        <v>549</v>
      </c>
      <c r="P631" s="136" t="s">
        <v>85</v>
      </c>
    </row>
    <row r="632" spans="1:16" x14ac:dyDescent="0.25">
      <c r="A632" s="139" t="s">
        <v>800</v>
      </c>
      <c r="B632" s="139" t="s">
        <v>329</v>
      </c>
      <c r="C632" s="140" t="s">
        <v>330</v>
      </c>
      <c r="D632" s="140" t="s">
        <v>581</v>
      </c>
      <c r="E632" s="140" t="s">
        <v>74</v>
      </c>
      <c r="F632" s="139" t="s">
        <v>1314</v>
      </c>
      <c r="G632" s="139" t="s">
        <v>1328</v>
      </c>
      <c r="H632" s="141">
        <v>360</v>
      </c>
      <c r="I632" s="142" t="s">
        <v>1335</v>
      </c>
      <c r="J632" s="139">
        <v>5511</v>
      </c>
      <c r="K632" s="140" t="s">
        <v>106</v>
      </c>
      <c r="L632" s="139">
        <v>55</v>
      </c>
      <c r="M632" s="139" t="s">
        <v>2219</v>
      </c>
      <c r="N632" s="140" t="s">
        <v>131</v>
      </c>
      <c r="O632" s="140" t="s">
        <v>549</v>
      </c>
      <c r="P632" s="140" t="s">
        <v>85</v>
      </c>
    </row>
    <row r="633" spans="1:16" x14ac:dyDescent="0.25">
      <c r="A633" s="10" t="s">
        <v>800</v>
      </c>
      <c r="B633" s="10" t="s">
        <v>329</v>
      </c>
      <c r="C633" s="136" t="s">
        <v>330</v>
      </c>
      <c r="D633" s="136" t="s">
        <v>581</v>
      </c>
      <c r="E633" s="136" t="s">
        <v>74</v>
      </c>
      <c r="F633" s="10" t="s">
        <v>1314</v>
      </c>
      <c r="G633" s="10" t="s">
        <v>1000</v>
      </c>
      <c r="H633" s="137">
        <v>600</v>
      </c>
      <c r="I633" s="138" t="s">
        <v>1336</v>
      </c>
      <c r="J633" s="10">
        <v>5511</v>
      </c>
      <c r="K633" s="136" t="s">
        <v>106</v>
      </c>
      <c r="L633" s="10">
        <v>55</v>
      </c>
      <c r="M633" s="10" t="s">
        <v>2219</v>
      </c>
      <c r="N633" s="136" t="s">
        <v>131</v>
      </c>
      <c r="O633" s="136" t="s">
        <v>549</v>
      </c>
      <c r="P633" s="136" t="s">
        <v>85</v>
      </c>
    </row>
    <row r="634" spans="1:16" x14ac:dyDescent="0.25">
      <c r="A634" s="139" t="s">
        <v>800</v>
      </c>
      <c r="B634" s="139" t="s">
        <v>329</v>
      </c>
      <c r="C634" s="140" t="s">
        <v>330</v>
      </c>
      <c r="D634" s="140" t="s">
        <v>581</v>
      </c>
      <c r="E634" s="140" t="s">
        <v>74</v>
      </c>
      <c r="F634" s="139" t="s">
        <v>1314</v>
      </c>
      <c r="G634" s="139" t="s">
        <v>180</v>
      </c>
      <c r="H634" s="141">
        <v>160</v>
      </c>
      <c r="I634" s="142" t="s">
        <v>1337</v>
      </c>
      <c r="J634" s="139">
        <v>5511</v>
      </c>
      <c r="K634" s="140" t="s">
        <v>106</v>
      </c>
      <c r="L634" s="139">
        <v>55</v>
      </c>
      <c r="M634" s="139" t="s">
        <v>2219</v>
      </c>
      <c r="N634" s="140" t="s">
        <v>131</v>
      </c>
      <c r="O634" s="140" t="s">
        <v>549</v>
      </c>
      <c r="P634" s="140" t="s">
        <v>85</v>
      </c>
    </row>
    <row r="635" spans="1:16" x14ac:dyDescent="0.25">
      <c r="A635" s="10" t="s">
        <v>800</v>
      </c>
      <c r="B635" s="10" t="s">
        <v>329</v>
      </c>
      <c r="C635" s="136" t="s">
        <v>330</v>
      </c>
      <c r="D635" s="136" t="s">
        <v>581</v>
      </c>
      <c r="E635" s="136" t="s">
        <v>74</v>
      </c>
      <c r="F635" s="10" t="s">
        <v>1314</v>
      </c>
      <c r="G635" s="10" t="s">
        <v>1289</v>
      </c>
      <c r="H635" s="137">
        <v>276</v>
      </c>
      <c r="I635" s="138" t="s">
        <v>1338</v>
      </c>
      <c r="J635" s="10">
        <v>5511</v>
      </c>
      <c r="K635" s="136" t="s">
        <v>106</v>
      </c>
      <c r="L635" s="10">
        <v>55</v>
      </c>
      <c r="M635" s="10" t="s">
        <v>2219</v>
      </c>
      <c r="N635" s="136" t="s">
        <v>131</v>
      </c>
      <c r="O635" s="136" t="s">
        <v>549</v>
      </c>
      <c r="P635" s="136" t="s">
        <v>85</v>
      </c>
    </row>
    <row r="636" spans="1:16" x14ac:dyDescent="0.25">
      <c r="A636" s="139" t="s">
        <v>800</v>
      </c>
      <c r="B636" s="139" t="s">
        <v>329</v>
      </c>
      <c r="C636" s="140" t="s">
        <v>330</v>
      </c>
      <c r="D636" s="140" t="s">
        <v>581</v>
      </c>
      <c r="E636" s="140" t="s">
        <v>74</v>
      </c>
      <c r="F636" s="139" t="s">
        <v>1314</v>
      </c>
      <c r="G636" s="139" t="s">
        <v>1329</v>
      </c>
      <c r="H636" s="141">
        <v>145</v>
      </c>
      <c r="I636" s="142" t="s">
        <v>1339</v>
      </c>
      <c r="J636" s="139">
        <v>5511</v>
      </c>
      <c r="K636" s="140" t="s">
        <v>106</v>
      </c>
      <c r="L636" s="139">
        <v>55</v>
      </c>
      <c r="M636" s="139" t="s">
        <v>2219</v>
      </c>
      <c r="N636" s="140" t="s">
        <v>131</v>
      </c>
      <c r="O636" s="140" t="s">
        <v>549</v>
      </c>
      <c r="P636" s="140" t="s">
        <v>85</v>
      </c>
    </row>
    <row r="637" spans="1:16" x14ac:dyDescent="0.25">
      <c r="A637" s="10" t="s">
        <v>800</v>
      </c>
      <c r="B637" s="10" t="s">
        <v>329</v>
      </c>
      <c r="C637" s="136" t="s">
        <v>330</v>
      </c>
      <c r="D637" s="136" t="s">
        <v>581</v>
      </c>
      <c r="E637" s="136" t="s">
        <v>74</v>
      </c>
      <c r="F637" s="10" t="s">
        <v>1314</v>
      </c>
      <c r="G637" s="10" t="s">
        <v>1330</v>
      </c>
      <c r="H637" s="137">
        <v>110</v>
      </c>
      <c r="I637" s="138" t="s">
        <v>1340</v>
      </c>
      <c r="J637" s="10">
        <v>5511</v>
      </c>
      <c r="K637" s="136" t="s">
        <v>106</v>
      </c>
      <c r="L637" s="10">
        <v>55</v>
      </c>
      <c r="M637" s="10" t="s">
        <v>2219</v>
      </c>
      <c r="N637" s="136" t="s">
        <v>131</v>
      </c>
      <c r="O637" s="136" t="s">
        <v>549</v>
      </c>
      <c r="P637" s="136" t="s">
        <v>85</v>
      </c>
    </row>
    <row r="638" spans="1:16" x14ac:dyDescent="0.25">
      <c r="A638" s="139" t="s">
        <v>800</v>
      </c>
      <c r="B638" s="139" t="s">
        <v>329</v>
      </c>
      <c r="C638" s="140" t="s">
        <v>330</v>
      </c>
      <c r="D638" s="140" t="s">
        <v>581</v>
      </c>
      <c r="E638" s="140" t="s">
        <v>74</v>
      </c>
      <c r="F638" s="139" t="s">
        <v>1314</v>
      </c>
      <c r="G638" s="139" t="s">
        <v>1331</v>
      </c>
      <c r="H638" s="141">
        <v>690</v>
      </c>
      <c r="I638" s="142" t="s">
        <v>1341</v>
      </c>
      <c r="J638" s="139">
        <v>5511</v>
      </c>
      <c r="K638" s="140" t="s">
        <v>106</v>
      </c>
      <c r="L638" s="139">
        <v>55</v>
      </c>
      <c r="M638" s="139" t="s">
        <v>2219</v>
      </c>
      <c r="N638" s="140" t="s">
        <v>131</v>
      </c>
      <c r="O638" s="140" t="s">
        <v>549</v>
      </c>
      <c r="P638" s="140" t="s">
        <v>85</v>
      </c>
    </row>
    <row r="639" spans="1:16" x14ac:dyDescent="0.25">
      <c r="A639" s="10" t="s">
        <v>800</v>
      </c>
      <c r="B639" s="10" t="s">
        <v>329</v>
      </c>
      <c r="C639" s="136" t="s">
        <v>330</v>
      </c>
      <c r="D639" s="136" t="s">
        <v>581</v>
      </c>
      <c r="E639" s="136" t="s">
        <v>74</v>
      </c>
      <c r="F639" s="10" t="s">
        <v>1314</v>
      </c>
      <c r="G639" s="10" t="s">
        <v>1332</v>
      </c>
      <c r="H639" s="137">
        <v>120</v>
      </c>
      <c r="I639" s="138" t="s">
        <v>1342</v>
      </c>
      <c r="J639" s="10">
        <v>5511</v>
      </c>
      <c r="K639" s="136" t="s">
        <v>106</v>
      </c>
      <c r="L639" s="10">
        <v>55</v>
      </c>
      <c r="M639" s="10" t="s">
        <v>2219</v>
      </c>
      <c r="N639" s="136" t="s">
        <v>131</v>
      </c>
      <c r="O639" s="136" t="s">
        <v>549</v>
      </c>
      <c r="P639" s="136" t="s">
        <v>85</v>
      </c>
    </row>
    <row r="640" spans="1:16" x14ac:dyDescent="0.25">
      <c r="A640" s="139" t="s">
        <v>800</v>
      </c>
      <c r="B640" s="139" t="s">
        <v>329</v>
      </c>
      <c r="C640" s="140" t="s">
        <v>330</v>
      </c>
      <c r="D640" s="140" t="s">
        <v>581</v>
      </c>
      <c r="E640" s="140" t="s">
        <v>74</v>
      </c>
      <c r="F640" s="139" t="s">
        <v>1314</v>
      </c>
      <c r="G640" s="139" t="s">
        <v>1333</v>
      </c>
      <c r="H640" s="141">
        <v>200</v>
      </c>
      <c r="I640" s="142" t="s">
        <v>1343</v>
      </c>
      <c r="J640" s="139">
        <v>5511</v>
      </c>
      <c r="K640" s="140" t="s">
        <v>106</v>
      </c>
      <c r="L640" s="139">
        <v>55</v>
      </c>
      <c r="M640" s="139" t="s">
        <v>2219</v>
      </c>
      <c r="N640" s="140" t="s">
        <v>131</v>
      </c>
      <c r="O640" s="140" t="s">
        <v>549</v>
      </c>
      <c r="P640" s="140" t="s">
        <v>85</v>
      </c>
    </row>
    <row r="641" spans="1:16" x14ac:dyDescent="0.25">
      <c r="A641" s="10" t="s">
        <v>800</v>
      </c>
      <c r="B641" s="10" t="s">
        <v>329</v>
      </c>
      <c r="C641" s="136" t="s">
        <v>330</v>
      </c>
      <c r="D641" s="136" t="s">
        <v>581</v>
      </c>
      <c r="E641" s="136" t="s">
        <v>74</v>
      </c>
      <c r="F641" s="10" t="s">
        <v>1314</v>
      </c>
      <c r="G641" s="10" t="s">
        <v>1354</v>
      </c>
      <c r="H641" s="137">
        <v>975</v>
      </c>
      <c r="I641" s="138" t="s">
        <v>1360</v>
      </c>
      <c r="J641" s="10">
        <v>5511</v>
      </c>
      <c r="K641" s="136" t="s">
        <v>106</v>
      </c>
      <c r="L641" s="10">
        <v>55</v>
      </c>
      <c r="M641" s="10" t="s">
        <v>2219</v>
      </c>
      <c r="N641" s="136" t="s">
        <v>131</v>
      </c>
      <c r="O641" s="136" t="s">
        <v>549</v>
      </c>
      <c r="P641" s="136" t="s">
        <v>85</v>
      </c>
    </row>
    <row r="642" spans="1:16" x14ac:dyDescent="0.25">
      <c r="A642" s="139" t="s">
        <v>800</v>
      </c>
      <c r="B642" s="139" t="s">
        <v>329</v>
      </c>
      <c r="C642" s="140" t="s">
        <v>330</v>
      </c>
      <c r="D642" s="140" t="s">
        <v>581</v>
      </c>
      <c r="E642" s="140" t="s">
        <v>74</v>
      </c>
      <c r="F642" s="139" t="s">
        <v>1314</v>
      </c>
      <c r="G642" s="139" t="s">
        <v>1345</v>
      </c>
      <c r="H642" s="141">
        <v>50</v>
      </c>
      <c r="I642" s="142" t="s">
        <v>1347</v>
      </c>
      <c r="J642" s="139">
        <v>5514</v>
      </c>
      <c r="K642" s="140" t="s">
        <v>110</v>
      </c>
      <c r="L642" s="139">
        <v>55</v>
      </c>
      <c r="M642" s="139" t="s">
        <v>2219</v>
      </c>
      <c r="N642" s="140" t="s">
        <v>131</v>
      </c>
      <c r="O642" s="140" t="s">
        <v>549</v>
      </c>
      <c r="P642" s="140" t="s">
        <v>85</v>
      </c>
    </row>
    <row r="643" spans="1:16" x14ac:dyDescent="0.25">
      <c r="A643" s="10" t="s">
        <v>800</v>
      </c>
      <c r="B643" s="10" t="s">
        <v>331</v>
      </c>
      <c r="C643" s="136" t="s">
        <v>332</v>
      </c>
      <c r="D643" s="136" t="s">
        <v>581</v>
      </c>
      <c r="E643" s="136" t="s">
        <v>74</v>
      </c>
      <c r="F643" s="10" t="s">
        <v>1741</v>
      </c>
      <c r="G643" s="10" t="s">
        <v>1739</v>
      </c>
      <c r="H643" s="137">
        <v>100</v>
      </c>
      <c r="I643" s="138"/>
      <c r="J643" s="10">
        <v>5504</v>
      </c>
      <c r="K643" s="136" t="s">
        <v>102</v>
      </c>
      <c r="L643" s="10">
        <v>55</v>
      </c>
      <c r="M643" s="10" t="s">
        <v>2219</v>
      </c>
      <c r="N643" s="136" t="s">
        <v>131</v>
      </c>
      <c r="O643" s="136" t="s">
        <v>549</v>
      </c>
      <c r="P643" s="136" t="s">
        <v>85</v>
      </c>
    </row>
    <row r="644" spans="1:16" x14ac:dyDescent="0.25">
      <c r="A644" s="139" t="s">
        <v>800</v>
      </c>
      <c r="B644" s="139" t="s">
        <v>331</v>
      </c>
      <c r="C644" s="140" t="s">
        <v>332</v>
      </c>
      <c r="D644" s="140" t="s">
        <v>581</v>
      </c>
      <c r="E644" s="140" t="s">
        <v>74</v>
      </c>
      <c r="F644" s="139" t="s">
        <v>1741</v>
      </c>
      <c r="G644" s="139" t="s">
        <v>1759</v>
      </c>
      <c r="H644" s="141">
        <v>4073</v>
      </c>
      <c r="I644" s="142"/>
      <c r="J644" s="139">
        <v>5521</v>
      </c>
      <c r="K644" s="140" t="s">
        <v>114</v>
      </c>
      <c r="L644" s="139">
        <v>55</v>
      </c>
      <c r="M644" s="139" t="s">
        <v>2219</v>
      </c>
      <c r="N644" s="140" t="s">
        <v>131</v>
      </c>
      <c r="O644" s="140" t="s">
        <v>549</v>
      </c>
      <c r="P644" s="140" t="s">
        <v>85</v>
      </c>
    </row>
    <row r="645" spans="1:16" x14ac:dyDescent="0.25">
      <c r="A645" s="10" t="s">
        <v>800</v>
      </c>
      <c r="B645" s="10" t="s">
        <v>331</v>
      </c>
      <c r="C645" s="136" t="s">
        <v>332</v>
      </c>
      <c r="D645" s="136" t="s">
        <v>581</v>
      </c>
      <c r="E645" s="136" t="s">
        <v>74</v>
      </c>
      <c r="F645" s="10" t="s">
        <v>1741</v>
      </c>
      <c r="G645" s="10" t="s">
        <v>1762</v>
      </c>
      <c r="H645" s="137">
        <v>150</v>
      </c>
      <c r="I645" s="138"/>
      <c r="J645" s="10">
        <v>5524</v>
      </c>
      <c r="K645" s="136" t="s">
        <v>117</v>
      </c>
      <c r="L645" s="10">
        <v>55</v>
      </c>
      <c r="M645" s="10" t="s">
        <v>2219</v>
      </c>
      <c r="N645" s="136" t="s">
        <v>131</v>
      </c>
      <c r="O645" s="136" t="s">
        <v>549</v>
      </c>
      <c r="P645" s="136" t="s">
        <v>85</v>
      </c>
    </row>
    <row r="646" spans="1:16" x14ac:dyDescent="0.25">
      <c r="A646" s="139" t="s">
        <v>800</v>
      </c>
      <c r="B646" s="139" t="s">
        <v>331</v>
      </c>
      <c r="C646" s="140" t="s">
        <v>332</v>
      </c>
      <c r="D646" s="140" t="s">
        <v>581</v>
      </c>
      <c r="E646" s="140" t="s">
        <v>74</v>
      </c>
      <c r="F646" s="139" t="s">
        <v>1741</v>
      </c>
      <c r="G646" s="139" t="s">
        <v>218</v>
      </c>
      <c r="H646" s="141">
        <v>50</v>
      </c>
      <c r="I646" s="142"/>
      <c r="J646" s="139">
        <v>5524</v>
      </c>
      <c r="K646" s="140" t="s">
        <v>117</v>
      </c>
      <c r="L646" s="139">
        <v>55</v>
      </c>
      <c r="M646" s="139" t="s">
        <v>2219</v>
      </c>
      <c r="N646" s="140" t="s">
        <v>131</v>
      </c>
      <c r="O646" s="140" t="s">
        <v>549</v>
      </c>
      <c r="P646" s="140" t="s">
        <v>85</v>
      </c>
    </row>
    <row r="647" spans="1:16" x14ac:dyDescent="0.25">
      <c r="A647" s="10" t="s">
        <v>800</v>
      </c>
      <c r="B647" s="10" t="s">
        <v>331</v>
      </c>
      <c r="C647" s="136" t="s">
        <v>332</v>
      </c>
      <c r="D647" s="136" t="s">
        <v>581</v>
      </c>
      <c r="E647" s="136" t="s">
        <v>74</v>
      </c>
      <c r="F647" s="10" t="s">
        <v>1741</v>
      </c>
      <c r="G647" s="10" t="s">
        <v>1763</v>
      </c>
      <c r="H647" s="137">
        <v>150</v>
      </c>
      <c r="I647" s="138"/>
      <c r="J647" s="10">
        <v>5524</v>
      </c>
      <c r="K647" s="136" t="s">
        <v>117</v>
      </c>
      <c r="L647" s="10">
        <v>55</v>
      </c>
      <c r="M647" s="10" t="s">
        <v>2219</v>
      </c>
      <c r="N647" s="136" t="s">
        <v>131</v>
      </c>
      <c r="O647" s="136" t="s">
        <v>549</v>
      </c>
      <c r="P647" s="136" t="s">
        <v>85</v>
      </c>
    </row>
    <row r="648" spans="1:16" x14ac:dyDescent="0.25">
      <c r="A648" s="139" t="s">
        <v>800</v>
      </c>
      <c r="B648" s="139" t="s">
        <v>331</v>
      </c>
      <c r="C648" s="140" t="s">
        <v>332</v>
      </c>
      <c r="D648" s="140" t="s">
        <v>581</v>
      </c>
      <c r="E648" s="140" t="s">
        <v>74</v>
      </c>
      <c r="F648" s="139" t="s">
        <v>1741</v>
      </c>
      <c r="G648" s="139" t="s">
        <v>1764</v>
      </c>
      <c r="H648" s="141">
        <v>900</v>
      </c>
      <c r="I648" s="142"/>
      <c r="J648" s="139">
        <v>5524</v>
      </c>
      <c r="K648" s="140" t="s">
        <v>117</v>
      </c>
      <c r="L648" s="139">
        <v>55</v>
      </c>
      <c r="M648" s="139" t="s">
        <v>2219</v>
      </c>
      <c r="N648" s="140" t="s">
        <v>131</v>
      </c>
      <c r="O648" s="140" t="s">
        <v>549</v>
      </c>
      <c r="P648" s="140" t="s">
        <v>85</v>
      </c>
    </row>
    <row r="649" spans="1:16" x14ac:dyDescent="0.25">
      <c r="A649" s="10" t="s">
        <v>800</v>
      </c>
      <c r="B649" s="10" t="s">
        <v>333</v>
      </c>
      <c r="C649" s="136" t="s">
        <v>334</v>
      </c>
      <c r="D649" s="136" t="s">
        <v>581</v>
      </c>
      <c r="E649" s="136" t="s">
        <v>74</v>
      </c>
      <c r="F649" s="10" t="s">
        <v>1374</v>
      </c>
      <c r="G649" s="10" t="s">
        <v>409</v>
      </c>
      <c r="H649" s="137">
        <v>600</v>
      </c>
      <c r="I649" s="138"/>
      <c r="J649" s="10">
        <v>5504</v>
      </c>
      <c r="K649" s="136" t="s">
        <v>102</v>
      </c>
      <c r="L649" s="10">
        <v>55</v>
      </c>
      <c r="M649" s="10" t="s">
        <v>2219</v>
      </c>
      <c r="N649" s="136" t="s">
        <v>131</v>
      </c>
      <c r="O649" s="136" t="s">
        <v>549</v>
      </c>
      <c r="P649" s="136" t="s">
        <v>85</v>
      </c>
    </row>
    <row r="650" spans="1:16" x14ac:dyDescent="0.25">
      <c r="A650" s="139" t="s">
        <v>800</v>
      </c>
      <c r="B650" s="139" t="s">
        <v>333</v>
      </c>
      <c r="C650" s="140" t="s">
        <v>334</v>
      </c>
      <c r="D650" s="140" t="s">
        <v>581</v>
      </c>
      <c r="E650" s="140" t="s">
        <v>74</v>
      </c>
      <c r="F650" s="139" t="s">
        <v>1374</v>
      </c>
      <c r="G650" s="139" t="s">
        <v>1382</v>
      </c>
      <c r="H650" s="141">
        <v>150</v>
      </c>
      <c r="I650" s="142"/>
      <c r="J650" s="139">
        <v>5515</v>
      </c>
      <c r="K650" s="140" t="s">
        <v>112</v>
      </c>
      <c r="L650" s="139">
        <v>55</v>
      </c>
      <c r="M650" s="139" t="s">
        <v>2219</v>
      </c>
      <c r="N650" s="140" t="s">
        <v>131</v>
      </c>
      <c r="O650" s="140" t="s">
        <v>549</v>
      </c>
      <c r="P650" s="140" t="s">
        <v>85</v>
      </c>
    </row>
    <row r="651" spans="1:16" x14ac:dyDescent="0.25">
      <c r="A651" s="10" t="s">
        <v>800</v>
      </c>
      <c r="B651" s="10" t="s">
        <v>333</v>
      </c>
      <c r="C651" s="136" t="s">
        <v>334</v>
      </c>
      <c r="D651" s="136" t="s">
        <v>581</v>
      </c>
      <c r="E651" s="136" t="s">
        <v>74</v>
      </c>
      <c r="F651" s="10" t="s">
        <v>1374</v>
      </c>
      <c r="G651" s="10" t="s">
        <v>1383</v>
      </c>
      <c r="H651" s="137">
        <v>200</v>
      </c>
      <c r="I651" s="138" t="s">
        <v>1384</v>
      </c>
      <c r="J651" s="10">
        <v>5515</v>
      </c>
      <c r="K651" s="136" t="s">
        <v>112</v>
      </c>
      <c r="L651" s="10">
        <v>55</v>
      </c>
      <c r="M651" s="10" t="s">
        <v>2219</v>
      </c>
      <c r="N651" s="136" t="s">
        <v>131</v>
      </c>
      <c r="O651" s="136" t="s">
        <v>549</v>
      </c>
      <c r="P651" s="136" t="s">
        <v>85</v>
      </c>
    </row>
    <row r="652" spans="1:16" x14ac:dyDescent="0.25">
      <c r="A652" s="139" t="s">
        <v>800</v>
      </c>
      <c r="B652" s="139" t="s">
        <v>333</v>
      </c>
      <c r="C652" s="140" t="s">
        <v>334</v>
      </c>
      <c r="D652" s="140" t="s">
        <v>581</v>
      </c>
      <c r="E652" s="140" t="s">
        <v>74</v>
      </c>
      <c r="F652" s="139" t="s">
        <v>1374</v>
      </c>
      <c r="G652" s="139" t="s">
        <v>1385</v>
      </c>
      <c r="H652" s="141">
        <v>100</v>
      </c>
      <c r="I652" s="142"/>
      <c r="J652" s="139">
        <v>5515</v>
      </c>
      <c r="K652" s="140" t="s">
        <v>112</v>
      </c>
      <c r="L652" s="139">
        <v>55</v>
      </c>
      <c r="M652" s="139" t="s">
        <v>2219</v>
      </c>
      <c r="N652" s="140" t="s">
        <v>131</v>
      </c>
      <c r="O652" s="140" t="s">
        <v>549</v>
      </c>
      <c r="P652" s="140" t="s">
        <v>85</v>
      </c>
    </row>
    <row r="653" spans="1:16" x14ac:dyDescent="0.25">
      <c r="A653" s="10" t="s">
        <v>800</v>
      </c>
      <c r="B653" s="10" t="s">
        <v>333</v>
      </c>
      <c r="C653" s="136" t="s">
        <v>334</v>
      </c>
      <c r="D653" s="136" t="s">
        <v>581</v>
      </c>
      <c r="E653" s="136" t="s">
        <v>74</v>
      </c>
      <c r="F653" s="10" t="s">
        <v>1374</v>
      </c>
      <c r="G653" s="10" t="s">
        <v>1386</v>
      </c>
      <c r="H653" s="137">
        <v>600</v>
      </c>
      <c r="I653" s="138" t="s">
        <v>1387</v>
      </c>
      <c r="J653" s="10">
        <v>5515</v>
      </c>
      <c r="K653" s="136" t="s">
        <v>112</v>
      </c>
      <c r="L653" s="10">
        <v>55</v>
      </c>
      <c r="M653" s="10" t="s">
        <v>2219</v>
      </c>
      <c r="N653" s="136" t="s">
        <v>131</v>
      </c>
      <c r="O653" s="136" t="s">
        <v>549</v>
      </c>
      <c r="P653" s="136" t="s">
        <v>85</v>
      </c>
    </row>
    <row r="654" spans="1:16" x14ac:dyDescent="0.25">
      <c r="A654" s="139" t="s">
        <v>800</v>
      </c>
      <c r="B654" s="139" t="s">
        <v>333</v>
      </c>
      <c r="C654" s="140" t="s">
        <v>334</v>
      </c>
      <c r="D654" s="140" t="s">
        <v>581</v>
      </c>
      <c r="E654" s="140" t="s">
        <v>74</v>
      </c>
      <c r="F654" s="139" t="s">
        <v>1374</v>
      </c>
      <c r="G654" s="139" t="s">
        <v>1388</v>
      </c>
      <c r="H654" s="141">
        <v>500</v>
      </c>
      <c r="I654" s="142" t="s">
        <v>1387</v>
      </c>
      <c r="J654" s="139">
        <v>5515</v>
      </c>
      <c r="K654" s="140" t="s">
        <v>112</v>
      </c>
      <c r="L654" s="139">
        <v>55</v>
      </c>
      <c r="M654" s="139" t="s">
        <v>2219</v>
      </c>
      <c r="N654" s="140" t="s">
        <v>131</v>
      </c>
      <c r="O654" s="140" t="s">
        <v>549</v>
      </c>
      <c r="P654" s="140" t="s">
        <v>85</v>
      </c>
    </row>
    <row r="655" spans="1:16" x14ac:dyDescent="0.25">
      <c r="A655" s="10" t="s">
        <v>800</v>
      </c>
      <c r="B655" s="10" t="s">
        <v>333</v>
      </c>
      <c r="C655" s="136" t="s">
        <v>334</v>
      </c>
      <c r="D655" s="136" t="s">
        <v>581</v>
      </c>
      <c r="E655" s="136" t="s">
        <v>74</v>
      </c>
      <c r="F655" s="10" t="s">
        <v>1374</v>
      </c>
      <c r="G655" s="10" t="s">
        <v>1389</v>
      </c>
      <c r="H655" s="137">
        <v>500</v>
      </c>
      <c r="I655" s="138" t="s">
        <v>1390</v>
      </c>
      <c r="J655" s="10">
        <v>5515</v>
      </c>
      <c r="K655" s="136" t="s">
        <v>112</v>
      </c>
      <c r="L655" s="10">
        <v>55</v>
      </c>
      <c r="M655" s="10" t="s">
        <v>2219</v>
      </c>
      <c r="N655" s="136" t="s">
        <v>131</v>
      </c>
      <c r="O655" s="136" t="s">
        <v>549</v>
      </c>
      <c r="P655" s="136" t="s">
        <v>85</v>
      </c>
    </row>
    <row r="656" spans="1:16" x14ac:dyDescent="0.25">
      <c r="A656" s="139" t="s">
        <v>800</v>
      </c>
      <c r="B656" s="139" t="s">
        <v>333</v>
      </c>
      <c r="C656" s="140" t="s">
        <v>334</v>
      </c>
      <c r="D656" s="140" t="s">
        <v>581</v>
      </c>
      <c r="E656" s="140" t="s">
        <v>74</v>
      </c>
      <c r="F656" s="139" t="s">
        <v>1374</v>
      </c>
      <c r="G656" s="139" t="s">
        <v>1391</v>
      </c>
      <c r="H656" s="141">
        <v>7000</v>
      </c>
      <c r="I656" s="142"/>
      <c r="J656" s="139">
        <v>5521</v>
      </c>
      <c r="K656" s="140" t="s">
        <v>114</v>
      </c>
      <c r="L656" s="139">
        <v>55</v>
      </c>
      <c r="M656" s="139" t="s">
        <v>2219</v>
      </c>
      <c r="N656" s="140" t="s">
        <v>131</v>
      </c>
      <c r="O656" s="140" t="s">
        <v>549</v>
      </c>
      <c r="P656" s="140" t="s">
        <v>85</v>
      </c>
    </row>
    <row r="657" spans="1:16" x14ac:dyDescent="0.25">
      <c r="A657" s="10" t="s">
        <v>800</v>
      </c>
      <c r="B657" s="10" t="s">
        <v>333</v>
      </c>
      <c r="C657" s="136" t="s">
        <v>334</v>
      </c>
      <c r="D657" s="136" t="s">
        <v>581</v>
      </c>
      <c r="E657" s="136" t="s">
        <v>74</v>
      </c>
      <c r="F657" s="10" t="s">
        <v>1374</v>
      </c>
      <c r="G657" s="10" t="s">
        <v>1392</v>
      </c>
      <c r="H657" s="137">
        <v>100</v>
      </c>
      <c r="I657" s="138"/>
      <c r="J657" s="10">
        <v>5522</v>
      </c>
      <c r="K657" s="136" t="s">
        <v>115</v>
      </c>
      <c r="L657" s="10">
        <v>55</v>
      </c>
      <c r="M657" s="10" t="s">
        <v>2219</v>
      </c>
      <c r="N657" s="136" t="s">
        <v>131</v>
      </c>
      <c r="O657" s="136" t="s">
        <v>549</v>
      </c>
      <c r="P657" s="136" t="s">
        <v>85</v>
      </c>
    </row>
    <row r="658" spans="1:16" x14ac:dyDescent="0.25">
      <c r="A658" s="139" t="s">
        <v>800</v>
      </c>
      <c r="B658" s="139" t="s">
        <v>333</v>
      </c>
      <c r="C658" s="140" t="s">
        <v>334</v>
      </c>
      <c r="D658" s="140" t="s">
        <v>581</v>
      </c>
      <c r="E658" s="140" t="s">
        <v>74</v>
      </c>
      <c r="F658" s="139" t="s">
        <v>1374</v>
      </c>
      <c r="G658" s="139" t="s">
        <v>1368</v>
      </c>
      <c r="H658" s="141">
        <v>1000</v>
      </c>
      <c r="I658" s="142"/>
      <c r="J658" s="139">
        <v>5524</v>
      </c>
      <c r="K658" s="140" t="s">
        <v>117</v>
      </c>
      <c r="L658" s="139">
        <v>55</v>
      </c>
      <c r="M658" s="139" t="s">
        <v>2219</v>
      </c>
      <c r="N658" s="140" t="s">
        <v>131</v>
      </c>
      <c r="O658" s="140" t="s">
        <v>549</v>
      </c>
      <c r="P658" s="140" t="s">
        <v>85</v>
      </c>
    </row>
    <row r="659" spans="1:16" x14ac:dyDescent="0.25">
      <c r="A659" s="10" t="s">
        <v>800</v>
      </c>
      <c r="B659" s="10" t="s">
        <v>333</v>
      </c>
      <c r="C659" s="136" t="s">
        <v>334</v>
      </c>
      <c r="D659" s="136" t="s">
        <v>581</v>
      </c>
      <c r="E659" s="136" t="s">
        <v>74</v>
      </c>
      <c r="F659" s="10" t="s">
        <v>1374</v>
      </c>
      <c r="G659" s="10" t="s">
        <v>117</v>
      </c>
      <c r="H659" s="137">
        <v>1000</v>
      </c>
      <c r="I659" s="138"/>
      <c r="J659" s="10">
        <v>5524</v>
      </c>
      <c r="K659" s="136" t="s">
        <v>117</v>
      </c>
      <c r="L659" s="10">
        <v>55</v>
      </c>
      <c r="M659" s="10" t="s">
        <v>2219</v>
      </c>
      <c r="N659" s="136" t="s">
        <v>131</v>
      </c>
      <c r="O659" s="136" t="s">
        <v>549</v>
      </c>
      <c r="P659" s="136" t="s">
        <v>85</v>
      </c>
    </row>
    <row r="660" spans="1:16" x14ac:dyDescent="0.25">
      <c r="A660" s="139" t="s">
        <v>800</v>
      </c>
      <c r="B660" s="139" t="s">
        <v>333</v>
      </c>
      <c r="C660" s="140" t="s">
        <v>334</v>
      </c>
      <c r="D660" s="140" t="s">
        <v>581</v>
      </c>
      <c r="E660" s="140" t="s">
        <v>74</v>
      </c>
      <c r="F660" s="139" t="s">
        <v>1374</v>
      </c>
      <c r="G660" s="139" t="s">
        <v>430</v>
      </c>
      <c r="H660" s="141">
        <v>2000</v>
      </c>
      <c r="I660" s="142"/>
      <c r="J660" s="139">
        <v>5524</v>
      </c>
      <c r="K660" s="140" t="s">
        <v>117</v>
      </c>
      <c r="L660" s="139">
        <v>55</v>
      </c>
      <c r="M660" s="139" t="s">
        <v>2219</v>
      </c>
      <c r="N660" s="140" t="s">
        <v>131</v>
      </c>
      <c r="O660" s="140" t="s">
        <v>549</v>
      </c>
      <c r="P660" s="140" t="s">
        <v>85</v>
      </c>
    </row>
    <row r="661" spans="1:16" x14ac:dyDescent="0.25">
      <c r="A661" s="10" t="s">
        <v>800</v>
      </c>
      <c r="B661" s="10" t="s">
        <v>333</v>
      </c>
      <c r="C661" s="136" t="s">
        <v>334</v>
      </c>
      <c r="D661" s="136" t="s">
        <v>581</v>
      </c>
      <c r="E661" s="136" t="s">
        <v>74</v>
      </c>
      <c r="F661" s="10" t="s">
        <v>1374</v>
      </c>
      <c r="G661" s="10" t="s">
        <v>1393</v>
      </c>
      <c r="H661" s="137">
        <v>250</v>
      </c>
      <c r="I661" s="138"/>
      <c r="J661" s="10">
        <v>5525</v>
      </c>
      <c r="K661" s="136" t="s">
        <v>118</v>
      </c>
      <c r="L661" s="10">
        <v>55</v>
      </c>
      <c r="M661" s="10" t="s">
        <v>2219</v>
      </c>
      <c r="N661" s="136" t="s">
        <v>131</v>
      </c>
      <c r="O661" s="136" t="s">
        <v>549</v>
      </c>
      <c r="P661" s="136" t="s">
        <v>85</v>
      </c>
    </row>
    <row r="662" spans="1:16" x14ac:dyDescent="0.25">
      <c r="A662" s="139" t="s">
        <v>800</v>
      </c>
      <c r="B662" s="139" t="s">
        <v>333</v>
      </c>
      <c r="C662" s="140" t="s">
        <v>334</v>
      </c>
      <c r="D662" s="140" t="s">
        <v>581</v>
      </c>
      <c r="E662" s="140" t="s">
        <v>74</v>
      </c>
      <c r="F662" s="139" t="s">
        <v>1374</v>
      </c>
      <c r="G662" s="139" t="s">
        <v>1394</v>
      </c>
      <c r="H662" s="141">
        <v>250</v>
      </c>
      <c r="I662" s="142"/>
      <c r="J662" s="139">
        <v>5525</v>
      </c>
      <c r="K662" s="140" t="s">
        <v>118</v>
      </c>
      <c r="L662" s="139">
        <v>55</v>
      </c>
      <c r="M662" s="139" t="s">
        <v>2219</v>
      </c>
      <c r="N662" s="140" t="s">
        <v>131</v>
      </c>
      <c r="O662" s="140" t="s">
        <v>549</v>
      </c>
      <c r="P662" s="140" t="s">
        <v>85</v>
      </c>
    </row>
    <row r="663" spans="1:16" x14ac:dyDescent="0.25">
      <c r="A663" s="10" t="s">
        <v>800</v>
      </c>
      <c r="B663" s="10" t="s">
        <v>333</v>
      </c>
      <c r="C663" s="136" t="s">
        <v>334</v>
      </c>
      <c r="D663" s="136" t="s">
        <v>581</v>
      </c>
      <c r="E663" s="136" t="s">
        <v>74</v>
      </c>
      <c r="F663" s="10" t="s">
        <v>1374</v>
      </c>
      <c r="G663" s="10" t="s">
        <v>1375</v>
      </c>
      <c r="H663" s="137">
        <v>4500</v>
      </c>
      <c r="I663" s="138"/>
      <c r="J663" s="10">
        <v>5511</v>
      </c>
      <c r="K663" s="136" t="s">
        <v>106</v>
      </c>
      <c r="L663" s="10">
        <v>55</v>
      </c>
      <c r="M663" s="10" t="s">
        <v>2219</v>
      </c>
      <c r="N663" s="136" t="s">
        <v>131</v>
      </c>
      <c r="O663" s="136" t="s">
        <v>549</v>
      </c>
      <c r="P663" s="136" t="s">
        <v>85</v>
      </c>
    </row>
    <row r="664" spans="1:16" x14ac:dyDescent="0.25">
      <c r="A664" s="139" t="s">
        <v>800</v>
      </c>
      <c r="B664" s="139" t="s">
        <v>333</v>
      </c>
      <c r="C664" s="140" t="s">
        <v>334</v>
      </c>
      <c r="D664" s="140" t="s">
        <v>581</v>
      </c>
      <c r="E664" s="140" t="s">
        <v>74</v>
      </c>
      <c r="F664" s="139" t="s">
        <v>1374</v>
      </c>
      <c r="G664" s="139" t="s">
        <v>1376</v>
      </c>
      <c r="H664" s="141">
        <v>200</v>
      </c>
      <c r="I664" s="142"/>
      <c r="J664" s="139">
        <v>5511</v>
      </c>
      <c r="K664" s="140" t="s">
        <v>106</v>
      </c>
      <c r="L664" s="139">
        <v>55</v>
      </c>
      <c r="M664" s="139" t="s">
        <v>2219</v>
      </c>
      <c r="N664" s="140" t="s">
        <v>131</v>
      </c>
      <c r="O664" s="140" t="s">
        <v>549</v>
      </c>
      <c r="P664" s="140" t="s">
        <v>85</v>
      </c>
    </row>
    <row r="665" spans="1:16" x14ac:dyDescent="0.25">
      <c r="A665" s="10" t="s">
        <v>800</v>
      </c>
      <c r="B665" s="10" t="s">
        <v>333</v>
      </c>
      <c r="C665" s="136" t="s">
        <v>334</v>
      </c>
      <c r="D665" s="136" t="s">
        <v>581</v>
      </c>
      <c r="E665" s="136" t="s">
        <v>74</v>
      </c>
      <c r="F665" s="10" t="s">
        <v>1374</v>
      </c>
      <c r="G665" s="10" t="s">
        <v>178</v>
      </c>
      <c r="H665" s="137">
        <v>3500</v>
      </c>
      <c r="I665" s="138"/>
      <c r="J665" s="10">
        <v>5511</v>
      </c>
      <c r="K665" s="136" t="s">
        <v>106</v>
      </c>
      <c r="L665" s="10">
        <v>55</v>
      </c>
      <c r="M665" s="10" t="s">
        <v>2219</v>
      </c>
      <c r="N665" s="136" t="s">
        <v>131</v>
      </c>
      <c r="O665" s="136" t="s">
        <v>549</v>
      </c>
      <c r="P665" s="136" t="s">
        <v>85</v>
      </c>
    </row>
    <row r="666" spans="1:16" x14ac:dyDescent="0.25">
      <c r="A666" s="139" t="s">
        <v>800</v>
      </c>
      <c r="B666" s="139" t="s">
        <v>333</v>
      </c>
      <c r="C666" s="140" t="s">
        <v>334</v>
      </c>
      <c r="D666" s="140" t="s">
        <v>581</v>
      </c>
      <c r="E666" s="140" t="s">
        <v>74</v>
      </c>
      <c r="F666" s="139" t="s">
        <v>1374</v>
      </c>
      <c r="G666" s="139" t="s">
        <v>1377</v>
      </c>
      <c r="H666" s="141">
        <v>1000</v>
      </c>
      <c r="I666" s="142"/>
      <c r="J666" s="139">
        <v>5511</v>
      </c>
      <c r="K666" s="140" t="s">
        <v>106</v>
      </c>
      <c r="L666" s="139">
        <v>55</v>
      </c>
      <c r="M666" s="139" t="s">
        <v>2219</v>
      </c>
      <c r="N666" s="140" t="s">
        <v>131</v>
      </c>
      <c r="O666" s="140" t="s">
        <v>549</v>
      </c>
      <c r="P666" s="140" t="s">
        <v>85</v>
      </c>
    </row>
    <row r="667" spans="1:16" x14ac:dyDescent="0.25">
      <c r="A667" s="10" t="s">
        <v>800</v>
      </c>
      <c r="B667" s="10" t="s">
        <v>333</v>
      </c>
      <c r="C667" s="136" t="s">
        <v>334</v>
      </c>
      <c r="D667" s="136" t="s">
        <v>581</v>
      </c>
      <c r="E667" s="136" t="s">
        <v>74</v>
      </c>
      <c r="F667" s="10" t="s">
        <v>1374</v>
      </c>
      <c r="G667" s="10" t="s">
        <v>180</v>
      </c>
      <c r="H667" s="137">
        <v>250</v>
      </c>
      <c r="I667" s="138"/>
      <c r="J667" s="10">
        <v>5511</v>
      </c>
      <c r="K667" s="136" t="s">
        <v>106</v>
      </c>
      <c r="L667" s="10">
        <v>55</v>
      </c>
      <c r="M667" s="10" t="s">
        <v>2219</v>
      </c>
      <c r="N667" s="136" t="s">
        <v>131</v>
      </c>
      <c r="O667" s="136" t="s">
        <v>549</v>
      </c>
      <c r="P667" s="136" t="s">
        <v>85</v>
      </c>
    </row>
    <row r="668" spans="1:16" x14ac:dyDescent="0.25">
      <c r="A668" s="139" t="s">
        <v>800</v>
      </c>
      <c r="B668" s="139" t="s">
        <v>333</v>
      </c>
      <c r="C668" s="140" t="s">
        <v>334</v>
      </c>
      <c r="D668" s="140" t="s">
        <v>581</v>
      </c>
      <c r="E668" s="140" t="s">
        <v>74</v>
      </c>
      <c r="F668" s="139" t="s">
        <v>1374</v>
      </c>
      <c r="G668" s="139" t="s">
        <v>1378</v>
      </c>
      <c r="H668" s="141">
        <v>2400</v>
      </c>
      <c r="I668" s="142"/>
      <c r="J668" s="139">
        <v>5511</v>
      </c>
      <c r="K668" s="140" t="s">
        <v>106</v>
      </c>
      <c r="L668" s="139">
        <v>55</v>
      </c>
      <c r="M668" s="139" t="s">
        <v>2219</v>
      </c>
      <c r="N668" s="140" t="s">
        <v>131</v>
      </c>
      <c r="O668" s="140" t="s">
        <v>549</v>
      </c>
      <c r="P668" s="140" t="s">
        <v>85</v>
      </c>
    </row>
    <row r="669" spans="1:16" x14ac:dyDescent="0.25">
      <c r="A669" s="10" t="s">
        <v>800</v>
      </c>
      <c r="B669" s="10" t="s">
        <v>333</v>
      </c>
      <c r="C669" s="136" t="s">
        <v>334</v>
      </c>
      <c r="D669" s="136" t="s">
        <v>581</v>
      </c>
      <c r="E669" s="136" t="s">
        <v>74</v>
      </c>
      <c r="F669" s="10" t="s">
        <v>1374</v>
      </c>
      <c r="G669" s="10" t="s">
        <v>1379</v>
      </c>
      <c r="H669" s="137">
        <v>6000</v>
      </c>
      <c r="I669" s="138"/>
      <c r="J669" s="10">
        <v>5511</v>
      </c>
      <c r="K669" s="136" t="s">
        <v>106</v>
      </c>
      <c r="L669" s="10">
        <v>55</v>
      </c>
      <c r="M669" s="10" t="s">
        <v>2219</v>
      </c>
      <c r="N669" s="136" t="s">
        <v>131</v>
      </c>
      <c r="O669" s="136" t="s">
        <v>549</v>
      </c>
      <c r="P669" s="136" t="s">
        <v>85</v>
      </c>
    </row>
    <row r="670" spans="1:16" x14ac:dyDescent="0.25">
      <c r="A670" s="139" t="s">
        <v>800</v>
      </c>
      <c r="B670" s="139" t="s">
        <v>333</v>
      </c>
      <c r="C670" s="140" t="s">
        <v>334</v>
      </c>
      <c r="D670" s="140" t="s">
        <v>581</v>
      </c>
      <c r="E670" s="140" t="s">
        <v>74</v>
      </c>
      <c r="F670" s="139" t="s">
        <v>1374</v>
      </c>
      <c r="G670" s="139" t="s">
        <v>1380</v>
      </c>
      <c r="H670" s="141">
        <v>100</v>
      </c>
      <c r="I670" s="142"/>
      <c r="J670" s="139">
        <v>5511</v>
      </c>
      <c r="K670" s="140" t="s">
        <v>106</v>
      </c>
      <c r="L670" s="139">
        <v>55</v>
      </c>
      <c r="M670" s="139" t="s">
        <v>2219</v>
      </c>
      <c r="N670" s="140" t="s">
        <v>131</v>
      </c>
      <c r="O670" s="140" t="s">
        <v>549</v>
      </c>
      <c r="P670" s="140" t="s">
        <v>85</v>
      </c>
    </row>
    <row r="671" spans="1:16" x14ac:dyDescent="0.25">
      <c r="A671" s="10" t="s">
        <v>800</v>
      </c>
      <c r="B671" s="10" t="s">
        <v>333</v>
      </c>
      <c r="C671" s="136" t="s">
        <v>334</v>
      </c>
      <c r="D671" s="136" t="s">
        <v>581</v>
      </c>
      <c r="E671" s="136" t="s">
        <v>74</v>
      </c>
      <c r="F671" s="10" t="s">
        <v>1374</v>
      </c>
      <c r="G671" s="10" t="s">
        <v>1381</v>
      </c>
      <c r="H671" s="137">
        <v>500</v>
      </c>
      <c r="I671" s="138"/>
      <c r="J671" s="10">
        <v>5514</v>
      </c>
      <c r="K671" s="136" t="s">
        <v>110</v>
      </c>
      <c r="L671" s="10">
        <v>55</v>
      </c>
      <c r="M671" s="10" t="s">
        <v>2219</v>
      </c>
      <c r="N671" s="136" t="s">
        <v>131</v>
      </c>
      <c r="O671" s="136" t="s">
        <v>549</v>
      </c>
      <c r="P671" s="136" t="s">
        <v>85</v>
      </c>
    </row>
    <row r="672" spans="1:16" x14ac:dyDescent="0.25">
      <c r="A672" s="139" t="s">
        <v>800</v>
      </c>
      <c r="B672" s="139" t="s">
        <v>335</v>
      </c>
      <c r="C672" s="140" t="s">
        <v>336</v>
      </c>
      <c r="D672" s="140" t="s">
        <v>581</v>
      </c>
      <c r="E672" s="140" t="s">
        <v>74</v>
      </c>
      <c r="F672" s="139" t="s">
        <v>1870</v>
      </c>
      <c r="G672" s="139" t="s">
        <v>177</v>
      </c>
      <c r="H672" s="141">
        <v>9000</v>
      </c>
      <c r="I672" s="142"/>
      <c r="J672" s="139">
        <v>5511</v>
      </c>
      <c r="K672" s="140" t="s">
        <v>106</v>
      </c>
      <c r="L672" s="139">
        <v>55</v>
      </c>
      <c r="M672" s="139" t="s">
        <v>2219</v>
      </c>
      <c r="N672" s="140" t="s">
        <v>131</v>
      </c>
      <c r="O672" s="140" t="s">
        <v>549</v>
      </c>
      <c r="P672" s="140" t="s">
        <v>85</v>
      </c>
    </row>
    <row r="673" spans="1:16" x14ac:dyDescent="0.25">
      <c r="A673" s="10" t="s">
        <v>800</v>
      </c>
      <c r="B673" s="10" t="s">
        <v>335</v>
      </c>
      <c r="C673" s="136" t="s">
        <v>336</v>
      </c>
      <c r="D673" s="136" t="s">
        <v>581</v>
      </c>
      <c r="E673" s="136" t="s">
        <v>74</v>
      </c>
      <c r="F673" s="10" t="s">
        <v>1870</v>
      </c>
      <c r="G673" s="10" t="s">
        <v>178</v>
      </c>
      <c r="H673" s="137">
        <v>4000</v>
      </c>
      <c r="I673" s="138"/>
      <c r="J673" s="10">
        <v>5511</v>
      </c>
      <c r="K673" s="136" t="s">
        <v>106</v>
      </c>
      <c r="L673" s="10">
        <v>55</v>
      </c>
      <c r="M673" s="10" t="s">
        <v>2219</v>
      </c>
      <c r="N673" s="136" t="s">
        <v>131</v>
      </c>
      <c r="O673" s="136" t="s">
        <v>549</v>
      </c>
      <c r="P673" s="136" t="s">
        <v>85</v>
      </c>
    </row>
    <row r="674" spans="1:16" x14ac:dyDescent="0.25">
      <c r="A674" s="139" t="s">
        <v>800</v>
      </c>
      <c r="B674" s="139" t="s">
        <v>335</v>
      </c>
      <c r="C674" s="140" t="s">
        <v>336</v>
      </c>
      <c r="D674" s="140" t="s">
        <v>581</v>
      </c>
      <c r="E674" s="140" t="s">
        <v>74</v>
      </c>
      <c r="F674" s="139" t="s">
        <v>1870</v>
      </c>
      <c r="G674" s="139" t="s">
        <v>410</v>
      </c>
      <c r="H674" s="141">
        <v>400</v>
      </c>
      <c r="I674" s="142"/>
      <c r="J674" s="139">
        <v>5511</v>
      </c>
      <c r="K674" s="140" t="s">
        <v>106</v>
      </c>
      <c r="L674" s="139">
        <v>55</v>
      </c>
      <c r="M674" s="139" t="s">
        <v>2219</v>
      </c>
      <c r="N674" s="140" t="s">
        <v>131</v>
      </c>
      <c r="O674" s="140" t="s">
        <v>549</v>
      </c>
      <c r="P674" s="140" t="s">
        <v>85</v>
      </c>
    </row>
    <row r="675" spans="1:16" x14ac:dyDescent="0.25">
      <c r="A675" s="10" t="s">
        <v>800</v>
      </c>
      <c r="B675" s="10" t="s">
        <v>335</v>
      </c>
      <c r="C675" s="136" t="s">
        <v>336</v>
      </c>
      <c r="D675" s="136" t="s">
        <v>581</v>
      </c>
      <c r="E675" s="136" t="s">
        <v>74</v>
      </c>
      <c r="F675" s="10" t="s">
        <v>1870</v>
      </c>
      <c r="G675" s="10" t="s">
        <v>411</v>
      </c>
      <c r="H675" s="137">
        <v>3500</v>
      </c>
      <c r="I675" s="138"/>
      <c r="J675" s="10">
        <v>5511</v>
      </c>
      <c r="K675" s="136" t="s">
        <v>106</v>
      </c>
      <c r="L675" s="10">
        <v>55</v>
      </c>
      <c r="M675" s="10" t="s">
        <v>2219</v>
      </c>
      <c r="N675" s="136" t="s">
        <v>131</v>
      </c>
      <c r="O675" s="136" t="s">
        <v>549</v>
      </c>
      <c r="P675" s="136" t="s">
        <v>85</v>
      </c>
    </row>
    <row r="676" spans="1:16" x14ac:dyDescent="0.25">
      <c r="A676" s="139" t="s">
        <v>800</v>
      </c>
      <c r="B676" s="139" t="s">
        <v>335</v>
      </c>
      <c r="C676" s="140" t="s">
        <v>336</v>
      </c>
      <c r="D676" s="140" t="s">
        <v>581</v>
      </c>
      <c r="E676" s="140" t="s">
        <v>74</v>
      </c>
      <c r="F676" s="139" t="s">
        <v>1870</v>
      </c>
      <c r="G676" s="139" t="s">
        <v>180</v>
      </c>
      <c r="H676" s="141">
        <v>500</v>
      </c>
      <c r="I676" s="142"/>
      <c r="J676" s="139">
        <v>5511</v>
      </c>
      <c r="K676" s="140" t="s">
        <v>106</v>
      </c>
      <c r="L676" s="139">
        <v>55</v>
      </c>
      <c r="M676" s="139" t="s">
        <v>2219</v>
      </c>
      <c r="N676" s="140" t="s">
        <v>131</v>
      </c>
      <c r="O676" s="140" t="s">
        <v>549</v>
      </c>
      <c r="P676" s="140" t="s">
        <v>85</v>
      </c>
    </row>
    <row r="677" spans="1:16" x14ac:dyDescent="0.25">
      <c r="A677" s="10" t="s">
        <v>800</v>
      </c>
      <c r="B677" s="10" t="s">
        <v>335</v>
      </c>
      <c r="C677" s="136" t="s">
        <v>336</v>
      </c>
      <c r="D677" s="136" t="s">
        <v>581</v>
      </c>
      <c r="E677" s="136" t="s">
        <v>74</v>
      </c>
      <c r="F677" s="10" t="s">
        <v>1870</v>
      </c>
      <c r="G677" s="10" t="s">
        <v>412</v>
      </c>
      <c r="H677" s="137">
        <v>0</v>
      </c>
      <c r="I677" s="138"/>
      <c r="J677" s="10">
        <v>5511</v>
      </c>
      <c r="K677" s="136" t="s">
        <v>106</v>
      </c>
      <c r="L677" s="10">
        <v>55</v>
      </c>
      <c r="M677" s="10" t="s">
        <v>2219</v>
      </c>
      <c r="N677" s="136" t="s">
        <v>131</v>
      </c>
      <c r="O677" s="136" t="s">
        <v>549</v>
      </c>
      <c r="P677" s="136" t="s">
        <v>85</v>
      </c>
    </row>
    <row r="678" spans="1:16" x14ac:dyDescent="0.25">
      <c r="A678" s="139" t="s">
        <v>800</v>
      </c>
      <c r="B678" s="139" t="s">
        <v>335</v>
      </c>
      <c r="C678" s="140" t="s">
        <v>336</v>
      </c>
      <c r="D678" s="140" t="s">
        <v>581</v>
      </c>
      <c r="E678" s="140" t="s">
        <v>74</v>
      </c>
      <c r="F678" s="139" t="s">
        <v>1870</v>
      </c>
      <c r="G678" s="139" t="s">
        <v>413</v>
      </c>
      <c r="H678" s="141">
        <v>1900</v>
      </c>
      <c r="I678" s="142"/>
      <c r="J678" s="139">
        <v>5511</v>
      </c>
      <c r="K678" s="140" t="s">
        <v>106</v>
      </c>
      <c r="L678" s="139">
        <v>55</v>
      </c>
      <c r="M678" s="139" t="s">
        <v>2219</v>
      </c>
      <c r="N678" s="140" t="s">
        <v>131</v>
      </c>
      <c r="O678" s="140" t="s">
        <v>549</v>
      </c>
      <c r="P678" s="140" t="s">
        <v>85</v>
      </c>
    </row>
    <row r="679" spans="1:16" x14ac:dyDescent="0.25">
      <c r="A679" s="10" t="s">
        <v>800</v>
      </c>
      <c r="B679" s="10" t="s">
        <v>335</v>
      </c>
      <c r="C679" s="136" t="s">
        <v>336</v>
      </c>
      <c r="D679" s="136" t="s">
        <v>581</v>
      </c>
      <c r="E679" s="136" t="s">
        <v>74</v>
      </c>
      <c r="F679" s="10" t="s">
        <v>1870</v>
      </c>
      <c r="G679" s="10" t="s">
        <v>414</v>
      </c>
      <c r="H679" s="137">
        <v>500</v>
      </c>
      <c r="I679" s="138"/>
      <c r="J679" s="10">
        <v>5511</v>
      </c>
      <c r="K679" s="136" t="s">
        <v>106</v>
      </c>
      <c r="L679" s="10">
        <v>55</v>
      </c>
      <c r="M679" s="10" t="s">
        <v>2219</v>
      </c>
      <c r="N679" s="136" t="s">
        <v>131</v>
      </c>
      <c r="O679" s="136" t="s">
        <v>549</v>
      </c>
      <c r="P679" s="136" t="s">
        <v>85</v>
      </c>
    </row>
    <row r="680" spans="1:16" x14ac:dyDescent="0.25">
      <c r="A680" s="139" t="s">
        <v>800</v>
      </c>
      <c r="B680" s="139" t="s">
        <v>335</v>
      </c>
      <c r="C680" s="140" t="s">
        <v>336</v>
      </c>
      <c r="D680" s="140" t="s">
        <v>581</v>
      </c>
      <c r="E680" s="140" t="s">
        <v>74</v>
      </c>
      <c r="F680" s="139" t="s">
        <v>1870</v>
      </c>
      <c r="G680" s="139" t="s">
        <v>415</v>
      </c>
      <c r="H680" s="141">
        <v>1200</v>
      </c>
      <c r="I680" s="142"/>
      <c r="J680" s="139">
        <v>5511</v>
      </c>
      <c r="K680" s="140" t="s">
        <v>106</v>
      </c>
      <c r="L680" s="139">
        <v>55</v>
      </c>
      <c r="M680" s="139" t="s">
        <v>2219</v>
      </c>
      <c r="N680" s="140" t="s">
        <v>131</v>
      </c>
      <c r="O680" s="140" t="s">
        <v>549</v>
      </c>
      <c r="P680" s="140" t="s">
        <v>85</v>
      </c>
    </row>
    <row r="681" spans="1:16" x14ac:dyDescent="0.25">
      <c r="A681" s="10" t="s">
        <v>800</v>
      </c>
      <c r="B681" s="10" t="s">
        <v>335</v>
      </c>
      <c r="C681" s="136" t="s">
        <v>336</v>
      </c>
      <c r="D681" s="136" t="s">
        <v>581</v>
      </c>
      <c r="E681" s="136" t="s">
        <v>74</v>
      </c>
      <c r="F681" s="10" t="s">
        <v>1870</v>
      </c>
      <c r="G681" s="10" t="s">
        <v>1873</v>
      </c>
      <c r="H681" s="137">
        <v>200</v>
      </c>
      <c r="I681" s="138"/>
      <c r="J681" s="10">
        <v>5511</v>
      </c>
      <c r="K681" s="136" t="s">
        <v>106</v>
      </c>
      <c r="L681" s="10">
        <v>55</v>
      </c>
      <c r="M681" s="10" t="s">
        <v>2219</v>
      </c>
      <c r="N681" s="136" t="s">
        <v>131</v>
      </c>
      <c r="O681" s="136" t="s">
        <v>549</v>
      </c>
      <c r="P681" s="136" t="s">
        <v>85</v>
      </c>
    </row>
    <row r="682" spans="1:16" x14ac:dyDescent="0.25">
      <c r="A682" s="139" t="s">
        <v>800</v>
      </c>
      <c r="B682" s="139" t="s">
        <v>335</v>
      </c>
      <c r="C682" s="140" t="s">
        <v>336</v>
      </c>
      <c r="D682" s="140" t="s">
        <v>581</v>
      </c>
      <c r="E682" s="140" t="s">
        <v>74</v>
      </c>
      <c r="F682" s="139" t="s">
        <v>1870</v>
      </c>
      <c r="G682" s="139" t="s">
        <v>416</v>
      </c>
      <c r="H682" s="141">
        <v>500</v>
      </c>
      <c r="I682" s="142"/>
      <c r="J682" s="139">
        <v>5511</v>
      </c>
      <c r="K682" s="140" t="s">
        <v>106</v>
      </c>
      <c r="L682" s="139">
        <v>55</v>
      </c>
      <c r="M682" s="139" t="s">
        <v>2219</v>
      </c>
      <c r="N682" s="140" t="s">
        <v>131</v>
      </c>
      <c r="O682" s="140" t="s">
        <v>549</v>
      </c>
      <c r="P682" s="140" t="s">
        <v>85</v>
      </c>
    </row>
    <row r="683" spans="1:16" x14ac:dyDescent="0.25">
      <c r="A683" s="10" t="s">
        <v>800</v>
      </c>
      <c r="B683" s="10" t="s">
        <v>335</v>
      </c>
      <c r="C683" s="136" t="s">
        <v>336</v>
      </c>
      <c r="D683" s="136" t="s">
        <v>581</v>
      </c>
      <c r="E683" s="136" t="s">
        <v>74</v>
      </c>
      <c r="F683" s="10" t="s">
        <v>1870</v>
      </c>
      <c r="G683" s="10" t="s">
        <v>436</v>
      </c>
      <c r="H683" s="137">
        <v>150</v>
      </c>
      <c r="I683" s="138"/>
      <c r="J683" s="10">
        <v>5511</v>
      </c>
      <c r="K683" s="136" t="s">
        <v>106</v>
      </c>
      <c r="L683" s="10">
        <v>55</v>
      </c>
      <c r="M683" s="10" t="s">
        <v>2219</v>
      </c>
      <c r="N683" s="136" t="s">
        <v>131</v>
      </c>
      <c r="O683" s="136" t="s">
        <v>549</v>
      </c>
      <c r="P683" s="136" t="s">
        <v>85</v>
      </c>
    </row>
    <row r="684" spans="1:16" x14ac:dyDescent="0.25">
      <c r="A684" s="139" t="s">
        <v>800</v>
      </c>
      <c r="B684" s="139" t="s">
        <v>335</v>
      </c>
      <c r="C684" s="140" t="s">
        <v>336</v>
      </c>
      <c r="D684" s="140" t="s">
        <v>581</v>
      </c>
      <c r="E684" s="140" t="s">
        <v>74</v>
      </c>
      <c r="F684" s="139" t="s">
        <v>1870</v>
      </c>
      <c r="G684" s="139" t="s">
        <v>1871</v>
      </c>
      <c r="H684" s="141">
        <v>600</v>
      </c>
      <c r="I684" s="142"/>
      <c r="J684" s="139">
        <v>5500</v>
      </c>
      <c r="K684" s="140" t="s">
        <v>100</v>
      </c>
      <c r="L684" s="139">
        <v>55</v>
      </c>
      <c r="M684" s="139" t="s">
        <v>2219</v>
      </c>
      <c r="N684" s="140" t="s">
        <v>131</v>
      </c>
      <c r="O684" s="140" t="s">
        <v>549</v>
      </c>
      <c r="P684" s="140" t="s">
        <v>85</v>
      </c>
    </row>
    <row r="685" spans="1:16" x14ac:dyDescent="0.25">
      <c r="A685" s="10" t="s">
        <v>800</v>
      </c>
      <c r="B685" s="10" t="s">
        <v>335</v>
      </c>
      <c r="C685" s="136" t="s">
        <v>336</v>
      </c>
      <c r="D685" s="136" t="s">
        <v>581</v>
      </c>
      <c r="E685" s="136" t="s">
        <v>74</v>
      </c>
      <c r="F685" s="10" t="s">
        <v>1870</v>
      </c>
      <c r="G685" s="10" t="s">
        <v>401</v>
      </c>
      <c r="H685" s="137">
        <v>400</v>
      </c>
      <c r="I685" s="138"/>
      <c r="J685" s="10">
        <v>5500</v>
      </c>
      <c r="K685" s="136" t="s">
        <v>100</v>
      </c>
      <c r="L685" s="10">
        <v>55</v>
      </c>
      <c r="M685" s="10" t="s">
        <v>2219</v>
      </c>
      <c r="N685" s="136" t="s">
        <v>131</v>
      </c>
      <c r="O685" s="136" t="s">
        <v>549</v>
      </c>
      <c r="P685" s="136" t="s">
        <v>85</v>
      </c>
    </row>
    <row r="686" spans="1:16" x14ac:dyDescent="0.25">
      <c r="A686" s="139" t="s">
        <v>800</v>
      </c>
      <c r="B686" s="139" t="s">
        <v>335</v>
      </c>
      <c r="C686" s="140" t="s">
        <v>336</v>
      </c>
      <c r="D686" s="140" t="s">
        <v>581</v>
      </c>
      <c r="E686" s="140" t="s">
        <v>74</v>
      </c>
      <c r="F686" s="139" t="s">
        <v>1870</v>
      </c>
      <c r="G686" s="139" t="s">
        <v>402</v>
      </c>
      <c r="H686" s="141">
        <v>100</v>
      </c>
      <c r="I686" s="142"/>
      <c r="J686" s="139">
        <v>5500</v>
      </c>
      <c r="K686" s="140" t="s">
        <v>100</v>
      </c>
      <c r="L686" s="139">
        <v>55</v>
      </c>
      <c r="M686" s="139" t="s">
        <v>2219</v>
      </c>
      <c r="N686" s="140" t="s">
        <v>131</v>
      </c>
      <c r="O686" s="140" t="s">
        <v>549</v>
      </c>
      <c r="P686" s="140" t="s">
        <v>85</v>
      </c>
    </row>
    <row r="687" spans="1:16" x14ac:dyDescent="0.25">
      <c r="A687" s="10" t="s">
        <v>800</v>
      </c>
      <c r="B687" s="10" t="s">
        <v>335</v>
      </c>
      <c r="C687" s="136" t="s">
        <v>336</v>
      </c>
      <c r="D687" s="136" t="s">
        <v>581</v>
      </c>
      <c r="E687" s="136" t="s">
        <v>74</v>
      </c>
      <c r="F687" s="10" t="s">
        <v>1870</v>
      </c>
      <c r="G687" s="10" t="s">
        <v>403</v>
      </c>
      <c r="H687" s="137">
        <v>50</v>
      </c>
      <c r="I687" s="138"/>
      <c r="J687" s="10">
        <v>5500</v>
      </c>
      <c r="K687" s="136" t="s">
        <v>100</v>
      </c>
      <c r="L687" s="10">
        <v>55</v>
      </c>
      <c r="M687" s="10" t="s">
        <v>2219</v>
      </c>
      <c r="N687" s="136" t="s">
        <v>131</v>
      </c>
      <c r="O687" s="136" t="s">
        <v>549</v>
      </c>
      <c r="P687" s="136" t="s">
        <v>85</v>
      </c>
    </row>
    <row r="688" spans="1:16" x14ac:dyDescent="0.25">
      <c r="A688" s="139" t="s">
        <v>800</v>
      </c>
      <c r="B688" s="139" t="s">
        <v>335</v>
      </c>
      <c r="C688" s="140" t="s">
        <v>336</v>
      </c>
      <c r="D688" s="140" t="s">
        <v>581</v>
      </c>
      <c r="E688" s="140" t="s">
        <v>74</v>
      </c>
      <c r="F688" s="139" t="s">
        <v>1870</v>
      </c>
      <c r="G688" s="139" t="s">
        <v>404</v>
      </c>
      <c r="H688" s="141">
        <v>300</v>
      </c>
      <c r="I688" s="142"/>
      <c r="J688" s="139">
        <v>5500</v>
      </c>
      <c r="K688" s="140" t="s">
        <v>100</v>
      </c>
      <c r="L688" s="139">
        <v>55</v>
      </c>
      <c r="M688" s="139" t="s">
        <v>2219</v>
      </c>
      <c r="N688" s="140" t="s">
        <v>131</v>
      </c>
      <c r="O688" s="140" t="s">
        <v>549</v>
      </c>
      <c r="P688" s="140" t="s">
        <v>85</v>
      </c>
    </row>
    <row r="689" spans="1:16" x14ac:dyDescent="0.25">
      <c r="A689" s="10" t="s">
        <v>800</v>
      </c>
      <c r="B689" s="10" t="s">
        <v>335</v>
      </c>
      <c r="C689" s="136" t="s">
        <v>336</v>
      </c>
      <c r="D689" s="136" t="s">
        <v>581</v>
      </c>
      <c r="E689" s="136" t="s">
        <v>74</v>
      </c>
      <c r="F689" s="10" t="s">
        <v>1870</v>
      </c>
      <c r="G689" s="10" t="s">
        <v>405</v>
      </c>
      <c r="H689" s="137">
        <v>0</v>
      </c>
      <c r="I689" s="138"/>
      <c r="J689" s="10">
        <v>5500</v>
      </c>
      <c r="K689" s="136" t="s">
        <v>100</v>
      </c>
      <c r="L689" s="10">
        <v>55</v>
      </c>
      <c r="M689" s="10" t="s">
        <v>2219</v>
      </c>
      <c r="N689" s="136" t="s">
        <v>131</v>
      </c>
      <c r="O689" s="136" t="s">
        <v>549</v>
      </c>
      <c r="P689" s="136" t="s">
        <v>85</v>
      </c>
    </row>
    <row r="690" spans="1:16" x14ac:dyDescent="0.25">
      <c r="A690" s="139" t="s">
        <v>800</v>
      </c>
      <c r="B690" s="139" t="s">
        <v>335</v>
      </c>
      <c r="C690" s="140" t="s">
        <v>336</v>
      </c>
      <c r="D690" s="140" t="s">
        <v>581</v>
      </c>
      <c r="E690" s="140" t="s">
        <v>74</v>
      </c>
      <c r="F690" s="139" t="s">
        <v>1870</v>
      </c>
      <c r="G690" s="139" t="s">
        <v>406</v>
      </c>
      <c r="H690" s="141">
        <v>100</v>
      </c>
      <c r="I690" s="142"/>
      <c r="J690" s="139">
        <v>5500</v>
      </c>
      <c r="K690" s="140" t="s">
        <v>100</v>
      </c>
      <c r="L690" s="139">
        <v>55</v>
      </c>
      <c r="M690" s="139" t="s">
        <v>2219</v>
      </c>
      <c r="N690" s="140" t="s">
        <v>131</v>
      </c>
      <c r="O690" s="140" t="s">
        <v>549</v>
      </c>
      <c r="P690" s="140" t="s">
        <v>85</v>
      </c>
    </row>
    <row r="691" spans="1:16" x14ac:dyDescent="0.25">
      <c r="A691" s="10" t="s">
        <v>800</v>
      </c>
      <c r="B691" s="10" t="s">
        <v>335</v>
      </c>
      <c r="C691" s="136" t="s">
        <v>336</v>
      </c>
      <c r="D691" s="136" t="s">
        <v>581</v>
      </c>
      <c r="E691" s="136" t="s">
        <v>74</v>
      </c>
      <c r="F691" s="10" t="s">
        <v>1870</v>
      </c>
      <c r="G691" s="10" t="s">
        <v>407</v>
      </c>
      <c r="H691" s="137">
        <v>130</v>
      </c>
      <c r="I691" s="138"/>
      <c r="J691" s="10">
        <v>5500</v>
      </c>
      <c r="K691" s="136" t="s">
        <v>100</v>
      </c>
      <c r="L691" s="10">
        <v>55</v>
      </c>
      <c r="M691" s="10" t="s">
        <v>2219</v>
      </c>
      <c r="N691" s="136" t="s">
        <v>131</v>
      </c>
      <c r="O691" s="136" t="s">
        <v>549</v>
      </c>
      <c r="P691" s="136" t="s">
        <v>85</v>
      </c>
    </row>
    <row r="692" spans="1:16" x14ac:dyDescent="0.25">
      <c r="A692" s="139" t="s">
        <v>800</v>
      </c>
      <c r="B692" s="139" t="s">
        <v>335</v>
      </c>
      <c r="C692" s="140" t="s">
        <v>336</v>
      </c>
      <c r="D692" s="140" t="s">
        <v>581</v>
      </c>
      <c r="E692" s="140" t="s">
        <v>74</v>
      </c>
      <c r="F692" s="139" t="s">
        <v>1870</v>
      </c>
      <c r="G692" s="139" t="s">
        <v>408</v>
      </c>
      <c r="H692" s="141">
        <v>50</v>
      </c>
      <c r="I692" s="142"/>
      <c r="J692" s="139">
        <v>5500</v>
      </c>
      <c r="K692" s="140" t="s">
        <v>100</v>
      </c>
      <c r="L692" s="139">
        <v>55</v>
      </c>
      <c r="M692" s="139" t="s">
        <v>2219</v>
      </c>
      <c r="N692" s="140" t="s">
        <v>131</v>
      </c>
      <c r="O692" s="140" t="s">
        <v>549</v>
      </c>
      <c r="P692" s="140" t="s">
        <v>85</v>
      </c>
    </row>
    <row r="693" spans="1:16" x14ac:dyDescent="0.25">
      <c r="A693" s="10" t="s">
        <v>800</v>
      </c>
      <c r="B693" s="10" t="s">
        <v>335</v>
      </c>
      <c r="C693" s="136" t="s">
        <v>336</v>
      </c>
      <c r="D693" s="136" t="s">
        <v>581</v>
      </c>
      <c r="E693" s="136" t="s">
        <v>74</v>
      </c>
      <c r="F693" s="10" t="s">
        <v>1870</v>
      </c>
      <c r="G693" s="10" t="s">
        <v>1872</v>
      </c>
      <c r="H693" s="137">
        <v>100</v>
      </c>
      <c r="I693" s="138"/>
      <c r="J693" s="10">
        <v>5500</v>
      </c>
      <c r="K693" s="136" t="s">
        <v>100</v>
      </c>
      <c r="L693" s="10">
        <v>55</v>
      </c>
      <c r="M693" s="10" t="s">
        <v>2219</v>
      </c>
      <c r="N693" s="136" t="s">
        <v>131</v>
      </c>
      <c r="O693" s="136" t="s">
        <v>549</v>
      </c>
      <c r="P693" s="136" t="s">
        <v>85</v>
      </c>
    </row>
    <row r="694" spans="1:16" x14ac:dyDescent="0.25">
      <c r="A694" s="139" t="s">
        <v>800</v>
      </c>
      <c r="B694" s="139" t="s">
        <v>335</v>
      </c>
      <c r="C694" s="140" t="s">
        <v>336</v>
      </c>
      <c r="D694" s="140" t="s">
        <v>581</v>
      </c>
      <c r="E694" s="140" t="s">
        <v>74</v>
      </c>
      <c r="F694" s="139" t="s">
        <v>1870</v>
      </c>
      <c r="G694" s="139" t="s">
        <v>409</v>
      </c>
      <c r="H694" s="141">
        <v>500</v>
      </c>
      <c r="I694" s="142"/>
      <c r="J694" s="139">
        <v>5504</v>
      </c>
      <c r="K694" s="140" t="s">
        <v>102</v>
      </c>
      <c r="L694" s="139">
        <v>55</v>
      </c>
      <c r="M694" s="139" t="s">
        <v>2219</v>
      </c>
      <c r="N694" s="140" t="s">
        <v>131</v>
      </c>
      <c r="O694" s="140" t="s">
        <v>549</v>
      </c>
      <c r="P694" s="140" t="s">
        <v>85</v>
      </c>
    </row>
    <row r="695" spans="1:16" x14ac:dyDescent="0.25">
      <c r="A695" s="10" t="s">
        <v>800</v>
      </c>
      <c r="B695" s="10" t="s">
        <v>335</v>
      </c>
      <c r="C695" s="136" t="s">
        <v>336</v>
      </c>
      <c r="D695" s="136" t="s">
        <v>581</v>
      </c>
      <c r="E695" s="136" t="s">
        <v>74</v>
      </c>
      <c r="F695" s="10" t="s">
        <v>1870</v>
      </c>
      <c r="G695" s="10" t="s">
        <v>417</v>
      </c>
      <c r="H695" s="137">
        <v>500</v>
      </c>
      <c r="I695" s="138"/>
      <c r="J695" s="10">
        <v>5513</v>
      </c>
      <c r="K695" s="136" t="s">
        <v>111</v>
      </c>
      <c r="L695" s="10">
        <v>55</v>
      </c>
      <c r="M695" s="10" t="s">
        <v>2219</v>
      </c>
      <c r="N695" s="136" t="s">
        <v>131</v>
      </c>
      <c r="O695" s="136" t="s">
        <v>549</v>
      </c>
      <c r="P695" s="136" t="s">
        <v>85</v>
      </c>
    </row>
    <row r="696" spans="1:16" x14ac:dyDescent="0.25">
      <c r="A696" s="139" t="s">
        <v>800</v>
      </c>
      <c r="B696" s="139" t="s">
        <v>335</v>
      </c>
      <c r="C696" s="140" t="s">
        <v>336</v>
      </c>
      <c r="D696" s="140" t="s">
        <v>581</v>
      </c>
      <c r="E696" s="140" t="s">
        <v>74</v>
      </c>
      <c r="F696" s="139" t="s">
        <v>1870</v>
      </c>
      <c r="G696" s="139" t="s">
        <v>423</v>
      </c>
      <c r="H696" s="141">
        <v>500</v>
      </c>
      <c r="I696" s="142"/>
      <c r="J696" s="139">
        <v>5515</v>
      </c>
      <c r="K696" s="140" t="s">
        <v>112</v>
      </c>
      <c r="L696" s="139">
        <v>55</v>
      </c>
      <c r="M696" s="139" t="s">
        <v>2219</v>
      </c>
      <c r="N696" s="140" t="s">
        <v>131</v>
      </c>
      <c r="O696" s="140" t="s">
        <v>549</v>
      </c>
      <c r="P696" s="140" t="s">
        <v>85</v>
      </c>
    </row>
    <row r="697" spans="1:16" x14ac:dyDescent="0.25">
      <c r="A697" s="10" t="s">
        <v>800</v>
      </c>
      <c r="B697" s="10" t="s">
        <v>335</v>
      </c>
      <c r="C697" s="136" t="s">
        <v>336</v>
      </c>
      <c r="D697" s="136" t="s">
        <v>581</v>
      </c>
      <c r="E697" s="136" t="s">
        <v>74</v>
      </c>
      <c r="F697" s="10" t="s">
        <v>1870</v>
      </c>
      <c r="G697" s="10" t="s">
        <v>1874</v>
      </c>
      <c r="H697" s="137">
        <v>300</v>
      </c>
      <c r="I697" s="138"/>
      <c r="J697" s="10">
        <v>5515</v>
      </c>
      <c r="K697" s="136" t="s">
        <v>112</v>
      </c>
      <c r="L697" s="10">
        <v>55</v>
      </c>
      <c r="M697" s="10" t="s">
        <v>2219</v>
      </c>
      <c r="N697" s="136" t="s">
        <v>131</v>
      </c>
      <c r="O697" s="136" t="s">
        <v>549</v>
      </c>
      <c r="P697" s="136" t="s">
        <v>85</v>
      </c>
    </row>
    <row r="698" spans="1:16" x14ac:dyDescent="0.25">
      <c r="A698" s="139" t="s">
        <v>800</v>
      </c>
      <c r="B698" s="139" t="s">
        <v>335</v>
      </c>
      <c r="C698" s="140" t="s">
        <v>336</v>
      </c>
      <c r="D698" s="140" t="s">
        <v>581</v>
      </c>
      <c r="E698" s="140" t="s">
        <v>74</v>
      </c>
      <c r="F698" s="139" t="s">
        <v>1870</v>
      </c>
      <c r="G698" s="139" t="s">
        <v>1138</v>
      </c>
      <c r="H698" s="141">
        <v>8000</v>
      </c>
      <c r="I698" s="142"/>
      <c r="J698" s="139">
        <v>5521</v>
      </c>
      <c r="K698" s="140" t="s">
        <v>114</v>
      </c>
      <c r="L698" s="139">
        <v>55</v>
      </c>
      <c r="M698" s="139" t="s">
        <v>2219</v>
      </c>
      <c r="N698" s="140" t="s">
        <v>131</v>
      </c>
      <c r="O698" s="140" t="s">
        <v>549</v>
      </c>
      <c r="P698" s="140" t="s">
        <v>85</v>
      </c>
    </row>
    <row r="699" spans="1:16" x14ac:dyDescent="0.25">
      <c r="A699" s="10" t="s">
        <v>800</v>
      </c>
      <c r="B699" s="10" t="s">
        <v>335</v>
      </c>
      <c r="C699" s="136" t="s">
        <v>336</v>
      </c>
      <c r="D699" s="136" t="s">
        <v>581</v>
      </c>
      <c r="E699" s="136" t="s">
        <v>74</v>
      </c>
      <c r="F699" s="10" t="s">
        <v>1870</v>
      </c>
      <c r="G699" s="10" t="s">
        <v>424</v>
      </c>
      <c r="H699" s="137">
        <v>50</v>
      </c>
      <c r="I699" s="138"/>
      <c r="J699" s="10">
        <v>5522</v>
      </c>
      <c r="K699" s="136" t="s">
        <v>115</v>
      </c>
      <c r="L699" s="10">
        <v>55</v>
      </c>
      <c r="M699" s="10" t="s">
        <v>2219</v>
      </c>
      <c r="N699" s="136" t="s">
        <v>131</v>
      </c>
      <c r="O699" s="136" t="s">
        <v>549</v>
      </c>
      <c r="P699" s="136" t="s">
        <v>85</v>
      </c>
    </row>
    <row r="700" spans="1:16" x14ac:dyDescent="0.25">
      <c r="A700" s="139" t="s">
        <v>800</v>
      </c>
      <c r="B700" s="139" t="s">
        <v>335</v>
      </c>
      <c r="C700" s="140" t="s">
        <v>336</v>
      </c>
      <c r="D700" s="140" t="s">
        <v>581</v>
      </c>
      <c r="E700" s="140" t="s">
        <v>74</v>
      </c>
      <c r="F700" s="139" t="s">
        <v>1870</v>
      </c>
      <c r="G700" s="139" t="s">
        <v>426</v>
      </c>
      <c r="H700" s="141">
        <v>50</v>
      </c>
      <c r="I700" s="142"/>
      <c r="J700" s="139">
        <v>5522</v>
      </c>
      <c r="K700" s="140" t="s">
        <v>115</v>
      </c>
      <c r="L700" s="139">
        <v>55</v>
      </c>
      <c r="M700" s="139" t="s">
        <v>2219</v>
      </c>
      <c r="N700" s="140" t="s">
        <v>131</v>
      </c>
      <c r="O700" s="140" t="s">
        <v>549</v>
      </c>
      <c r="P700" s="140" t="s">
        <v>85</v>
      </c>
    </row>
    <row r="701" spans="1:16" x14ac:dyDescent="0.25">
      <c r="A701" s="10" t="s">
        <v>800</v>
      </c>
      <c r="B701" s="10" t="s">
        <v>335</v>
      </c>
      <c r="C701" s="136" t="s">
        <v>336</v>
      </c>
      <c r="D701" s="136" t="s">
        <v>581</v>
      </c>
      <c r="E701" s="136" t="s">
        <v>74</v>
      </c>
      <c r="F701" s="10" t="s">
        <v>1870</v>
      </c>
      <c r="G701" s="10" t="s">
        <v>427</v>
      </c>
      <c r="H701" s="137">
        <v>300</v>
      </c>
      <c r="I701" s="138"/>
      <c r="J701" s="10">
        <v>5522</v>
      </c>
      <c r="K701" s="136" t="s">
        <v>115</v>
      </c>
      <c r="L701" s="10">
        <v>55</v>
      </c>
      <c r="M701" s="10" t="s">
        <v>2219</v>
      </c>
      <c r="N701" s="136" t="s">
        <v>131</v>
      </c>
      <c r="O701" s="136" t="s">
        <v>549</v>
      </c>
      <c r="P701" s="136" t="s">
        <v>85</v>
      </c>
    </row>
    <row r="702" spans="1:16" x14ac:dyDescent="0.25">
      <c r="A702" s="139" t="s">
        <v>800</v>
      </c>
      <c r="B702" s="139" t="s">
        <v>335</v>
      </c>
      <c r="C702" s="140" t="s">
        <v>336</v>
      </c>
      <c r="D702" s="140" t="s">
        <v>581</v>
      </c>
      <c r="E702" s="140" t="s">
        <v>74</v>
      </c>
      <c r="F702" s="139" t="s">
        <v>1870</v>
      </c>
      <c r="G702" s="139" t="s">
        <v>428</v>
      </c>
      <c r="H702" s="141">
        <v>800</v>
      </c>
      <c r="I702" s="142"/>
      <c r="J702" s="139">
        <v>5524</v>
      </c>
      <c r="K702" s="140" t="s">
        <v>117</v>
      </c>
      <c r="L702" s="139">
        <v>55</v>
      </c>
      <c r="M702" s="139" t="s">
        <v>2219</v>
      </c>
      <c r="N702" s="140" t="s">
        <v>131</v>
      </c>
      <c r="O702" s="140" t="s">
        <v>549</v>
      </c>
      <c r="P702" s="140" t="s">
        <v>85</v>
      </c>
    </row>
    <row r="703" spans="1:16" x14ac:dyDescent="0.25">
      <c r="A703" s="10" t="s">
        <v>800</v>
      </c>
      <c r="B703" s="10" t="s">
        <v>335</v>
      </c>
      <c r="C703" s="136" t="s">
        <v>336</v>
      </c>
      <c r="D703" s="136" t="s">
        <v>581</v>
      </c>
      <c r="E703" s="136" t="s">
        <v>74</v>
      </c>
      <c r="F703" s="10" t="s">
        <v>1870</v>
      </c>
      <c r="G703" s="10" t="s">
        <v>429</v>
      </c>
      <c r="H703" s="137">
        <v>800</v>
      </c>
      <c r="I703" s="138"/>
      <c r="J703" s="10">
        <v>5524</v>
      </c>
      <c r="K703" s="136" t="s">
        <v>117</v>
      </c>
      <c r="L703" s="10">
        <v>55</v>
      </c>
      <c r="M703" s="10" t="s">
        <v>2219</v>
      </c>
      <c r="N703" s="136" t="s">
        <v>131</v>
      </c>
      <c r="O703" s="136" t="s">
        <v>549</v>
      </c>
      <c r="P703" s="136" t="s">
        <v>85</v>
      </c>
    </row>
    <row r="704" spans="1:16" x14ac:dyDescent="0.25">
      <c r="A704" s="139" t="s">
        <v>800</v>
      </c>
      <c r="B704" s="139" t="s">
        <v>335</v>
      </c>
      <c r="C704" s="140" t="s">
        <v>336</v>
      </c>
      <c r="D704" s="140" t="s">
        <v>581</v>
      </c>
      <c r="E704" s="140" t="s">
        <v>74</v>
      </c>
      <c r="F704" s="139" t="s">
        <v>1870</v>
      </c>
      <c r="G704" s="139" t="s">
        <v>430</v>
      </c>
      <c r="H704" s="141">
        <v>900</v>
      </c>
      <c r="I704" s="142"/>
      <c r="J704" s="139">
        <v>5524</v>
      </c>
      <c r="K704" s="140" t="s">
        <v>117</v>
      </c>
      <c r="L704" s="139">
        <v>55</v>
      </c>
      <c r="M704" s="139" t="s">
        <v>2219</v>
      </c>
      <c r="N704" s="140" t="s">
        <v>131</v>
      </c>
      <c r="O704" s="140" t="s">
        <v>549</v>
      </c>
      <c r="P704" s="140" t="s">
        <v>85</v>
      </c>
    </row>
    <row r="705" spans="1:16" x14ac:dyDescent="0.25">
      <c r="A705" s="10" t="s">
        <v>800</v>
      </c>
      <c r="B705" s="10" t="s">
        <v>335</v>
      </c>
      <c r="C705" s="136" t="s">
        <v>336</v>
      </c>
      <c r="D705" s="136" t="s">
        <v>581</v>
      </c>
      <c r="E705" s="136" t="s">
        <v>74</v>
      </c>
      <c r="F705" s="10" t="s">
        <v>1870</v>
      </c>
      <c r="G705" s="10" t="s">
        <v>431</v>
      </c>
      <c r="H705" s="137">
        <v>100</v>
      </c>
      <c r="I705" s="138"/>
      <c r="J705" s="10">
        <v>5524</v>
      </c>
      <c r="K705" s="136" t="s">
        <v>117</v>
      </c>
      <c r="L705" s="10">
        <v>55</v>
      </c>
      <c r="M705" s="10" t="s">
        <v>2219</v>
      </c>
      <c r="N705" s="136" t="s">
        <v>131</v>
      </c>
      <c r="O705" s="136" t="s">
        <v>549</v>
      </c>
      <c r="P705" s="136" t="s">
        <v>85</v>
      </c>
    </row>
    <row r="706" spans="1:16" x14ac:dyDescent="0.25">
      <c r="A706" s="139" t="s">
        <v>800</v>
      </c>
      <c r="B706" s="139" t="s">
        <v>335</v>
      </c>
      <c r="C706" s="140" t="s">
        <v>336</v>
      </c>
      <c r="D706" s="140" t="s">
        <v>581</v>
      </c>
      <c r="E706" s="140" t="s">
        <v>74</v>
      </c>
      <c r="F706" s="139" t="s">
        <v>1870</v>
      </c>
      <c r="G706" s="139" t="s">
        <v>432</v>
      </c>
      <c r="H706" s="141">
        <v>500</v>
      </c>
      <c r="I706" s="142"/>
      <c r="J706" s="139">
        <v>5524</v>
      </c>
      <c r="K706" s="140" t="s">
        <v>117</v>
      </c>
      <c r="L706" s="139">
        <v>55</v>
      </c>
      <c r="M706" s="139" t="s">
        <v>2219</v>
      </c>
      <c r="N706" s="140" t="s">
        <v>131</v>
      </c>
      <c r="O706" s="140" t="s">
        <v>549</v>
      </c>
      <c r="P706" s="140" t="s">
        <v>85</v>
      </c>
    </row>
    <row r="707" spans="1:16" x14ac:dyDescent="0.25">
      <c r="A707" s="10" t="s">
        <v>800</v>
      </c>
      <c r="B707" s="10" t="s">
        <v>335</v>
      </c>
      <c r="C707" s="136" t="s">
        <v>336</v>
      </c>
      <c r="D707" s="136" t="s">
        <v>581</v>
      </c>
      <c r="E707" s="136" t="s">
        <v>74</v>
      </c>
      <c r="F707" s="10" t="s">
        <v>1870</v>
      </c>
      <c r="G707" s="10" t="s">
        <v>433</v>
      </c>
      <c r="H707" s="137">
        <v>500</v>
      </c>
      <c r="I707" s="138"/>
      <c r="J707" s="10">
        <v>5525</v>
      </c>
      <c r="K707" s="136" t="s">
        <v>118</v>
      </c>
      <c r="L707" s="10">
        <v>55</v>
      </c>
      <c r="M707" s="10" t="s">
        <v>2219</v>
      </c>
      <c r="N707" s="136" t="s">
        <v>131</v>
      </c>
      <c r="O707" s="136" t="s">
        <v>549</v>
      </c>
      <c r="P707" s="136" t="s">
        <v>85</v>
      </c>
    </row>
    <row r="708" spans="1:16" x14ac:dyDescent="0.25">
      <c r="A708" s="139" t="s">
        <v>800</v>
      </c>
      <c r="B708" s="139" t="s">
        <v>335</v>
      </c>
      <c r="C708" s="140" t="s">
        <v>336</v>
      </c>
      <c r="D708" s="140" t="s">
        <v>581</v>
      </c>
      <c r="E708" s="140" t="s">
        <v>74</v>
      </c>
      <c r="F708" s="139" t="s">
        <v>1870</v>
      </c>
      <c r="G708" s="139" t="s">
        <v>434</v>
      </c>
      <c r="H708" s="141">
        <v>100</v>
      </c>
      <c r="I708" s="142"/>
      <c r="J708" s="139">
        <v>5525</v>
      </c>
      <c r="K708" s="140" t="s">
        <v>118</v>
      </c>
      <c r="L708" s="139">
        <v>55</v>
      </c>
      <c r="M708" s="139" t="s">
        <v>2219</v>
      </c>
      <c r="N708" s="140" t="s">
        <v>131</v>
      </c>
      <c r="O708" s="140" t="s">
        <v>549</v>
      </c>
      <c r="P708" s="140" t="s">
        <v>85</v>
      </c>
    </row>
    <row r="709" spans="1:16" x14ac:dyDescent="0.25">
      <c r="A709" s="10" t="s">
        <v>800</v>
      </c>
      <c r="B709" s="10" t="s">
        <v>335</v>
      </c>
      <c r="C709" s="136" t="s">
        <v>336</v>
      </c>
      <c r="D709" s="136" t="s">
        <v>581</v>
      </c>
      <c r="E709" s="136" t="s">
        <v>74</v>
      </c>
      <c r="F709" s="10" t="s">
        <v>1870</v>
      </c>
      <c r="G709" s="10" t="s">
        <v>435</v>
      </c>
      <c r="H709" s="137">
        <v>1000</v>
      </c>
      <c r="I709" s="138"/>
      <c r="J709" s="10">
        <v>5525</v>
      </c>
      <c r="K709" s="136" t="s">
        <v>118</v>
      </c>
      <c r="L709" s="10">
        <v>55</v>
      </c>
      <c r="M709" s="10" t="s">
        <v>2219</v>
      </c>
      <c r="N709" s="136" t="s">
        <v>131</v>
      </c>
      <c r="O709" s="136" t="s">
        <v>549</v>
      </c>
      <c r="P709" s="136" t="s">
        <v>85</v>
      </c>
    </row>
    <row r="710" spans="1:16" x14ac:dyDescent="0.25">
      <c r="A710" s="139" t="s">
        <v>800</v>
      </c>
      <c r="B710" s="139" t="s">
        <v>335</v>
      </c>
      <c r="C710" s="140" t="s">
        <v>336</v>
      </c>
      <c r="D710" s="140" t="s">
        <v>581</v>
      </c>
      <c r="E710" s="140" t="s">
        <v>74</v>
      </c>
      <c r="F710" s="139" t="s">
        <v>1870</v>
      </c>
      <c r="G710" s="139" t="s">
        <v>419</v>
      </c>
      <c r="H710" s="141">
        <v>300</v>
      </c>
      <c r="I710" s="142"/>
      <c r="J710" s="139">
        <v>5514</v>
      </c>
      <c r="K710" s="140" t="s">
        <v>110</v>
      </c>
      <c r="L710" s="139">
        <v>55</v>
      </c>
      <c r="M710" s="139" t="s">
        <v>2219</v>
      </c>
      <c r="N710" s="140" t="s">
        <v>131</v>
      </c>
      <c r="O710" s="140" t="s">
        <v>549</v>
      </c>
      <c r="P710" s="140" t="s">
        <v>85</v>
      </c>
    </row>
    <row r="711" spans="1:16" x14ac:dyDescent="0.25">
      <c r="A711" s="10" t="s">
        <v>800</v>
      </c>
      <c r="B711" s="10" t="s">
        <v>335</v>
      </c>
      <c r="C711" s="136" t="s">
        <v>336</v>
      </c>
      <c r="D711" s="136" t="s">
        <v>581</v>
      </c>
      <c r="E711" s="136" t="s">
        <v>74</v>
      </c>
      <c r="F711" s="10" t="s">
        <v>1870</v>
      </c>
      <c r="G711" s="10" t="s">
        <v>420</v>
      </c>
      <c r="H711" s="137">
        <v>250</v>
      </c>
      <c r="I711" s="138"/>
      <c r="J711" s="10">
        <v>5514</v>
      </c>
      <c r="K711" s="136" t="s">
        <v>110</v>
      </c>
      <c r="L711" s="10">
        <v>55</v>
      </c>
      <c r="M711" s="10" t="s">
        <v>2219</v>
      </c>
      <c r="N711" s="136" t="s">
        <v>131</v>
      </c>
      <c r="O711" s="136" t="s">
        <v>549</v>
      </c>
      <c r="P711" s="136" t="s">
        <v>85</v>
      </c>
    </row>
    <row r="712" spans="1:16" x14ac:dyDescent="0.25">
      <c r="A712" s="139" t="s">
        <v>800</v>
      </c>
      <c r="B712" s="139" t="s">
        <v>335</v>
      </c>
      <c r="C712" s="140" t="s">
        <v>336</v>
      </c>
      <c r="D712" s="140" t="s">
        <v>581</v>
      </c>
      <c r="E712" s="140" t="s">
        <v>74</v>
      </c>
      <c r="F712" s="139" t="s">
        <v>1870</v>
      </c>
      <c r="G712" s="139" t="s">
        <v>421</v>
      </c>
      <c r="H712" s="141">
        <v>100</v>
      </c>
      <c r="I712" s="142"/>
      <c r="J712" s="139">
        <v>5514</v>
      </c>
      <c r="K712" s="140" t="s">
        <v>110</v>
      </c>
      <c r="L712" s="139">
        <v>55</v>
      </c>
      <c r="M712" s="139" t="s">
        <v>2219</v>
      </c>
      <c r="N712" s="140" t="s">
        <v>131</v>
      </c>
      <c r="O712" s="140" t="s">
        <v>549</v>
      </c>
      <c r="P712" s="140" t="s">
        <v>85</v>
      </c>
    </row>
    <row r="713" spans="1:16" x14ac:dyDescent="0.25">
      <c r="A713" s="10" t="s">
        <v>800</v>
      </c>
      <c r="B713" s="10" t="s">
        <v>335</v>
      </c>
      <c r="C713" s="136" t="s">
        <v>336</v>
      </c>
      <c r="D713" s="136" t="s">
        <v>581</v>
      </c>
      <c r="E713" s="136" t="s">
        <v>74</v>
      </c>
      <c r="F713" s="10" t="s">
        <v>1870</v>
      </c>
      <c r="G713" s="10" t="s">
        <v>199</v>
      </c>
      <c r="H713" s="137">
        <v>100</v>
      </c>
      <c r="I713" s="138"/>
      <c r="J713" s="10">
        <v>5514</v>
      </c>
      <c r="K713" s="136" t="s">
        <v>110</v>
      </c>
      <c r="L713" s="10">
        <v>55</v>
      </c>
      <c r="M713" s="10" t="s">
        <v>2219</v>
      </c>
      <c r="N713" s="136" t="s">
        <v>131</v>
      </c>
      <c r="O713" s="136" t="s">
        <v>549</v>
      </c>
      <c r="P713" s="136" t="s">
        <v>85</v>
      </c>
    </row>
    <row r="714" spans="1:16" x14ac:dyDescent="0.25">
      <c r="A714" s="139" t="s">
        <v>800</v>
      </c>
      <c r="B714" s="139" t="s">
        <v>245</v>
      </c>
      <c r="C714" s="140" t="s">
        <v>337</v>
      </c>
      <c r="D714" s="140" t="s">
        <v>581</v>
      </c>
      <c r="E714" s="140" t="s">
        <v>74</v>
      </c>
      <c r="F714" s="139" t="s">
        <v>166</v>
      </c>
      <c r="G714" s="139" t="s">
        <v>240</v>
      </c>
      <c r="H714" s="141">
        <v>630</v>
      </c>
      <c r="I714" s="142" t="s">
        <v>241</v>
      </c>
      <c r="J714" s="139">
        <v>5514</v>
      </c>
      <c r="K714" s="140" t="s">
        <v>110</v>
      </c>
      <c r="L714" s="139">
        <v>55</v>
      </c>
      <c r="M714" s="139" t="s">
        <v>2219</v>
      </c>
      <c r="N714" s="139" t="s">
        <v>131</v>
      </c>
      <c r="O714" s="139" t="s">
        <v>549</v>
      </c>
      <c r="P714" s="140" t="s">
        <v>85</v>
      </c>
    </row>
    <row r="715" spans="1:16" x14ac:dyDescent="0.25">
      <c r="A715" s="10" t="s">
        <v>800</v>
      </c>
      <c r="B715" s="10" t="s">
        <v>245</v>
      </c>
      <c r="C715" s="136" t="s">
        <v>337</v>
      </c>
      <c r="D715" s="136" t="s">
        <v>581</v>
      </c>
      <c r="E715" s="136" t="s">
        <v>74</v>
      </c>
      <c r="F715" s="10" t="s">
        <v>166</v>
      </c>
      <c r="G715" s="10" t="s">
        <v>213</v>
      </c>
      <c r="H715" s="137">
        <v>6900</v>
      </c>
      <c r="I715" s="138"/>
      <c r="J715" s="10">
        <v>5521</v>
      </c>
      <c r="K715" s="136" t="s">
        <v>114</v>
      </c>
      <c r="L715" s="10">
        <v>55</v>
      </c>
      <c r="M715" s="10" t="s">
        <v>2219</v>
      </c>
      <c r="N715" s="136" t="s">
        <v>131</v>
      </c>
      <c r="O715" s="136" t="s">
        <v>549</v>
      </c>
      <c r="P715" s="136" t="s">
        <v>85</v>
      </c>
    </row>
    <row r="716" spans="1:16" x14ac:dyDescent="0.25">
      <c r="A716" s="139" t="s">
        <v>800</v>
      </c>
      <c r="B716" s="139" t="s">
        <v>245</v>
      </c>
      <c r="C716" s="140" t="s">
        <v>337</v>
      </c>
      <c r="D716" s="140" t="s">
        <v>581</v>
      </c>
      <c r="E716" s="140" t="s">
        <v>74</v>
      </c>
      <c r="F716" s="139" t="s">
        <v>166</v>
      </c>
      <c r="G716" s="139" t="s">
        <v>117</v>
      </c>
      <c r="H716" s="141">
        <v>1000</v>
      </c>
      <c r="I716" s="142"/>
      <c r="J716" s="139">
        <v>5524</v>
      </c>
      <c r="K716" s="140" t="s">
        <v>117</v>
      </c>
      <c r="L716" s="139">
        <v>55</v>
      </c>
      <c r="M716" s="139" t="s">
        <v>2219</v>
      </c>
      <c r="N716" s="140" t="s">
        <v>131</v>
      </c>
      <c r="O716" s="140" t="s">
        <v>549</v>
      </c>
      <c r="P716" s="140" t="s">
        <v>85</v>
      </c>
    </row>
    <row r="717" spans="1:16" x14ac:dyDescent="0.25">
      <c r="A717" s="10" t="s">
        <v>800</v>
      </c>
      <c r="B717" s="10" t="s">
        <v>338</v>
      </c>
      <c r="C717" s="136" t="s">
        <v>339</v>
      </c>
      <c r="D717" s="136" t="s">
        <v>581</v>
      </c>
      <c r="E717" s="136" t="s">
        <v>74</v>
      </c>
      <c r="F717" s="10" t="s">
        <v>1548</v>
      </c>
      <c r="G717" s="10" t="s">
        <v>1554</v>
      </c>
      <c r="H717" s="137">
        <v>46249.440000000002</v>
      </c>
      <c r="I717" s="138" t="s">
        <v>1557</v>
      </c>
      <c r="J717" s="10">
        <v>5524</v>
      </c>
      <c r="K717" s="136" t="s">
        <v>117</v>
      </c>
      <c r="L717" s="10">
        <v>55</v>
      </c>
      <c r="M717" s="10" t="s">
        <v>2219</v>
      </c>
      <c r="N717" s="136" t="s">
        <v>131</v>
      </c>
      <c r="O717" s="136" t="s">
        <v>549</v>
      </c>
      <c r="P717" s="136" t="s">
        <v>85</v>
      </c>
    </row>
    <row r="718" spans="1:16" x14ac:dyDescent="0.25">
      <c r="A718" s="139" t="s">
        <v>800</v>
      </c>
      <c r="B718" s="139" t="s">
        <v>340</v>
      </c>
      <c r="C718" s="140" t="s">
        <v>2169</v>
      </c>
      <c r="D718" s="140" t="s">
        <v>582</v>
      </c>
      <c r="E718" s="140" t="s">
        <v>74</v>
      </c>
      <c r="F718" s="139" t="s">
        <v>1870</v>
      </c>
      <c r="G718" s="139" t="s">
        <v>177</v>
      </c>
      <c r="H718" s="141">
        <v>20000</v>
      </c>
      <c r="I718" s="142"/>
      <c r="J718" s="139">
        <v>5511</v>
      </c>
      <c r="K718" s="140" t="s">
        <v>106</v>
      </c>
      <c r="L718" s="139">
        <v>55</v>
      </c>
      <c r="M718" s="139" t="s">
        <v>2219</v>
      </c>
      <c r="N718" s="140" t="s">
        <v>131</v>
      </c>
      <c r="O718" s="140" t="s">
        <v>549</v>
      </c>
      <c r="P718" s="140" t="s">
        <v>85</v>
      </c>
    </row>
    <row r="719" spans="1:16" x14ac:dyDescent="0.25">
      <c r="A719" s="10" t="s">
        <v>800</v>
      </c>
      <c r="B719" s="10" t="s">
        <v>340</v>
      </c>
      <c r="C719" s="136" t="s">
        <v>2169</v>
      </c>
      <c r="D719" s="136" t="s">
        <v>582</v>
      </c>
      <c r="E719" s="136" t="s">
        <v>74</v>
      </c>
      <c r="F719" s="10" t="s">
        <v>1870</v>
      </c>
      <c r="G719" s="10" t="s">
        <v>178</v>
      </c>
      <c r="H719" s="137">
        <v>6000</v>
      </c>
      <c r="I719" s="138"/>
      <c r="J719" s="10">
        <v>5511</v>
      </c>
      <c r="K719" s="136" t="s">
        <v>106</v>
      </c>
      <c r="L719" s="10">
        <v>55</v>
      </c>
      <c r="M719" s="10" t="s">
        <v>2219</v>
      </c>
      <c r="N719" s="136" t="s">
        <v>131</v>
      </c>
      <c r="O719" s="136" t="s">
        <v>549</v>
      </c>
      <c r="P719" s="136" t="s">
        <v>85</v>
      </c>
    </row>
    <row r="720" spans="1:16" x14ac:dyDescent="0.25">
      <c r="A720" s="139" t="s">
        <v>800</v>
      </c>
      <c r="B720" s="139" t="s">
        <v>340</v>
      </c>
      <c r="C720" s="140" t="s">
        <v>2169</v>
      </c>
      <c r="D720" s="140" t="s">
        <v>582</v>
      </c>
      <c r="E720" s="140" t="s">
        <v>74</v>
      </c>
      <c r="F720" s="139" t="s">
        <v>1870</v>
      </c>
      <c r="G720" s="139" t="s">
        <v>410</v>
      </c>
      <c r="H720" s="141">
        <v>500</v>
      </c>
      <c r="I720" s="142"/>
      <c r="J720" s="139">
        <v>5511</v>
      </c>
      <c r="K720" s="140" t="s">
        <v>106</v>
      </c>
      <c r="L720" s="139">
        <v>55</v>
      </c>
      <c r="M720" s="139" t="s">
        <v>2219</v>
      </c>
      <c r="N720" s="140" t="s">
        <v>131</v>
      </c>
      <c r="O720" s="140" t="s">
        <v>549</v>
      </c>
      <c r="P720" s="140" t="s">
        <v>85</v>
      </c>
    </row>
    <row r="721" spans="1:16" x14ac:dyDescent="0.25">
      <c r="A721" s="10" t="s">
        <v>800</v>
      </c>
      <c r="B721" s="10" t="s">
        <v>340</v>
      </c>
      <c r="C721" s="136" t="s">
        <v>2169</v>
      </c>
      <c r="D721" s="136" t="s">
        <v>582</v>
      </c>
      <c r="E721" s="136" t="s">
        <v>74</v>
      </c>
      <c r="F721" s="10" t="s">
        <v>1870</v>
      </c>
      <c r="G721" s="10" t="s">
        <v>411</v>
      </c>
      <c r="H721" s="137">
        <v>2600</v>
      </c>
      <c r="I721" s="138"/>
      <c r="J721" s="10">
        <v>5511</v>
      </c>
      <c r="K721" s="136" t="s">
        <v>106</v>
      </c>
      <c r="L721" s="10">
        <v>55</v>
      </c>
      <c r="M721" s="10" t="s">
        <v>2219</v>
      </c>
      <c r="N721" s="136" t="s">
        <v>131</v>
      </c>
      <c r="O721" s="136" t="s">
        <v>549</v>
      </c>
      <c r="P721" s="136" t="s">
        <v>85</v>
      </c>
    </row>
    <row r="722" spans="1:16" x14ac:dyDescent="0.25">
      <c r="A722" s="139" t="s">
        <v>800</v>
      </c>
      <c r="B722" s="139" t="s">
        <v>340</v>
      </c>
      <c r="C722" s="140" t="s">
        <v>2169</v>
      </c>
      <c r="D722" s="140" t="s">
        <v>582</v>
      </c>
      <c r="E722" s="140" t="s">
        <v>74</v>
      </c>
      <c r="F722" s="139" t="s">
        <v>1870</v>
      </c>
      <c r="G722" s="139" t="s">
        <v>180</v>
      </c>
      <c r="H722" s="141">
        <v>500</v>
      </c>
      <c r="I722" s="142"/>
      <c r="J722" s="139">
        <v>5511</v>
      </c>
      <c r="K722" s="140" t="s">
        <v>106</v>
      </c>
      <c r="L722" s="139">
        <v>55</v>
      </c>
      <c r="M722" s="139" t="s">
        <v>2219</v>
      </c>
      <c r="N722" s="140" t="s">
        <v>131</v>
      </c>
      <c r="O722" s="140" t="s">
        <v>549</v>
      </c>
      <c r="P722" s="140" t="s">
        <v>85</v>
      </c>
    </row>
    <row r="723" spans="1:16" x14ac:dyDescent="0.25">
      <c r="A723" s="10" t="s">
        <v>800</v>
      </c>
      <c r="B723" s="10" t="s">
        <v>340</v>
      </c>
      <c r="C723" s="136" t="s">
        <v>2169</v>
      </c>
      <c r="D723" s="136" t="s">
        <v>582</v>
      </c>
      <c r="E723" s="136" t="s">
        <v>74</v>
      </c>
      <c r="F723" s="10" t="s">
        <v>1870</v>
      </c>
      <c r="G723" s="10" t="s">
        <v>412</v>
      </c>
      <c r="H723" s="137">
        <v>120</v>
      </c>
      <c r="I723" s="138"/>
      <c r="J723" s="10">
        <v>5511</v>
      </c>
      <c r="K723" s="136" t="s">
        <v>106</v>
      </c>
      <c r="L723" s="10">
        <v>55</v>
      </c>
      <c r="M723" s="10" t="s">
        <v>2219</v>
      </c>
      <c r="N723" s="136" t="s">
        <v>131</v>
      </c>
      <c r="O723" s="136" t="s">
        <v>549</v>
      </c>
      <c r="P723" s="136" t="s">
        <v>85</v>
      </c>
    </row>
    <row r="724" spans="1:16" x14ac:dyDescent="0.25">
      <c r="A724" s="139" t="s">
        <v>800</v>
      </c>
      <c r="B724" s="139" t="s">
        <v>340</v>
      </c>
      <c r="C724" s="140" t="s">
        <v>2169</v>
      </c>
      <c r="D724" s="140" t="s">
        <v>582</v>
      </c>
      <c r="E724" s="140" t="s">
        <v>74</v>
      </c>
      <c r="F724" s="139" t="s">
        <v>1870</v>
      </c>
      <c r="G724" s="139" t="s">
        <v>413</v>
      </c>
      <c r="H724" s="141">
        <v>3000</v>
      </c>
      <c r="I724" s="142"/>
      <c r="J724" s="139">
        <v>5511</v>
      </c>
      <c r="K724" s="140" t="s">
        <v>106</v>
      </c>
      <c r="L724" s="139">
        <v>55</v>
      </c>
      <c r="M724" s="139" t="s">
        <v>2219</v>
      </c>
      <c r="N724" s="140" t="s">
        <v>131</v>
      </c>
      <c r="O724" s="140" t="s">
        <v>549</v>
      </c>
      <c r="P724" s="140" t="s">
        <v>85</v>
      </c>
    </row>
    <row r="725" spans="1:16" x14ac:dyDescent="0.25">
      <c r="A725" s="10" t="s">
        <v>800</v>
      </c>
      <c r="B725" s="10" t="s">
        <v>340</v>
      </c>
      <c r="C725" s="136" t="s">
        <v>2169</v>
      </c>
      <c r="D725" s="136" t="s">
        <v>582</v>
      </c>
      <c r="E725" s="136" t="s">
        <v>74</v>
      </c>
      <c r="F725" s="10" t="s">
        <v>1870</v>
      </c>
      <c r="G725" s="10" t="s">
        <v>414</v>
      </c>
      <c r="H725" s="137">
        <v>500</v>
      </c>
      <c r="I725" s="138"/>
      <c r="J725" s="10">
        <v>5511</v>
      </c>
      <c r="K725" s="136" t="s">
        <v>106</v>
      </c>
      <c r="L725" s="10">
        <v>55</v>
      </c>
      <c r="M725" s="10" t="s">
        <v>2219</v>
      </c>
      <c r="N725" s="136" t="s">
        <v>131</v>
      </c>
      <c r="O725" s="136" t="s">
        <v>549</v>
      </c>
      <c r="P725" s="136" t="s">
        <v>85</v>
      </c>
    </row>
    <row r="726" spans="1:16" x14ac:dyDescent="0.25">
      <c r="A726" s="139" t="s">
        <v>800</v>
      </c>
      <c r="B726" s="139" t="s">
        <v>340</v>
      </c>
      <c r="C726" s="140" t="s">
        <v>2169</v>
      </c>
      <c r="D726" s="140" t="s">
        <v>582</v>
      </c>
      <c r="E726" s="140" t="s">
        <v>74</v>
      </c>
      <c r="F726" s="139" t="s">
        <v>1870</v>
      </c>
      <c r="G726" s="139" t="s">
        <v>415</v>
      </c>
      <c r="H726" s="141">
        <v>760</v>
      </c>
      <c r="I726" s="142"/>
      <c r="J726" s="139">
        <v>5511</v>
      </c>
      <c r="K726" s="140" t="s">
        <v>106</v>
      </c>
      <c r="L726" s="139">
        <v>55</v>
      </c>
      <c r="M726" s="139" t="s">
        <v>2219</v>
      </c>
      <c r="N726" s="140" t="s">
        <v>131</v>
      </c>
      <c r="O726" s="140" t="s">
        <v>549</v>
      </c>
      <c r="P726" s="140" t="s">
        <v>85</v>
      </c>
    </row>
    <row r="727" spans="1:16" x14ac:dyDescent="0.25">
      <c r="A727" s="10" t="s">
        <v>800</v>
      </c>
      <c r="B727" s="10" t="s">
        <v>340</v>
      </c>
      <c r="C727" s="136" t="s">
        <v>2169</v>
      </c>
      <c r="D727" s="136" t="s">
        <v>582</v>
      </c>
      <c r="E727" s="136" t="s">
        <v>74</v>
      </c>
      <c r="F727" s="10" t="s">
        <v>1870</v>
      </c>
      <c r="G727" s="10" t="s">
        <v>1873</v>
      </c>
      <c r="H727" s="137">
        <v>1500</v>
      </c>
      <c r="I727" s="138"/>
      <c r="J727" s="10">
        <v>5511</v>
      </c>
      <c r="K727" s="136" t="s">
        <v>106</v>
      </c>
      <c r="L727" s="10">
        <v>55</v>
      </c>
      <c r="M727" s="10" t="s">
        <v>2219</v>
      </c>
      <c r="N727" s="136" t="s">
        <v>131</v>
      </c>
      <c r="O727" s="136" t="s">
        <v>549</v>
      </c>
      <c r="P727" s="136" t="s">
        <v>85</v>
      </c>
    </row>
    <row r="728" spans="1:16" x14ac:dyDescent="0.25">
      <c r="A728" s="139" t="s">
        <v>800</v>
      </c>
      <c r="B728" s="139" t="s">
        <v>340</v>
      </c>
      <c r="C728" s="140" t="s">
        <v>2169</v>
      </c>
      <c r="D728" s="140" t="s">
        <v>582</v>
      </c>
      <c r="E728" s="140" t="s">
        <v>74</v>
      </c>
      <c r="F728" s="139" t="s">
        <v>1870</v>
      </c>
      <c r="G728" s="139" t="s">
        <v>436</v>
      </c>
      <c r="H728" s="141">
        <v>150</v>
      </c>
      <c r="I728" s="142"/>
      <c r="J728" s="139">
        <v>5511</v>
      </c>
      <c r="K728" s="140" t="s">
        <v>106</v>
      </c>
      <c r="L728" s="139">
        <v>55</v>
      </c>
      <c r="M728" s="139" t="s">
        <v>2219</v>
      </c>
      <c r="N728" s="140" t="s">
        <v>131</v>
      </c>
      <c r="O728" s="140" t="s">
        <v>549</v>
      </c>
      <c r="P728" s="140" t="s">
        <v>85</v>
      </c>
    </row>
    <row r="729" spans="1:16" x14ac:dyDescent="0.25">
      <c r="A729" s="10" t="s">
        <v>800</v>
      </c>
      <c r="B729" s="10" t="s">
        <v>340</v>
      </c>
      <c r="C729" s="136" t="s">
        <v>2169</v>
      </c>
      <c r="D729" s="136" t="s">
        <v>582</v>
      </c>
      <c r="E729" s="136" t="s">
        <v>74</v>
      </c>
      <c r="F729" s="10" t="s">
        <v>1870</v>
      </c>
      <c r="G729" s="10" t="s">
        <v>401</v>
      </c>
      <c r="H729" s="137">
        <v>400</v>
      </c>
      <c r="I729" s="138"/>
      <c r="J729" s="10">
        <v>5500</v>
      </c>
      <c r="K729" s="136" t="s">
        <v>100</v>
      </c>
      <c r="L729" s="10">
        <v>55</v>
      </c>
      <c r="M729" s="10" t="s">
        <v>2219</v>
      </c>
      <c r="N729" s="136" t="s">
        <v>131</v>
      </c>
      <c r="O729" s="136" t="s">
        <v>549</v>
      </c>
      <c r="P729" s="136" t="s">
        <v>85</v>
      </c>
    </row>
    <row r="730" spans="1:16" x14ac:dyDescent="0.25">
      <c r="A730" s="139" t="s">
        <v>800</v>
      </c>
      <c r="B730" s="139" t="s">
        <v>340</v>
      </c>
      <c r="C730" s="140" t="s">
        <v>2169</v>
      </c>
      <c r="D730" s="140" t="s">
        <v>582</v>
      </c>
      <c r="E730" s="140" t="s">
        <v>74</v>
      </c>
      <c r="F730" s="139" t="s">
        <v>1870</v>
      </c>
      <c r="G730" s="139" t="s">
        <v>402</v>
      </c>
      <c r="H730" s="141">
        <v>150</v>
      </c>
      <c r="I730" s="142"/>
      <c r="J730" s="139">
        <v>5500</v>
      </c>
      <c r="K730" s="140" t="s">
        <v>100</v>
      </c>
      <c r="L730" s="139">
        <v>55</v>
      </c>
      <c r="M730" s="139" t="s">
        <v>2219</v>
      </c>
      <c r="N730" s="140" t="s">
        <v>131</v>
      </c>
      <c r="O730" s="140" t="s">
        <v>549</v>
      </c>
      <c r="P730" s="140" t="s">
        <v>85</v>
      </c>
    </row>
    <row r="731" spans="1:16" x14ac:dyDescent="0.25">
      <c r="A731" s="10" t="s">
        <v>800</v>
      </c>
      <c r="B731" s="10" t="s">
        <v>340</v>
      </c>
      <c r="C731" s="136" t="s">
        <v>2169</v>
      </c>
      <c r="D731" s="136" t="s">
        <v>582</v>
      </c>
      <c r="E731" s="136" t="s">
        <v>74</v>
      </c>
      <c r="F731" s="10" t="s">
        <v>1870</v>
      </c>
      <c r="G731" s="10" t="s">
        <v>403</v>
      </c>
      <c r="H731" s="137">
        <v>50</v>
      </c>
      <c r="I731" s="138"/>
      <c r="J731" s="10">
        <v>5500</v>
      </c>
      <c r="K731" s="136" t="s">
        <v>100</v>
      </c>
      <c r="L731" s="10">
        <v>55</v>
      </c>
      <c r="M731" s="10" t="s">
        <v>2219</v>
      </c>
      <c r="N731" s="136" t="s">
        <v>131</v>
      </c>
      <c r="O731" s="136" t="s">
        <v>549</v>
      </c>
      <c r="P731" s="136" t="s">
        <v>85</v>
      </c>
    </row>
    <row r="732" spans="1:16" x14ac:dyDescent="0.25">
      <c r="A732" s="139" t="s">
        <v>800</v>
      </c>
      <c r="B732" s="139" t="s">
        <v>340</v>
      </c>
      <c r="C732" s="140" t="s">
        <v>2169</v>
      </c>
      <c r="D732" s="140" t="s">
        <v>582</v>
      </c>
      <c r="E732" s="140" t="s">
        <v>74</v>
      </c>
      <c r="F732" s="139" t="s">
        <v>1870</v>
      </c>
      <c r="G732" s="139" t="s">
        <v>404</v>
      </c>
      <c r="H732" s="141">
        <v>350</v>
      </c>
      <c r="I732" s="142"/>
      <c r="J732" s="139">
        <v>5500</v>
      </c>
      <c r="K732" s="140" t="s">
        <v>100</v>
      </c>
      <c r="L732" s="139">
        <v>55</v>
      </c>
      <c r="M732" s="139" t="s">
        <v>2219</v>
      </c>
      <c r="N732" s="140" t="s">
        <v>131</v>
      </c>
      <c r="O732" s="140" t="s">
        <v>549</v>
      </c>
      <c r="P732" s="140" t="s">
        <v>85</v>
      </c>
    </row>
    <row r="733" spans="1:16" x14ac:dyDescent="0.25">
      <c r="A733" s="10" t="s">
        <v>800</v>
      </c>
      <c r="B733" s="10" t="s">
        <v>340</v>
      </c>
      <c r="C733" s="136" t="s">
        <v>2169</v>
      </c>
      <c r="D733" s="136" t="s">
        <v>582</v>
      </c>
      <c r="E733" s="136" t="s">
        <v>74</v>
      </c>
      <c r="F733" s="10" t="s">
        <v>1870</v>
      </c>
      <c r="G733" s="10" t="s">
        <v>405</v>
      </c>
      <c r="H733" s="137">
        <v>200</v>
      </c>
      <c r="I733" s="138"/>
      <c r="J733" s="10">
        <v>5500</v>
      </c>
      <c r="K733" s="136" t="s">
        <v>100</v>
      </c>
      <c r="L733" s="10">
        <v>55</v>
      </c>
      <c r="M733" s="10" t="s">
        <v>2219</v>
      </c>
      <c r="N733" s="136" t="s">
        <v>131</v>
      </c>
      <c r="O733" s="136" t="s">
        <v>549</v>
      </c>
      <c r="P733" s="136" t="s">
        <v>85</v>
      </c>
    </row>
    <row r="734" spans="1:16" x14ac:dyDescent="0.25">
      <c r="A734" s="139" t="s">
        <v>800</v>
      </c>
      <c r="B734" s="139" t="s">
        <v>340</v>
      </c>
      <c r="C734" s="140" t="s">
        <v>2169</v>
      </c>
      <c r="D734" s="140" t="s">
        <v>582</v>
      </c>
      <c r="E734" s="140" t="s">
        <v>74</v>
      </c>
      <c r="F734" s="139" t="s">
        <v>1870</v>
      </c>
      <c r="G734" s="139" t="s">
        <v>406</v>
      </c>
      <c r="H734" s="141">
        <v>150</v>
      </c>
      <c r="I734" s="142"/>
      <c r="J734" s="139">
        <v>5500</v>
      </c>
      <c r="K734" s="140" t="s">
        <v>100</v>
      </c>
      <c r="L734" s="139">
        <v>55</v>
      </c>
      <c r="M734" s="139" t="s">
        <v>2219</v>
      </c>
      <c r="N734" s="140" t="s">
        <v>131</v>
      </c>
      <c r="O734" s="140" t="s">
        <v>549</v>
      </c>
      <c r="P734" s="140" t="s">
        <v>85</v>
      </c>
    </row>
    <row r="735" spans="1:16" x14ac:dyDescent="0.25">
      <c r="A735" s="10" t="s">
        <v>800</v>
      </c>
      <c r="B735" s="10" t="s">
        <v>340</v>
      </c>
      <c r="C735" s="136" t="s">
        <v>2169</v>
      </c>
      <c r="D735" s="136" t="s">
        <v>582</v>
      </c>
      <c r="E735" s="136" t="s">
        <v>74</v>
      </c>
      <c r="F735" s="10" t="s">
        <v>1870</v>
      </c>
      <c r="G735" s="10" t="s">
        <v>407</v>
      </c>
      <c r="H735" s="137">
        <v>250</v>
      </c>
      <c r="I735" s="138"/>
      <c r="J735" s="10">
        <v>5500</v>
      </c>
      <c r="K735" s="136" t="s">
        <v>100</v>
      </c>
      <c r="L735" s="10">
        <v>55</v>
      </c>
      <c r="M735" s="10" t="s">
        <v>2219</v>
      </c>
      <c r="N735" s="136" t="s">
        <v>131</v>
      </c>
      <c r="O735" s="136" t="s">
        <v>549</v>
      </c>
      <c r="P735" s="136" t="s">
        <v>85</v>
      </c>
    </row>
    <row r="736" spans="1:16" x14ac:dyDescent="0.25">
      <c r="A736" s="139" t="s">
        <v>800</v>
      </c>
      <c r="B736" s="139" t="s">
        <v>340</v>
      </c>
      <c r="C736" s="140" t="s">
        <v>2169</v>
      </c>
      <c r="D736" s="140" t="s">
        <v>582</v>
      </c>
      <c r="E736" s="140" t="s">
        <v>74</v>
      </c>
      <c r="F736" s="139" t="s">
        <v>1870</v>
      </c>
      <c r="G736" s="139" t="s">
        <v>408</v>
      </c>
      <c r="H736" s="141">
        <v>50</v>
      </c>
      <c r="I736" s="142"/>
      <c r="J736" s="139">
        <v>5500</v>
      </c>
      <c r="K736" s="140" t="s">
        <v>100</v>
      </c>
      <c r="L736" s="139">
        <v>55</v>
      </c>
      <c r="M736" s="139" t="s">
        <v>2219</v>
      </c>
      <c r="N736" s="140" t="s">
        <v>131</v>
      </c>
      <c r="O736" s="140" t="s">
        <v>549</v>
      </c>
      <c r="P736" s="140" t="s">
        <v>85</v>
      </c>
    </row>
    <row r="737" spans="1:16" x14ac:dyDescent="0.25">
      <c r="A737" s="10" t="s">
        <v>800</v>
      </c>
      <c r="B737" s="10" t="s">
        <v>340</v>
      </c>
      <c r="C737" s="136" t="s">
        <v>2169</v>
      </c>
      <c r="D737" s="136" t="s">
        <v>582</v>
      </c>
      <c r="E737" s="136" t="s">
        <v>74</v>
      </c>
      <c r="F737" s="10" t="s">
        <v>1870</v>
      </c>
      <c r="G737" s="10" t="s">
        <v>1872</v>
      </c>
      <c r="H737" s="137">
        <v>150</v>
      </c>
      <c r="I737" s="138"/>
      <c r="J737" s="10">
        <v>5500</v>
      </c>
      <c r="K737" s="136" t="s">
        <v>100</v>
      </c>
      <c r="L737" s="10">
        <v>55</v>
      </c>
      <c r="M737" s="10" t="s">
        <v>2219</v>
      </c>
      <c r="N737" s="136" t="s">
        <v>131</v>
      </c>
      <c r="O737" s="136" t="s">
        <v>549</v>
      </c>
      <c r="P737" s="136" t="s">
        <v>85</v>
      </c>
    </row>
    <row r="738" spans="1:16" x14ac:dyDescent="0.25">
      <c r="A738" s="139" t="s">
        <v>800</v>
      </c>
      <c r="B738" s="139" t="s">
        <v>340</v>
      </c>
      <c r="C738" s="140" t="s">
        <v>2169</v>
      </c>
      <c r="D738" s="140" t="s">
        <v>582</v>
      </c>
      <c r="E738" s="140" t="s">
        <v>74</v>
      </c>
      <c r="F738" s="139" t="s">
        <v>1870</v>
      </c>
      <c r="G738" s="139" t="s">
        <v>1521</v>
      </c>
      <c r="H738" s="141">
        <v>415.44000000000005</v>
      </c>
      <c r="I738" s="142"/>
      <c r="J738" s="139">
        <v>5504</v>
      </c>
      <c r="K738" s="140" t="s">
        <v>102</v>
      </c>
      <c r="L738" s="139">
        <v>55</v>
      </c>
      <c r="M738" s="139" t="s">
        <v>2219</v>
      </c>
      <c r="N738" s="140" t="s">
        <v>131</v>
      </c>
      <c r="O738" s="140" t="s">
        <v>549</v>
      </c>
      <c r="P738" s="140" t="s">
        <v>85</v>
      </c>
    </row>
    <row r="739" spans="1:16" x14ac:dyDescent="0.25">
      <c r="A739" s="10" t="s">
        <v>800</v>
      </c>
      <c r="B739" s="10" t="s">
        <v>340</v>
      </c>
      <c r="C739" s="136" t="s">
        <v>2169</v>
      </c>
      <c r="D739" s="136" t="s">
        <v>582</v>
      </c>
      <c r="E739" s="136" t="s">
        <v>74</v>
      </c>
      <c r="F739" s="10" t="s">
        <v>1870</v>
      </c>
      <c r="G739" s="10" t="s">
        <v>417</v>
      </c>
      <c r="H739" s="137">
        <v>2600</v>
      </c>
      <c r="I739" s="138"/>
      <c r="J739" s="10">
        <v>5513</v>
      </c>
      <c r="K739" s="136" t="s">
        <v>111</v>
      </c>
      <c r="L739" s="10">
        <v>55</v>
      </c>
      <c r="M739" s="10" t="s">
        <v>2219</v>
      </c>
      <c r="N739" s="136" t="s">
        <v>131</v>
      </c>
      <c r="O739" s="136" t="s">
        <v>549</v>
      </c>
      <c r="P739" s="136" t="s">
        <v>85</v>
      </c>
    </row>
    <row r="740" spans="1:16" x14ac:dyDescent="0.25">
      <c r="A740" s="139" t="s">
        <v>800</v>
      </c>
      <c r="B740" s="139" t="s">
        <v>340</v>
      </c>
      <c r="C740" s="140" t="s">
        <v>2169</v>
      </c>
      <c r="D740" s="140" t="s">
        <v>582</v>
      </c>
      <c r="E740" s="140" t="s">
        <v>74</v>
      </c>
      <c r="F740" s="139" t="s">
        <v>1870</v>
      </c>
      <c r="G740" s="139" t="s">
        <v>418</v>
      </c>
      <c r="H740" s="141">
        <v>3500</v>
      </c>
      <c r="I740" s="142"/>
      <c r="J740" s="139">
        <v>5513</v>
      </c>
      <c r="K740" s="140" t="s">
        <v>111</v>
      </c>
      <c r="L740" s="139">
        <v>55</v>
      </c>
      <c r="M740" s="139" t="s">
        <v>2219</v>
      </c>
      <c r="N740" s="140" t="s">
        <v>131</v>
      </c>
      <c r="O740" s="140" t="s">
        <v>549</v>
      </c>
      <c r="P740" s="140" t="s">
        <v>85</v>
      </c>
    </row>
    <row r="741" spans="1:16" x14ac:dyDescent="0.25">
      <c r="A741" s="10" t="s">
        <v>800</v>
      </c>
      <c r="B741" s="10" t="s">
        <v>340</v>
      </c>
      <c r="C741" s="136" t="s">
        <v>2169</v>
      </c>
      <c r="D741" s="136" t="s">
        <v>582</v>
      </c>
      <c r="E741" s="136" t="s">
        <v>74</v>
      </c>
      <c r="F741" s="10" t="s">
        <v>1870</v>
      </c>
      <c r="G741" s="10" t="s">
        <v>423</v>
      </c>
      <c r="H741" s="137">
        <v>3000</v>
      </c>
      <c r="I741" s="138"/>
      <c r="J741" s="10">
        <v>5515</v>
      </c>
      <c r="K741" s="136" t="s">
        <v>112</v>
      </c>
      <c r="L741" s="10">
        <v>55</v>
      </c>
      <c r="M741" s="10" t="s">
        <v>2219</v>
      </c>
      <c r="N741" s="136" t="s">
        <v>131</v>
      </c>
      <c r="O741" s="136" t="s">
        <v>549</v>
      </c>
      <c r="P741" s="136" t="s">
        <v>85</v>
      </c>
    </row>
    <row r="742" spans="1:16" x14ac:dyDescent="0.25">
      <c r="A742" s="139" t="s">
        <v>800</v>
      </c>
      <c r="B742" s="139" t="s">
        <v>340</v>
      </c>
      <c r="C742" s="140" t="s">
        <v>2169</v>
      </c>
      <c r="D742" s="140" t="s">
        <v>582</v>
      </c>
      <c r="E742" s="140" t="s">
        <v>74</v>
      </c>
      <c r="F742" s="139" t="s">
        <v>1870</v>
      </c>
      <c r="G742" s="139" t="s">
        <v>1874</v>
      </c>
      <c r="H742" s="141">
        <v>500</v>
      </c>
      <c r="I742" s="142"/>
      <c r="J742" s="139">
        <v>5515</v>
      </c>
      <c r="K742" s="140" t="s">
        <v>112</v>
      </c>
      <c r="L742" s="139">
        <v>55</v>
      </c>
      <c r="M742" s="139" t="s">
        <v>2219</v>
      </c>
      <c r="N742" s="140" t="s">
        <v>131</v>
      </c>
      <c r="O742" s="140" t="s">
        <v>549</v>
      </c>
      <c r="P742" s="140" t="s">
        <v>85</v>
      </c>
    </row>
    <row r="743" spans="1:16" x14ac:dyDescent="0.25">
      <c r="A743" s="10" t="s">
        <v>800</v>
      </c>
      <c r="B743" s="10" t="s">
        <v>340</v>
      </c>
      <c r="C743" s="136" t="s">
        <v>2169</v>
      </c>
      <c r="D743" s="136" t="s">
        <v>582</v>
      </c>
      <c r="E743" s="136" t="s">
        <v>74</v>
      </c>
      <c r="F743" s="10" t="s">
        <v>1870</v>
      </c>
      <c r="G743" s="10" t="s">
        <v>1863</v>
      </c>
      <c r="H743" s="137">
        <v>13965</v>
      </c>
      <c r="I743" s="138" t="s">
        <v>2203</v>
      </c>
      <c r="J743" s="10">
        <v>5521</v>
      </c>
      <c r="K743" s="136" t="s">
        <v>114</v>
      </c>
      <c r="L743" s="10">
        <v>55</v>
      </c>
      <c r="M743" s="10" t="s">
        <v>2219</v>
      </c>
      <c r="N743" s="136" t="s">
        <v>131</v>
      </c>
      <c r="O743" s="136" t="s">
        <v>549</v>
      </c>
      <c r="P743" s="136" t="s">
        <v>85</v>
      </c>
    </row>
    <row r="744" spans="1:16" x14ac:dyDescent="0.25">
      <c r="A744" s="139" t="s">
        <v>800</v>
      </c>
      <c r="B744" s="139" t="s">
        <v>340</v>
      </c>
      <c r="C744" s="140" t="s">
        <v>2169</v>
      </c>
      <c r="D744" s="140" t="s">
        <v>582</v>
      </c>
      <c r="E744" s="140" t="s">
        <v>74</v>
      </c>
      <c r="F744" s="139" t="s">
        <v>1870</v>
      </c>
      <c r="G744" s="139" t="s">
        <v>424</v>
      </c>
      <c r="H744" s="141">
        <v>100</v>
      </c>
      <c r="I744" s="142"/>
      <c r="J744" s="139">
        <v>5522</v>
      </c>
      <c r="K744" s="140" t="s">
        <v>115</v>
      </c>
      <c r="L744" s="139">
        <v>55</v>
      </c>
      <c r="M744" s="139" t="s">
        <v>2219</v>
      </c>
      <c r="N744" s="140" t="s">
        <v>131</v>
      </c>
      <c r="O744" s="140" t="s">
        <v>549</v>
      </c>
      <c r="P744" s="140" t="s">
        <v>85</v>
      </c>
    </row>
    <row r="745" spans="1:16" x14ac:dyDescent="0.25">
      <c r="A745" s="10" t="s">
        <v>800</v>
      </c>
      <c r="B745" s="10" t="s">
        <v>340</v>
      </c>
      <c r="C745" s="136" t="s">
        <v>2169</v>
      </c>
      <c r="D745" s="136" t="s">
        <v>582</v>
      </c>
      <c r="E745" s="136" t="s">
        <v>74</v>
      </c>
      <c r="F745" s="10" t="s">
        <v>1870</v>
      </c>
      <c r="G745" s="10" t="s">
        <v>425</v>
      </c>
      <c r="H745" s="137">
        <v>600</v>
      </c>
      <c r="I745" s="138"/>
      <c r="J745" s="10">
        <v>5522</v>
      </c>
      <c r="K745" s="136" t="s">
        <v>115</v>
      </c>
      <c r="L745" s="10">
        <v>55</v>
      </c>
      <c r="M745" s="10" t="s">
        <v>2219</v>
      </c>
      <c r="N745" s="136" t="s">
        <v>131</v>
      </c>
      <c r="O745" s="136" t="s">
        <v>549</v>
      </c>
      <c r="P745" s="136" t="s">
        <v>85</v>
      </c>
    </row>
    <row r="746" spans="1:16" x14ac:dyDescent="0.25">
      <c r="A746" s="139" t="s">
        <v>800</v>
      </c>
      <c r="B746" s="139" t="s">
        <v>340</v>
      </c>
      <c r="C746" s="140" t="s">
        <v>2169</v>
      </c>
      <c r="D746" s="140" t="s">
        <v>582</v>
      </c>
      <c r="E746" s="140" t="s">
        <v>74</v>
      </c>
      <c r="F746" s="139" t="s">
        <v>1870</v>
      </c>
      <c r="G746" s="139" t="s">
        <v>426</v>
      </c>
      <c r="H746" s="141">
        <v>50</v>
      </c>
      <c r="I746" s="142"/>
      <c r="J746" s="139">
        <v>5522</v>
      </c>
      <c r="K746" s="140" t="s">
        <v>115</v>
      </c>
      <c r="L746" s="139">
        <v>55</v>
      </c>
      <c r="M746" s="139" t="s">
        <v>2219</v>
      </c>
      <c r="N746" s="140" t="s">
        <v>131</v>
      </c>
      <c r="O746" s="140" t="s">
        <v>549</v>
      </c>
      <c r="P746" s="140" t="s">
        <v>85</v>
      </c>
    </row>
    <row r="747" spans="1:16" x14ac:dyDescent="0.25">
      <c r="A747" s="10" t="s">
        <v>800</v>
      </c>
      <c r="B747" s="10" t="s">
        <v>340</v>
      </c>
      <c r="C747" s="136" t="s">
        <v>2169</v>
      </c>
      <c r="D747" s="136" t="s">
        <v>582</v>
      </c>
      <c r="E747" s="136" t="s">
        <v>74</v>
      </c>
      <c r="F747" s="10" t="s">
        <v>1870</v>
      </c>
      <c r="G747" s="10" t="s">
        <v>427</v>
      </c>
      <c r="H747" s="137">
        <v>300</v>
      </c>
      <c r="I747" s="138"/>
      <c r="J747" s="10">
        <v>5522</v>
      </c>
      <c r="K747" s="136" t="s">
        <v>115</v>
      </c>
      <c r="L747" s="10">
        <v>55</v>
      </c>
      <c r="M747" s="10" t="s">
        <v>2219</v>
      </c>
      <c r="N747" s="136" t="s">
        <v>131</v>
      </c>
      <c r="O747" s="136" t="s">
        <v>549</v>
      </c>
      <c r="P747" s="136" t="s">
        <v>85</v>
      </c>
    </row>
    <row r="748" spans="1:16" x14ac:dyDescent="0.25">
      <c r="A748" s="139" t="s">
        <v>800</v>
      </c>
      <c r="B748" s="139" t="s">
        <v>340</v>
      </c>
      <c r="C748" s="140" t="s">
        <v>2169</v>
      </c>
      <c r="D748" s="140" t="s">
        <v>582</v>
      </c>
      <c r="E748" s="140" t="s">
        <v>74</v>
      </c>
      <c r="F748" s="139" t="s">
        <v>1870</v>
      </c>
      <c r="G748" s="139" t="s">
        <v>428</v>
      </c>
      <c r="H748" s="141">
        <v>2788.58</v>
      </c>
      <c r="I748" s="142"/>
      <c r="J748" s="139">
        <v>5524</v>
      </c>
      <c r="K748" s="140" t="s">
        <v>117</v>
      </c>
      <c r="L748" s="139">
        <v>55</v>
      </c>
      <c r="M748" s="139" t="s">
        <v>2219</v>
      </c>
      <c r="N748" s="140" t="s">
        <v>131</v>
      </c>
      <c r="O748" s="140" t="s">
        <v>549</v>
      </c>
      <c r="P748" s="140" t="s">
        <v>85</v>
      </c>
    </row>
    <row r="749" spans="1:16" x14ac:dyDescent="0.25">
      <c r="A749" s="10" t="s">
        <v>800</v>
      </c>
      <c r="B749" s="10" t="s">
        <v>340</v>
      </c>
      <c r="C749" s="136" t="s">
        <v>2169</v>
      </c>
      <c r="D749" s="136" t="s">
        <v>582</v>
      </c>
      <c r="E749" s="136" t="s">
        <v>74</v>
      </c>
      <c r="F749" s="10" t="s">
        <v>1870</v>
      </c>
      <c r="G749" s="10" t="s">
        <v>429</v>
      </c>
      <c r="H749" s="137">
        <v>1400</v>
      </c>
      <c r="I749" s="138"/>
      <c r="J749" s="10">
        <v>5524</v>
      </c>
      <c r="K749" s="136" t="s">
        <v>117</v>
      </c>
      <c r="L749" s="10">
        <v>55</v>
      </c>
      <c r="M749" s="10" t="s">
        <v>2219</v>
      </c>
      <c r="N749" s="136" t="s">
        <v>131</v>
      </c>
      <c r="O749" s="136" t="s">
        <v>549</v>
      </c>
      <c r="P749" s="136" t="s">
        <v>85</v>
      </c>
    </row>
    <row r="750" spans="1:16" x14ac:dyDescent="0.25">
      <c r="A750" s="139" t="s">
        <v>800</v>
      </c>
      <c r="B750" s="139" t="s">
        <v>340</v>
      </c>
      <c r="C750" s="140" t="s">
        <v>2169</v>
      </c>
      <c r="D750" s="140" t="s">
        <v>582</v>
      </c>
      <c r="E750" s="140" t="s">
        <v>74</v>
      </c>
      <c r="F750" s="139" t="s">
        <v>1870</v>
      </c>
      <c r="G750" s="139" t="s">
        <v>430</v>
      </c>
      <c r="H750" s="141">
        <v>0</v>
      </c>
      <c r="I750" s="142"/>
      <c r="J750" s="139">
        <v>5524</v>
      </c>
      <c r="K750" s="140" t="s">
        <v>117</v>
      </c>
      <c r="L750" s="139">
        <v>55</v>
      </c>
      <c r="M750" s="139" t="s">
        <v>2219</v>
      </c>
      <c r="N750" s="140" t="s">
        <v>131</v>
      </c>
      <c r="O750" s="140" t="s">
        <v>549</v>
      </c>
      <c r="P750" s="140" t="s">
        <v>85</v>
      </c>
    </row>
    <row r="751" spans="1:16" x14ac:dyDescent="0.25">
      <c r="A751" s="10" t="s">
        <v>800</v>
      </c>
      <c r="B751" s="10" t="s">
        <v>340</v>
      </c>
      <c r="C751" s="136" t="s">
        <v>2169</v>
      </c>
      <c r="D751" s="136" t="s">
        <v>582</v>
      </c>
      <c r="E751" s="136" t="s">
        <v>74</v>
      </c>
      <c r="F751" s="10" t="s">
        <v>1870</v>
      </c>
      <c r="G751" s="10" t="s">
        <v>431</v>
      </c>
      <c r="H751" s="137">
        <v>600</v>
      </c>
      <c r="I751" s="138"/>
      <c r="J751" s="10">
        <v>5524</v>
      </c>
      <c r="K751" s="136" t="s">
        <v>117</v>
      </c>
      <c r="L751" s="10">
        <v>55</v>
      </c>
      <c r="M751" s="10" t="s">
        <v>2219</v>
      </c>
      <c r="N751" s="136" t="s">
        <v>131</v>
      </c>
      <c r="O751" s="136" t="s">
        <v>549</v>
      </c>
      <c r="P751" s="136" t="s">
        <v>85</v>
      </c>
    </row>
    <row r="752" spans="1:16" x14ac:dyDescent="0.25">
      <c r="A752" s="139" t="s">
        <v>800</v>
      </c>
      <c r="B752" s="139" t="s">
        <v>340</v>
      </c>
      <c r="C752" s="140" t="s">
        <v>2169</v>
      </c>
      <c r="D752" s="140" t="s">
        <v>582</v>
      </c>
      <c r="E752" s="140" t="s">
        <v>74</v>
      </c>
      <c r="F752" s="139" t="s">
        <v>1870</v>
      </c>
      <c r="G752" s="139" t="s">
        <v>432</v>
      </c>
      <c r="H752" s="141">
        <v>4000</v>
      </c>
      <c r="I752" s="142"/>
      <c r="J752" s="139">
        <v>5524</v>
      </c>
      <c r="K752" s="140" t="s">
        <v>117</v>
      </c>
      <c r="L752" s="139">
        <v>55</v>
      </c>
      <c r="M752" s="139" t="s">
        <v>2219</v>
      </c>
      <c r="N752" s="140" t="s">
        <v>131</v>
      </c>
      <c r="O752" s="140" t="s">
        <v>549</v>
      </c>
      <c r="P752" s="140" t="s">
        <v>85</v>
      </c>
    </row>
    <row r="753" spans="1:16" x14ac:dyDescent="0.25">
      <c r="A753" s="10" t="s">
        <v>800</v>
      </c>
      <c r="B753" s="10" t="s">
        <v>340</v>
      </c>
      <c r="C753" s="136" t="s">
        <v>2169</v>
      </c>
      <c r="D753" s="136" t="s">
        <v>582</v>
      </c>
      <c r="E753" s="136" t="s">
        <v>74</v>
      </c>
      <c r="F753" s="10" t="s">
        <v>1870</v>
      </c>
      <c r="G753" s="10" t="s">
        <v>1893</v>
      </c>
      <c r="H753" s="137">
        <v>900</v>
      </c>
      <c r="I753" s="138"/>
      <c r="J753" s="10">
        <v>5524</v>
      </c>
      <c r="K753" s="136" t="s">
        <v>117</v>
      </c>
      <c r="L753" s="10">
        <v>55</v>
      </c>
      <c r="M753" s="10" t="s">
        <v>2219</v>
      </c>
      <c r="N753" s="136" t="s">
        <v>131</v>
      </c>
      <c r="O753" s="136" t="s">
        <v>549</v>
      </c>
      <c r="P753" s="136" t="s">
        <v>85</v>
      </c>
    </row>
    <row r="754" spans="1:16" x14ac:dyDescent="0.25">
      <c r="A754" s="139" t="s">
        <v>800</v>
      </c>
      <c r="B754" s="139" t="s">
        <v>340</v>
      </c>
      <c r="C754" s="140" t="s">
        <v>2169</v>
      </c>
      <c r="D754" s="140" t="s">
        <v>582</v>
      </c>
      <c r="E754" s="140" t="s">
        <v>74</v>
      </c>
      <c r="F754" s="139" t="s">
        <v>1870</v>
      </c>
      <c r="G754" s="139" t="s">
        <v>433</v>
      </c>
      <c r="H754" s="141">
        <v>150</v>
      </c>
      <c r="I754" s="142"/>
      <c r="J754" s="139">
        <v>5525</v>
      </c>
      <c r="K754" s="140" t="s">
        <v>118</v>
      </c>
      <c r="L754" s="139">
        <v>55</v>
      </c>
      <c r="M754" s="139" t="s">
        <v>2219</v>
      </c>
      <c r="N754" s="140" t="s">
        <v>131</v>
      </c>
      <c r="O754" s="140" t="s">
        <v>549</v>
      </c>
      <c r="P754" s="140" t="s">
        <v>85</v>
      </c>
    </row>
    <row r="755" spans="1:16" x14ac:dyDescent="0.25">
      <c r="A755" s="10" t="s">
        <v>800</v>
      </c>
      <c r="B755" s="10" t="s">
        <v>340</v>
      </c>
      <c r="C755" s="136" t="s">
        <v>2169</v>
      </c>
      <c r="D755" s="136" t="s">
        <v>582</v>
      </c>
      <c r="E755" s="136" t="s">
        <v>74</v>
      </c>
      <c r="F755" s="10" t="s">
        <v>1870</v>
      </c>
      <c r="G755" s="10" t="s">
        <v>434</v>
      </c>
      <c r="H755" s="137">
        <v>100</v>
      </c>
      <c r="I755" s="138"/>
      <c r="J755" s="10">
        <v>5525</v>
      </c>
      <c r="K755" s="136" t="s">
        <v>118</v>
      </c>
      <c r="L755" s="10">
        <v>55</v>
      </c>
      <c r="M755" s="10" t="s">
        <v>2219</v>
      </c>
      <c r="N755" s="136" t="s">
        <v>131</v>
      </c>
      <c r="O755" s="136" t="s">
        <v>549</v>
      </c>
      <c r="P755" s="136" t="s">
        <v>85</v>
      </c>
    </row>
    <row r="756" spans="1:16" x14ac:dyDescent="0.25">
      <c r="A756" s="139" t="s">
        <v>800</v>
      </c>
      <c r="B756" s="139" t="s">
        <v>340</v>
      </c>
      <c r="C756" s="140" t="s">
        <v>2169</v>
      </c>
      <c r="D756" s="140" t="s">
        <v>582</v>
      </c>
      <c r="E756" s="140" t="s">
        <v>74</v>
      </c>
      <c r="F756" s="139" t="s">
        <v>1870</v>
      </c>
      <c r="G756" s="139" t="s">
        <v>435</v>
      </c>
      <c r="H756" s="141">
        <v>3000</v>
      </c>
      <c r="I756" s="142"/>
      <c r="J756" s="139">
        <v>5525</v>
      </c>
      <c r="K756" s="140" t="s">
        <v>118</v>
      </c>
      <c r="L756" s="139">
        <v>55</v>
      </c>
      <c r="M756" s="139" t="s">
        <v>2219</v>
      </c>
      <c r="N756" s="140" t="s">
        <v>131</v>
      </c>
      <c r="O756" s="140" t="s">
        <v>549</v>
      </c>
      <c r="P756" s="140" t="s">
        <v>85</v>
      </c>
    </row>
    <row r="757" spans="1:16" x14ac:dyDescent="0.25">
      <c r="A757" s="10" t="s">
        <v>800</v>
      </c>
      <c r="B757" s="10" t="s">
        <v>340</v>
      </c>
      <c r="C757" s="136" t="s">
        <v>2169</v>
      </c>
      <c r="D757" s="136" t="s">
        <v>582</v>
      </c>
      <c r="E757" s="136" t="s">
        <v>74</v>
      </c>
      <c r="F757" s="10" t="s">
        <v>1870</v>
      </c>
      <c r="G757" s="10" t="s">
        <v>1894</v>
      </c>
      <c r="H757" s="137">
        <v>2000</v>
      </c>
      <c r="I757" s="138"/>
      <c r="J757" s="10">
        <v>5525</v>
      </c>
      <c r="K757" s="136" t="s">
        <v>118</v>
      </c>
      <c r="L757" s="10">
        <v>55</v>
      </c>
      <c r="M757" s="10" t="s">
        <v>2219</v>
      </c>
      <c r="N757" s="136" t="s">
        <v>131</v>
      </c>
      <c r="O757" s="136" t="s">
        <v>549</v>
      </c>
      <c r="P757" s="136" t="s">
        <v>85</v>
      </c>
    </row>
    <row r="758" spans="1:16" x14ac:dyDescent="0.25">
      <c r="A758" s="139" t="s">
        <v>800</v>
      </c>
      <c r="B758" s="139" t="s">
        <v>340</v>
      </c>
      <c r="C758" s="140" t="s">
        <v>2169</v>
      </c>
      <c r="D758" s="140" t="s">
        <v>582</v>
      </c>
      <c r="E758" s="140" t="s">
        <v>74</v>
      </c>
      <c r="F758" s="139" t="s">
        <v>1870</v>
      </c>
      <c r="G758" s="139" t="s">
        <v>419</v>
      </c>
      <c r="H758" s="141">
        <v>1000</v>
      </c>
      <c r="I758" s="142"/>
      <c r="J758" s="139">
        <v>5514</v>
      </c>
      <c r="K758" s="140" t="s">
        <v>110</v>
      </c>
      <c r="L758" s="139">
        <v>55</v>
      </c>
      <c r="M758" s="139" t="s">
        <v>2219</v>
      </c>
      <c r="N758" s="140" t="s">
        <v>131</v>
      </c>
      <c r="O758" s="140" t="s">
        <v>549</v>
      </c>
      <c r="P758" s="140" t="s">
        <v>85</v>
      </c>
    </row>
    <row r="759" spans="1:16" x14ac:dyDescent="0.25">
      <c r="A759" s="10" t="s">
        <v>800</v>
      </c>
      <c r="B759" s="10" t="s">
        <v>340</v>
      </c>
      <c r="C759" s="136" t="s">
        <v>2169</v>
      </c>
      <c r="D759" s="136" t="s">
        <v>582</v>
      </c>
      <c r="E759" s="136" t="s">
        <v>74</v>
      </c>
      <c r="F759" s="10" t="s">
        <v>1870</v>
      </c>
      <c r="G759" s="10" t="s">
        <v>420</v>
      </c>
      <c r="H759" s="137">
        <v>500</v>
      </c>
      <c r="I759" s="138"/>
      <c r="J759" s="10">
        <v>5514</v>
      </c>
      <c r="K759" s="136" t="s">
        <v>110</v>
      </c>
      <c r="L759" s="10">
        <v>55</v>
      </c>
      <c r="M759" s="10" t="s">
        <v>2219</v>
      </c>
      <c r="N759" s="136" t="s">
        <v>131</v>
      </c>
      <c r="O759" s="136" t="s">
        <v>549</v>
      </c>
      <c r="P759" s="136" t="s">
        <v>85</v>
      </c>
    </row>
    <row r="760" spans="1:16" x14ac:dyDescent="0.25">
      <c r="A760" s="139" t="s">
        <v>800</v>
      </c>
      <c r="B760" s="139" t="s">
        <v>340</v>
      </c>
      <c r="C760" s="140" t="s">
        <v>2169</v>
      </c>
      <c r="D760" s="140" t="s">
        <v>582</v>
      </c>
      <c r="E760" s="140" t="s">
        <v>74</v>
      </c>
      <c r="F760" s="139" t="s">
        <v>1870</v>
      </c>
      <c r="G760" s="139" t="s">
        <v>421</v>
      </c>
      <c r="H760" s="141">
        <v>600</v>
      </c>
      <c r="I760" s="142"/>
      <c r="J760" s="139">
        <v>5514</v>
      </c>
      <c r="K760" s="140" t="s">
        <v>110</v>
      </c>
      <c r="L760" s="139">
        <v>55</v>
      </c>
      <c r="M760" s="139" t="s">
        <v>2219</v>
      </c>
      <c r="N760" s="140" t="s">
        <v>131</v>
      </c>
      <c r="O760" s="140" t="s">
        <v>549</v>
      </c>
      <c r="P760" s="140" t="s">
        <v>85</v>
      </c>
    </row>
    <row r="761" spans="1:16" x14ac:dyDescent="0.25">
      <c r="A761" s="10" t="s">
        <v>800</v>
      </c>
      <c r="B761" s="10" t="s">
        <v>340</v>
      </c>
      <c r="C761" s="136" t="s">
        <v>2169</v>
      </c>
      <c r="D761" s="136" t="s">
        <v>582</v>
      </c>
      <c r="E761" s="136" t="s">
        <v>74</v>
      </c>
      <c r="F761" s="10" t="s">
        <v>1870</v>
      </c>
      <c r="G761" s="10" t="s">
        <v>199</v>
      </c>
      <c r="H761" s="137">
        <v>300</v>
      </c>
      <c r="I761" s="138"/>
      <c r="J761" s="10">
        <v>5514</v>
      </c>
      <c r="K761" s="136" t="s">
        <v>110</v>
      </c>
      <c r="L761" s="10">
        <v>55</v>
      </c>
      <c r="M761" s="10" t="s">
        <v>2219</v>
      </c>
      <c r="N761" s="136" t="s">
        <v>131</v>
      </c>
      <c r="O761" s="136" t="s">
        <v>549</v>
      </c>
      <c r="P761" s="136" t="s">
        <v>85</v>
      </c>
    </row>
    <row r="762" spans="1:16" x14ac:dyDescent="0.25">
      <c r="A762" s="139" t="s">
        <v>800</v>
      </c>
      <c r="B762" s="139" t="s">
        <v>340</v>
      </c>
      <c r="C762" s="140" t="s">
        <v>2169</v>
      </c>
      <c r="D762" s="140" t="s">
        <v>582</v>
      </c>
      <c r="E762" s="140" t="s">
        <v>74</v>
      </c>
      <c r="F762" s="139" t="s">
        <v>1870</v>
      </c>
      <c r="G762" s="139" t="s">
        <v>2199</v>
      </c>
      <c r="H762" s="141">
        <v>1384.56</v>
      </c>
      <c r="I762" s="142" t="s">
        <v>2203</v>
      </c>
      <c r="J762" s="139">
        <v>5504</v>
      </c>
      <c r="K762" s="140" t="s">
        <v>102</v>
      </c>
      <c r="L762" s="139">
        <v>55</v>
      </c>
      <c r="M762" s="139" t="s">
        <v>2219</v>
      </c>
      <c r="N762" s="140" t="s">
        <v>131</v>
      </c>
      <c r="O762" s="140" t="s">
        <v>549</v>
      </c>
      <c r="P762" s="140" t="s">
        <v>85</v>
      </c>
    </row>
    <row r="763" spans="1:16" x14ac:dyDescent="0.25">
      <c r="A763" s="10" t="s">
        <v>800</v>
      </c>
      <c r="B763" s="10" t="s">
        <v>340</v>
      </c>
      <c r="C763" s="136" t="s">
        <v>2169</v>
      </c>
      <c r="D763" s="136" t="s">
        <v>582</v>
      </c>
      <c r="E763" s="136" t="s">
        <v>74</v>
      </c>
      <c r="F763" s="10" t="s">
        <v>1870</v>
      </c>
      <c r="G763" s="10" t="s">
        <v>2200</v>
      </c>
      <c r="H763" s="137">
        <v>4311.42</v>
      </c>
      <c r="I763" s="138" t="s">
        <v>2203</v>
      </c>
      <c r="J763" s="10">
        <v>5524</v>
      </c>
      <c r="K763" s="136" t="s">
        <v>117</v>
      </c>
      <c r="L763" s="10">
        <v>55</v>
      </c>
      <c r="M763" s="10" t="s">
        <v>2219</v>
      </c>
      <c r="N763" s="136" t="s">
        <v>131</v>
      </c>
      <c r="O763" s="136" t="s">
        <v>549</v>
      </c>
      <c r="P763" s="136" t="s">
        <v>85</v>
      </c>
    </row>
    <row r="764" spans="1:16" x14ac:dyDescent="0.25">
      <c r="A764" s="139" t="s">
        <v>800</v>
      </c>
      <c r="B764" s="139" t="s">
        <v>341</v>
      </c>
      <c r="C764" s="140" t="s">
        <v>2170</v>
      </c>
      <c r="D764" s="140" t="s">
        <v>582</v>
      </c>
      <c r="E764" s="140" t="s">
        <v>74</v>
      </c>
      <c r="F764" s="139" t="s">
        <v>1870</v>
      </c>
      <c r="G764" s="139" t="s">
        <v>177</v>
      </c>
      <c r="H764" s="141">
        <v>27000</v>
      </c>
      <c r="I764" s="142"/>
      <c r="J764" s="139">
        <v>5511</v>
      </c>
      <c r="K764" s="140" t="s">
        <v>106</v>
      </c>
      <c r="L764" s="139">
        <v>55</v>
      </c>
      <c r="M764" s="139" t="s">
        <v>2219</v>
      </c>
      <c r="N764" s="140" t="s">
        <v>131</v>
      </c>
      <c r="O764" s="140" t="s">
        <v>549</v>
      </c>
      <c r="P764" s="140" t="s">
        <v>85</v>
      </c>
    </row>
    <row r="765" spans="1:16" x14ac:dyDescent="0.25">
      <c r="A765" s="10" t="s">
        <v>800</v>
      </c>
      <c r="B765" s="10" t="s">
        <v>341</v>
      </c>
      <c r="C765" s="136" t="s">
        <v>2170</v>
      </c>
      <c r="D765" s="136" t="s">
        <v>582</v>
      </c>
      <c r="E765" s="136" t="s">
        <v>74</v>
      </c>
      <c r="F765" s="10" t="s">
        <v>1870</v>
      </c>
      <c r="G765" s="10" t="s">
        <v>178</v>
      </c>
      <c r="H765" s="137">
        <v>5300</v>
      </c>
      <c r="I765" s="138"/>
      <c r="J765" s="10">
        <v>5511</v>
      </c>
      <c r="K765" s="136" t="s">
        <v>106</v>
      </c>
      <c r="L765" s="10">
        <v>55</v>
      </c>
      <c r="M765" s="10" t="s">
        <v>2219</v>
      </c>
      <c r="N765" s="136" t="s">
        <v>131</v>
      </c>
      <c r="O765" s="136" t="s">
        <v>549</v>
      </c>
      <c r="P765" s="136" t="s">
        <v>85</v>
      </c>
    </row>
    <row r="766" spans="1:16" x14ac:dyDescent="0.25">
      <c r="A766" s="139" t="s">
        <v>800</v>
      </c>
      <c r="B766" s="139" t="s">
        <v>341</v>
      </c>
      <c r="C766" s="140" t="s">
        <v>2170</v>
      </c>
      <c r="D766" s="140" t="s">
        <v>582</v>
      </c>
      <c r="E766" s="140" t="s">
        <v>74</v>
      </c>
      <c r="F766" s="139" t="s">
        <v>1870</v>
      </c>
      <c r="G766" s="139" t="s">
        <v>410</v>
      </c>
      <c r="H766" s="141">
        <v>400</v>
      </c>
      <c r="I766" s="142"/>
      <c r="J766" s="139">
        <v>5511</v>
      </c>
      <c r="K766" s="140" t="s">
        <v>106</v>
      </c>
      <c r="L766" s="139">
        <v>55</v>
      </c>
      <c r="M766" s="139" t="s">
        <v>2219</v>
      </c>
      <c r="N766" s="140" t="s">
        <v>131</v>
      </c>
      <c r="O766" s="140" t="s">
        <v>549</v>
      </c>
      <c r="P766" s="140" t="s">
        <v>85</v>
      </c>
    </row>
    <row r="767" spans="1:16" x14ac:dyDescent="0.25">
      <c r="A767" s="10" t="s">
        <v>800</v>
      </c>
      <c r="B767" s="10" t="s">
        <v>341</v>
      </c>
      <c r="C767" s="136" t="s">
        <v>2170</v>
      </c>
      <c r="D767" s="136" t="s">
        <v>582</v>
      </c>
      <c r="E767" s="136" t="s">
        <v>74</v>
      </c>
      <c r="F767" s="10" t="s">
        <v>1870</v>
      </c>
      <c r="G767" s="10" t="s">
        <v>411</v>
      </c>
      <c r="H767" s="137">
        <v>2000</v>
      </c>
      <c r="I767" s="138"/>
      <c r="J767" s="10">
        <v>5511</v>
      </c>
      <c r="K767" s="136" t="s">
        <v>106</v>
      </c>
      <c r="L767" s="10">
        <v>55</v>
      </c>
      <c r="M767" s="10" t="s">
        <v>2219</v>
      </c>
      <c r="N767" s="136" t="s">
        <v>131</v>
      </c>
      <c r="O767" s="136" t="s">
        <v>549</v>
      </c>
      <c r="P767" s="136" t="s">
        <v>85</v>
      </c>
    </row>
    <row r="768" spans="1:16" x14ac:dyDescent="0.25">
      <c r="A768" s="139" t="s">
        <v>800</v>
      </c>
      <c r="B768" s="139" t="s">
        <v>341</v>
      </c>
      <c r="C768" s="140" t="s">
        <v>2170</v>
      </c>
      <c r="D768" s="140" t="s">
        <v>582</v>
      </c>
      <c r="E768" s="140" t="s">
        <v>74</v>
      </c>
      <c r="F768" s="139" t="s">
        <v>1870</v>
      </c>
      <c r="G768" s="139" t="s">
        <v>180</v>
      </c>
      <c r="H768" s="141">
        <v>500</v>
      </c>
      <c r="I768" s="142"/>
      <c r="J768" s="139">
        <v>5511</v>
      </c>
      <c r="K768" s="140" t="s">
        <v>106</v>
      </c>
      <c r="L768" s="139">
        <v>55</v>
      </c>
      <c r="M768" s="139" t="s">
        <v>2219</v>
      </c>
      <c r="N768" s="140" t="s">
        <v>131</v>
      </c>
      <c r="O768" s="140" t="s">
        <v>549</v>
      </c>
      <c r="P768" s="140" t="s">
        <v>85</v>
      </c>
    </row>
    <row r="769" spans="1:16" x14ac:dyDescent="0.25">
      <c r="A769" s="10" t="s">
        <v>800</v>
      </c>
      <c r="B769" s="10" t="s">
        <v>341</v>
      </c>
      <c r="C769" s="136" t="s">
        <v>2170</v>
      </c>
      <c r="D769" s="136" t="s">
        <v>582</v>
      </c>
      <c r="E769" s="136" t="s">
        <v>74</v>
      </c>
      <c r="F769" s="10" t="s">
        <v>1870</v>
      </c>
      <c r="G769" s="10" t="s">
        <v>412</v>
      </c>
      <c r="H769" s="137">
        <v>0</v>
      </c>
      <c r="I769" s="138"/>
      <c r="J769" s="10">
        <v>5511</v>
      </c>
      <c r="K769" s="136" t="s">
        <v>106</v>
      </c>
      <c r="L769" s="10">
        <v>55</v>
      </c>
      <c r="M769" s="10" t="s">
        <v>2219</v>
      </c>
      <c r="N769" s="136" t="s">
        <v>131</v>
      </c>
      <c r="O769" s="136" t="s">
        <v>549</v>
      </c>
      <c r="P769" s="136" t="s">
        <v>85</v>
      </c>
    </row>
    <row r="770" spans="1:16" x14ac:dyDescent="0.25">
      <c r="A770" s="139" t="s">
        <v>800</v>
      </c>
      <c r="B770" s="139" t="s">
        <v>341</v>
      </c>
      <c r="C770" s="140" t="s">
        <v>2170</v>
      </c>
      <c r="D770" s="140" t="s">
        <v>582</v>
      </c>
      <c r="E770" s="140" t="s">
        <v>74</v>
      </c>
      <c r="F770" s="139" t="s">
        <v>1870</v>
      </c>
      <c r="G770" s="139" t="s">
        <v>413</v>
      </c>
      <c r="H770" s="141">
        <v>1500</v>
      </c>
      <c r="I770" s="142"/>
      <c r="J770" s="139">
        <v>5511</v>
      </c>
      <c r="K770" s="140" t="s">
        <v>106</v>
      </c>
      <c r="L770" s="139">
        <v>55</v>
      </c>
      <c r="M770" s="139" t="s">
        <v>2219</v>
      </c>
      <c r="N770" s="140" t="s">
        <v>131</v>
      </c>
      <c r="O770" s="140" t="s">
        <v>549</v>
      </c>
      <c r="P770" s="140" t="s">
        <v>85</v>
      </c>
    </row>
    <row r="771" spans="1:16" x14ac:dyDescent="0.25">
      <c r="A771" s="10" t="s">
        <v>800</v>
      </c>
      <c r="B771" s="10" t="s">
        <v>341</v>
      </c>
      <c r="C771" s="136" t="s">
        <v>2170</v>
      </c>
      <c r="D771" s="136" t="s">
        <v>582</v>
      </c>
      <c r="E771" s="136" t="s">
        <v>74</v>
      </c>
      <c r="F771" s="10" t="s">
        <v>1870</v>
      </c>
      <c r="G771" s="10" t="s">
        <v>414</v>
      </c>
      <c r="H771" s="137">
        <v>500</v>
      </c>
      <c r="I771" s="138"/>
      <c r="J771" s="10">
        <v>5511</v>
      </c>
      <c r="K771" s="136" t="s">
        <v>106</v>
      </c>
      <c r="L771" s="10">
        <v>55</v>
      </c>
      <c r="M771" s="10" t="s">
        <v>2219</v>
      </c>
      <c r="N771" s="136" t="s">
        <v>131</v>
      </c>
      <c r="O771" s="136" t="s">
        <v>549</v>
      </c>
      <c r="P771" s="136" t="s">
        <v>85</v>
      </c>
    </row>
    <row r="772" spans="1:16" x14ac:dyDescent="0.25">
      <c r="A772" s="139" t="s">
        <v>800</v>
      </c>
      <c r="B772" s="139" t="s">
        <v>341</v>
      </c>
      <c r="C772" s="140" t="s">
        <v>2170</v>
      </c>
      <c r="D772" s="140" t="s">
        <v>582</v>
      </c>
      <c r="E772" s="140" t="s">
        <v>74</v>
      </c>
      <c r="F772" s="139" t="s">
        <v>1870</v>
      </c>
      <c r="G772" s="139" t="s">
        <v>415</v>
      </c>
      <c r="H772" s="141">
        <v>900</v>
      </c>
      <c r="I772" s="142"/>
      <c r="J772" s="139">
        <v>5511</v>
      </c>
      <c r="K772" s="140" t="s">
        <v>106</v>
      </c>
      <c r="L772" s="139">
        <v>55</v>
      </c>
      <c r="M772" s="139" t="s">
        <v>2219</v>
      </c>
      <c r="N772" s="140" t="s">
        <v>131</v>
      </c>
      <c r="O772" s="140" t="s">
        <v>549</v>
      </c>
      <c r="P772" s="140" t="s">
        <v>85</v>
      </c>
    </row>
    <row r="773" spans="1:16" x14ac:dyDescent="0.25">
      <c r="A773" s="10" t="s">
        <v>800</v>
      </c>
      <c r="B773" s="10" t="s">
        <v>341</v>
      </c>
      <c r="C773" s="136" t="s">
        <v>2170</v>
      </c>
      <c r="D773" s="136" t="s">
        <v>582</v>
      </c>
      <c r="E773" s="136" t="s">
        <v>74</v>
      </c>
      <c r="F773" s="10" t="s">
        <v>1870</v>
      </c>
      <c r="G773" s="10" t="s">
        <v>1873</v>
      </c>
      <c r="H773" s="137">
        <v>700</v>
      </c>
      <c r="I773" s="138"/>
      <c r="J773" s="10">
        <v>5511</v>
      </c>
      <c r="K773" s="136" t="s">
        <v>106</v>
      </c>
      <c r="L773" s="10">
        <v>55</v>
      </c>
      <c r="M773" s="10" t="s">
        <v>2219</v>
      </c>
      <c r="N773" s="136" t="s">
        <v>131</v>
      </c>
      <c r="O773" s="136" t="s">
        <v>549</v>
      </c>
      <c r="P773" s="136" t="s">
        <v>85</v>
      </c>
    </row>
    <row r="774" spans="1:16" x14ac:dyDescent="0.25">
      <c r="A774" s="139" t="s">
        <v>800</v>
      </c>
      <c r="B774" s="139" t="s">
        <v>341</v>
      </c>
      <c r="C774" s="140" t="s">
        <v>2170</v>
      </c>
      <c r="D774" s="140" t="s">
        <v>582</v>
      </c>
      <c r="E774" s="140" t="s">
        <v>74</v>
      </c>
      <c r="F774" s="139" t="s">
        <v>1870</v>
      </c>
      <c r="G774" s="139" t="s">
        <v>436</v>
      </c>
      <c r="H774" s="141">
        <v>150</v>
      </c>
      <c r="I774" s="142"/>
      <c r="J774" s="139">
        <v>5511</v>
      </c>
      <c r="K774" s="140" t="s">
        <v>106</v>
      </c>
      <c r="L774" s="139">
        <v>55</v>
      </c>
      <c r="M774" s="139" t="s">
        <v>2219</v>
      </c>
      <c r="N774" s="140" t="s">
        <v>131</v>
      </c>
      <c r="O774" s="140" t="s">
        <v>549</v>
      </c>
      <c r="P774" s="140" t="s">
        <v>85</v>
      </c>
    </row>
    <row r="775" spans="1:16" x14ac:dyDescent="0.25">
      <c r="A775" s="10" t="s">
        <v>800</v>
      </c>
      <c r="B775" s="10" t="s">
        <v>341</v>
      </c>
      <c r="C775" s="136" t="s">
        <v>2170</v>
      </c>
      <c r="D775" s="136" t="s">
        <v>582</v>
      </c>
      <c r="E775" s="136" t="s">
        <v>74</v>
      </c>
      <c r="F775" s="10" t="s">
        <v>1870</v>
      </c>
      <c r="G775" s="10" t="s">
        <v>1871</v>
      </c>
      <c r="H775" s="137">
        <v>400</v>
      </c>
      <c r="I775" s="138"/>
      <c r="J775" s="10">
        <v>5500</v>
      </c>
      <c r="K775" s="136" t="s">
        <v>100</v>
      </c>
      <c r="L775" s="10">
        <v>55</v>
      </c>
      <c r="M775" s="10" t="s">
        <v>2219</v>
      </c>
      <c r="N775" s="136" t="s">
        <v>131</v>
      </c>
      <c r="O775" s="136" t="s">
        <v>549</v>
      </c>
      <c r="P775" s="136" t="s">
        <v>85</v>
      </c>
    </row>
    <row r="776" spans="1:16" x14ac:dyDescent="0.25">
      <c r="A776" s="139" t="s">
        <v>800</v>
      </c>
      <c r="B776" s="139" t="s">
        <v>341</v>
      </c>
      <c r="C776" s="140" t="s">
        <v>2170</v>
      </c>
      <c r="D776" s="140" t="s">
        <v>582</v>
      </c>
      <c r="E776" s="140" t="s">
        <v>74</v>
      </c>
      <c r="F776" s="139" t="s">
        <v>1870</v>
      </c>
      <c r="G776" s="139" t="s">
        <v>401</v>
      </c>
      <c r="H776" s="141">
        <v>250</v>
      </c>
      <c r="I776" s="142"/>
      <c r="J776" s="139">
        <v>5500</v>
      </c>
      <c r="K776" s="140" t="s">
        <v>100</v>
      </c>
      <c r="L776" s="139">
        <v>55</v>
      </c>
      <c r="M776" s="139" t="s">
        <v>2219</v>
      </c>
      <c r="N776" s="140" t="s">
        <v>131</v>
      </c>
      <c r="O776" s="140" t="s">
        <v>549</v>
      </c>
      <c r="P776" s="140" t="s">
        <v>85</v>
      </c>
    </row>
    <row r="777" spans="1:16" x14ac:dyDescent="0.25">
      <c r="A777" s="10" t="s">
        <v>800</v>
      </c>
      <c r="B777" s="10" t="s">
        <v>341</v>
      </c>
      <c r="C777" s="136" t="s">
        <v>2170</v>
      </c>
      <c r="D777" s="136" t="s">
        <v>582</v>
      </c>
      <c r="E777" s="136" t="s">
        <v>74</v>
      </c>
      <c r="F777" s="10" t="s">
        <v>1870</v>
      </c>
      <c r="G777" s="10" t="s">
        <v>402</v>
      </c>
      <c r="H777" s="137">
        <v>170</v>
      </c>
      <c r="I777" s="138"/>
      <c r="J777" s="10">
        <v>5500</v>
      </c>
      <c r="K777" s="136" t="s">
        <v>100</v>
      </c>
      <c r="L777" s="10">
        <v>55</v>
      </c>
      <c r="M777" s="10" t="s">
        <v>2219</v>
      </c>
      <c r="N777" s="136" t="s">
        <v>131</v>
      </c>
      <c r="O777" s="136" t="s">
        <v>549</v>
      </c>
      <c r="P777" s="136" t="s">
        <v>85</v>
      </c>
    </row>
    <row r="778" spans="1:16" x14ac:dyDescent="0.25">
      <c r="A778" s="139" t="s">
        <v>800</v>
      </c>
      <c r="B778" s="139" t="s">
        <v>341</v>
      </c>
      <c r="C778" s="140" t="s">
        <v>2170</v>
      </c>
      <c r="D778" s="140" t="s">
        <v>582</v>
      </c>
      <c r="E778" s="140" t="s">
        <v>74</v>
      </c>
      <c r="F778" s="139" t="s">
        <v>1870</v>
      </c>
      <c r="G778" s="139" t="s">
        <v>403</v>
      </c>
      <c r="H778" s="141">
        <v>50</v>
      </c>
      <c r="I778" s="142"/>
      <c r="J778" s="139">
        <v>5500</v>
      </c>
      <c r="K778" s="140" t="s">
        <v>100</v>
      </c>
      <c r="L778" s="139">
        <v>55</v>
      </c>
      <c r="M778" s="139" t="s">
        <v>2219</v>
      </c>
      <c r="N778" s="140" t="s">
        <v>131</v>
      </c>
      <c r="O778" s="140" t="s">
        <v>549</v>
      </c>
      <c r="P778" s="140" t="s">
        <v>85</v>
      </c>
    </row>
    <row r="779" spans="1:16" x14ac:dyDescent="0.25">
      <c r="A779" s="10" t="s">
        <v>800</v>
      </c>
      <c r="B779" s="10" t="s">
        <v>341</v>
      </c>
      <c r="C779" s="136" t="s">
        <v>2170</v>
      </c>
      <c r="D779" s="136" t="s">
        <v>582</v>
      </c>
      <c r="E779" s="136" t="s">
        <v>74</v>
      </c>
      <c r="F779" s="10" t="s">
        <v>1870</v>
      </c>
      <c r="G779" s="10" t="s">
        <v>404</v>
      </c>
      <c r="H779" s="137">
        <v>300</v>
      </c>
      <c r="I779" s="138"/>
      <c r="J779" s="10">
        <v>5500</v>
      </c>
      <c r="K779" s="136" t="s">
        <v>100</v>
      </c>
      <c r="L779" s="10">
        <v>55</v>
      </c>
      <c r="M779" s="10" t="s">
        <v>2219</v>
      </c>
      <c r="N779" s="136" t="s">
        <v>131</v>
      </c>
      <c r="O779" s="136" t="s">
        <v>549</v>
      </c>
      <c r="P779" s="136" t="s">
        <v>85</v>
      </c>
    </row>
    <row r="780" spans="1:16" x14ac:dyDescent="0.25">
      <c r="A780" s="139" t="s">
        <v>800</v>
      </c>
      <c r="B780" s="139" t="s">
        <v>341</v>
      </c>
      <c r="C780" s="140" t="s">
        <v>2170</v>
      </c>
      <c r="D780" s="140" t="s">
        <v>582</v>
      </c>
      <c r="E780" s="140" t="s">
        <v>74</v>
      </c>
      <c r="F780" s="139" t="s">
        <v>1870</v>
      </c>
      <c r="G780" s="139" t="s">
        <v>405</v>
      </c>
      <c r="H780" s="141">
        <v>0</v>
      </c>
      <c r="I780" s="142"/>
      <c r="J780" s="139">
        <v>5500</v>
      </c>
      <c r="K780" s="140" t="s">
        <v>100</v>
      </c>
      <c r="L780" s="139">
        <v>55</v>
      </c>
      <c r="M780" s="139" t="s">
        <v>2219</v>
      </c>
      <c r="N780" s="140" t="s">
        <v>131</v>
      </c>
      <c r="O780" s="140" t="s">
        <v>549</v>
      </c>
      <c r="P780" s="140" t="s">
        <v>85</v>
      </c>
    </row>
    <row r="781" spans="1:16" x14ac:dyDescent="0.25">
      <c r="A781" s="10" t="s">
        <v>800</v>
      </c>
      <c r="B781" s="10" t="s">
        <v>341</v>
      </c>
      <c r="C781" s="136" t="s">
        <v>2170</v>
      </c>
      <c r="D781" s="136" t="s">
        <v>582</v>
      </c>
      <c r="E781" s="136" t="s">
        <v>74</v>
      </c>
      <c r="F781" s="10" t="s">
        <v>1870</v>
      </c>
      <c r="G781" s="10" t="s">
        <v>406</v>
      </c>
      <c r="H781" s="137">
        <v>150</v>
      </c>
      <c r="I781" s="138"/>
      <c r="J781" s="10">
        <v>5500</v>
      </c>
      <c r="K781" s="136" t="s">
        <v>100</v>
      </c>
      <c r="L781" s="10">
        <v>55</v>
      </c>
      <c r="M781" s="10" t="s">
        <v>2219</v>
      </c>
      <c r="N781" s="136" t="s">
        <v>131</v>
      </c>
      <c r="O781" s="136" t="s">
        <v>549</v>
      </c>
      <c r="P781" s="136" t="s">
        <v>85</v>
      </c>
    </row>
    <row r="782" spans="1:16" x14ac:dyDescent="0.25">
      <c r="A782" s="139" t="s">
        <v>800</v>
      </c>
      <c r="B782" s="139" t="s">
        <v>341</v>
      </c>
      <c r="C782" s="140" t="s">
        <v>2170</v>
      </c>
      <c r="D782" s="140" t="s">
        <v>582</v>
      </c>
      <c r="E782" s="140" t="s">
        <v>74</v>
      </c>
      <c r="F782" s="139" t="s">
        <v>1870</v>
      </c>
      <c r="G782" s="139" t="s">
        <v>407</v>
      </c>
      <c r="H782" s="141">
        <v>150</v>
      </c>
      <c r="I782" s="142"/>
      <c r="J782" s="139">
        <v>5500</v>
      </c>
      <c r="K782" s="140" t="s">
        <v>100</v>
      </c>
      <c r="L782" s="139">
        <v>55</v>
      </c>
      <c r="M782" s="139" t="s">
        <v>2219</v>
      </c>
      <c r="N782" s="140" t="s">
        <v>131</v>
      </c>
      <c r="O782" s="140" t="s">
        <v>549</v>
      </c>
      <c r="P782" s="140" t="s">
        <v>85</v>
      </c>
    </row>
    <row r="783" spans="1:16" x14ac:dyDescent="0.25">
      <c r="A783" s="10" t="s">
        <v>800</v>
      </c>
      <c r="B783" s="10" t="s">
        <v>341</v>
      </c>
      <c r="C783" s="136" t="s">
        <v>2170</v>
      </c>
      <c r="D783" s="136" t="s">
        <v>582</v>
      </c>
      <c r="E783" s="136" t="s">
        <v>74</v>
      </c>
      <c r="F783" s="10" t="s">
        <v>1870</v>
      </c>
      <c r="G783" s="10" t="s">
        <v>408</v>
      </c>
      <c r="H783" s="137">
        <v>50</v>
      </c>
      <c r="I783" s="138"/>
      <c r="J783" s="10">
        <v>5500</v>
      </c>
      <c r="K783" s="136" t="s">
        <v>100</v>
      </c>
      <c r="L783" s="10">
        <v>55</v>
      </c>
      <c r="M783" s="10" t="s">
        <v>2219</v>
      </c>
      <c r="N783" s="136" t="s">
        <v>131</v>
      </c>
      <c r="O783" s="136" t="s">
        <v>549</v>
      </c>
      <c r="P783" s="136" t="s">
        <v>85</v>
      </c>
    </row>
    <row r="784" spans="1:16" x14ac:dyDescent="0.25">
      <c r="A784" s="139" t="s">
        <v>800</v>
      </c>
      <c r="B784" s="139" t="s">
        <v>341</v>
      </c>
      <c r="C784" s="140" t="s">
        <v>2170</v>
      </c>
      <c r="D784" s="140" t="s">
        <v>582</v>
      </c>
      <c r="E784" s="140" t="s">
        <v>74</v>
      </c>
      <c r="F784" s="139" t="s">
        <v>1870</v>
      </c>
      <c r="G784" s="139" t="s">
        <v>1872</v>
      </c>
      <c r="H784" s="141">
        <v>150</v>
      </c>
      <c r="I784" s="142"/>
      <c r="J784" s="139">
        <v>5500</v>
      </c>
      <c r="K784" s="140" t="s">
        <v>100</v>
      </c>
      <c r="L784" s="139">
        <v>55</v>
      </c>
      <c r="M784" s="139" t="s">
        <v>2219</v>
      </c>
      <c r="N784" s="140" t="s">
        <v>131</v>
      </c>
      <c r="O784" s="140" t="s">
        <v>549</v>
      </c>
      <c r="P784" s="140" t="s">
        <v>85</v>
      </c>
    </row>
    <row r="785" spans="1:16" x14ac:dyDescent="0.25">
      <c r="A785" s="10" t="s">
        <v>800</v>
      </c>
      <c r="B785" s="10" t="s">
        <v>341</v>
      </c>
      <c r="C785" s="136" t="s">
        <v>2170</v>
      </c>
      <c r="D785" s="136" t="s">
        <v>582</v>
      </c>
      <c r="E785" s="136" t="s">
        <v>74</v>
      </c>
      <c r="F785" s="10" t="s">
        <v>1870</v>
      </c>
      <c r="G785" s="10" t="s">
        <v>1521</v>
      </c>
      <c r="H785" s="137">
        <v>184.64</v>
      </c>
      <c r="I785" s="138"/>
      <c r="J785" s="10">
        <v>5504</v>
      </c>
      <c r="K785" s="136" t="s">
        <v>102</v>
      </c>
      <c r="L785" s="10">
        <v>55</v>
      </c>
      <c r="M785" s="10" t="s">
        <v>2219</v>
      </c>
      <c r="N785" s="136" t="s">
        <v>131</v>
      </c>
      <c r="O785" s="136" t="s">
        <v>549</v>
      </c>
      <c r="P785" s="136" t="s">
        <v>85</v>
      </c>
    </row>
    <row r="786" spans="1:16" x14ac:dyDescent="0.25">
      <c r="A786" s="139" t="s">
        <v>800</v>
      </c>
      <c r="B786" s="139" t="s">
        <v>341</v>
      </c>
      <c r="C786" s="140" t="s">
        <v>2170</v>
      </c>
      <c r="D786" s="140" t="s">
        <v>582</v>
      </c>
      <c r="E786" s="140" t="s">
        <v>74</v>
      </c>
      <c r="F786" s="139" t="s">
        <v>1870</v>
      </c>
      <c r="G786" s="139" t="s">
        <v>417</v>
      </c>
      <c r="H786" s="141">
        <v>600</v>
      </c>
      <c r="I786" s="142"/>
      <c r="J786" s="139">
        <v>5513</v>
      </c>
      <c r="K786" s="140" t="s">
        <v>111</v>
      </c>
      <c r="L786" s="139">
        <v>55</v>
      </c>
      <c r="M786" s="139" t="s">
        <v>2219</v>
      </c>
      <c r="N786" s="140" t="s">
        <v>131</v>
      </c>
      <c r="O786" s="140" t="s">
        <v>549</v>
      </c>
      <c r="P786" s="140" t="s">
        <v>85</v>
      </c>
    </row>
    <row r="787" spans="1:16" x14ac:dyDescent="0.25">
      <c r="A787" s="10" t="s">
        <v>800</v>
      </c>
      <c r="B787" s="10" t="s">
        <v>341</v>
      </c>
      <c r="C787" s="136" t="s">
        <v>2170</v>
      </c>
      <c r="D787" s="136" t="s">
        <v>582</v>
      </c>
      <c r="E787" s="136" t="s">
        <v>74</v>
      </c>
      <c r="F787" s="10" t="s">
        <v>1870</v>
      </c>
      <c r="G787" s="10" t="s">
        <v>418</v>
      </c>
      <c r="H787" s="137">
        <v>3500</v>
      </c>
      <c r="I787" s="138"/>
      <c r="J787" s="10">
        <v>5513</v>
      </c>
      <c r="K787" s="136" t="s">
        <v>111</v>
      </c>
      <c r="L787" s="10">
        <v>55</v>
      </c>
      <c r="M787" s="10" t="s">
        <v>2219</v>
      </c>
      <c r="N787" s="136" t="s">
        <v>131</v>
      </c>
      <c r="O787" s="136" t="s">
        <v>549</v>
      </c>
      <c r="P787" s="136" t="s">
        <v>85</v>
      </c>
    </row>
    <row r="788" spans="1:16" x14ac:dyDescent="0.25">
      <c r="A788" s="139" t="s">
        <v>800</v>
      </c>
      <c r="B788" s="139" t="s">
        <v>341</v>
      </c>
      <c r="C788" s="140" t="s">
        <v>2170</v>
      </c>
      <c r="D788" s="140" t="s">
        <v>582</v>
      </c>
      <c r="E788" s="140" t="s">
        <v>74</v>
      </c>
      <c r="F788" s="139" t="s">
        <v>1870</v>
      </c>
      <c r="G788" s="139" t="s">
        <v>423</v>
      </c>
      <c r="H788" s="141">
        <v>500</v>
      </c>
      <c r="I788" s="142"/>
      <c r="J788" s="139">
        <v>5515</v>
      </c>
      <c r="K788" s="140" t="s">
        <v>112</v>
      </c>
      <c r="L788" s="139">
        <v>55</v>
      </c>
      <c r="M788" s="139" t="s">
        <v>2219</v>
      </c>
      <c r="N788" s="140" t="s">
        <v>131</v>
      </c>
      <c r="O788" s="140" t="s">
        <v>549</v>
      </c>
      <c r="P788" s="140" t="s">
        <v>85</v>
      </c>
    </row>
    <row r="789" spans="1:16" x14ac:dyDescent="0.25">
      <c r="A789" s="10" t="s">
        <v>800</v>
      </c>
      <c r="B789" s="10" t="s">
        <v>341</v>
      </c>
      <c r="C789" s="136" t="s">
        <v>2170</v>
      </c>
      <c r="D789" s="136" t="s">
        <v>582</v>
      </c>
      <c r="E789" s="136" t="s">
        <v>74</v>
      </c>
      <c r="F789" s="10" t="s">
        <v>1870</v>
      </c>
      <c r="G789" s="10" t="s">
        <v>1874</v>
      </c>
      <c r="H789" s="137">
        <v>700</v>
      </c>
      <c r="I789" s="138"/>
      <c r="J789" s="10">
        <v>5515</v>
      </c>
      <c r="K789" s="136" t="s">
        <v>112</v>
      </c>
      <c r="L789" s="10">
        <v>55</v>
      </c>
      <c r="M789" s="10" t="s">
        <v>2219</v>
      </c>
      <c r="N789" s="136" t="s">
        <v>131</v>
      </c>
      <c r="O789" s="136" t="s">
        <v>549</v>
      </c>
      <c r="P789" s="136" t="s">
        <v>85</v>
      </c>
    </row>
    <row r="790" spans="1:16" x14ac:dyDescent="0.25">
      <c r="A790" s="139" t="s">
        <v>800</v>
      </c>
      <c r="B790" s="139" t="s">
        <v>341</v>
      </c>
      <c r="C790" s="140" t="s">
        <v>2170</v>
      </c>
      <c r="D790" s="140" t="s">
        <v>582</v>
      </c>
      <c r="E790" s="140" t="s">
        <v>74</v>
      </c>
      <c r="F790" s="139" t="s">
        <v>1870</v>
      </c>
      <c r="G790" s="139" t="s">
        <v>422</v>
      </c>
      <c r="H790" s="141">
        <v>300</v>
      </c>
      <c r="I790" s="142"/>
      <c r="J790" s="139">
        <v>5515</v>
      </c>
      <c r="K790" s="140" t="s">
        <v>112</v>
      </c>
      <c r="L790" s="139">
        <v>55</v>
      </c>
      <c r="M790" s="139" t="s">
        <v>2219</v>
      </c>
      <c r="N790" s="140" t="s">
        <v>131</v>
      </c>
      <c r="O790" s="140" t="s">
        <v>549</v>
      </c>
      <c r="P790" s="140" t="s">
        <v>85</v>
      </c>
    </row>
    <row r="791" spans="1:16" x14ac:dyDescent="0.25">
      <c r="A791" s="10" t="s">
        <v>800</v>
      </c>
      <c r="B791" s="10" t="s">
        <v>341</v>
      </c>
      <c r="C791" s="136" t="s">
        <v>2170</v>
      </c>
      <c r="D791" s="136" t="s">
        <v>582</v>
      </c>
      <c r="E791" s="136" t="s">
        <v>74</v>
      </c>
      <c r="F791" s="10" t="s">
        <v>1870</v>
      </c>
      <c r="G791" s="10" t="s">
        <v>1138</v>
      </c>
      <c r="H791" s="137">
        <v>5985</v>
      </c>
      <c r="I791" s="138" t="s">
        <v>2203</v>
      </c>
      <c r="J791" s="10">
        <v>5521</v>
      </c>
      <c r="K791" s="136" t="s">
        <v>114</v>
      </c>
      <c r="L791" s="10">
        <v>55</v>
      </c>
      <c r="M791" s="10" t="s">
        <v>2219</v>
      </c>
      <c r="N791" s="136" t="s">
        <v>131</v>
      </c>
      <c r="O791" s="136" t="s">
        <v>549</v>
      </c>
      <c r="P791" s="136" t="s">
        <v>85</v>
      </c>
    </row>
    <row r="792" spans="1:16" x14ac:dyDescent="0.25">
      <c r="A792" s="139" t="s">
        <v>800</v>
      </c>
      <c r="B792" s="139" t="s">
        <v>341</v>
      </c>
      <c r="C792" s="140" t="s">
        <v>2170</v>
      </c>
      <c r="D792" s="140" t="s">
        <v>582</v>
      </c>
      <c r="E792" s="140" t="s">
        <v>74</v>
      </c>
      <c r="F792" s="139" t="s">
        <v>1870</v>
      </c>
      <c r="G792" s="139" t="s">
        <v>424</v>
      </c>
      <c r="H792" s="141">
        <v>100</v>
      </c>
      <c r="I792" s="142"/>
      <c r="J792" s="139">
        <v>5522</v>
      </c>
      <c r="K792" s="140" t="s">
        <v>115</v>
      </c>
      <c r="L792" s="139">
        <v>55</v>
      </c>
      <c r="M792" s="139" t="s">
        <v>2219</v>
      </c>
      <c r="N792" s="140" t="s">
        <v>131</v>
      </c>
      <c r="O792" s="140" t="s">
        <v>549</v>
      </c>
      <c r="P792" s="140" t="s">
        <v>85</v>
      </c>
    </row>
    <row r="793" spans="1:16" x14ac:dyDescent="0.25">
      <c r="A793" s="10" t="s">
        <v>800</v>
      </c>
      <c r="B793" s="10" t="s">
        <v>341</v>
      </c>
      <c r="C793" s="136" t="s">
        <v>2170</v>
      </c>
      <c r="D793" s="136" t="s">
        <v>582</v>
      </c>
      <c r="E793" s="136" t="s">
        <v>74</v>
      </c>
      <c r="F793" s="10" t="s">
        <v>1870</v>
      </c>
      <c r="G793" s="10" t="s">
        <v>425</v>
      </c>
      <c r="H793" s="137">
        <v>600</v>
      </c>
      <c r="I793" s="138"/>
      <c r="J793" s="10">
        <v>5522</v>
      </c>
      <c r="K793" s="136" t="s">
        <v>115</v>
      </c>
      <c r="L793" s="10">
        <v>55</v>
      </c>
      <c r="M793" s="10" t="s">
        <v>2219</v>
      </c>
      <c r="N793" s="136" t="s">
        <v>131</v>
      </c>
      <c r="O793" s="136" t="s">
        <v>549</v>
      </c>
      <c r="P793" s="136" t="s">
        <v>85</v>
      </c>
    </row>
    <row r="794" spans="1:16" x14ac:dyDescent="0.25">
      <c r="A794" s="139" t="s">
        <v>800</v>
      </c>
      <c r="B794" s="139" t="s">
        <v>341</v>
      </c>
      <c r="C794" s="140" t="s">
        <v>2170</v>
      </c>
      <c r="D794" s="140" t="s">
        <v>582</v>
      </c>
      <c r="E794" s="140" t="s">
        <v>74</v>
      </c>
      <c r="F794" s="139" t="s">
        <v>1870</v>
      </c>
      <c r="G794" s="139" t="s">
        <v>426</v>
      </c>
      <c r="H794" s="141">
        <v>50</v>
      </c>
      <c r="I794" s="142"/>
      <c r="J794" s="139">
        <v>5522</v>
      </c>
      <c r="K794" s="140" t="s">
        <v>115</v>
      </c>
      <c r="L794" s="139">
        <v>55</v>
      </c>
      <c r="M794" s="139" t="s">
        <v>2219</v>
      </c>
      <c r="N794" s="140" t="s">
        <v>131</v>
      </c>
      <c r="O794" s="140" t="s">
        <v>549</v>
      </c>
      <c r="P794" s="140" t="s">
        <v>85</v>
      </c>
    </row>
    <row r="795" spans="1:16" x14ac:dyDescent="0.25">
      <c r="A795" s="10" t="s">
        <v>800</v>
      </c>
      <c r="B795" s="10" t="s">
        <v>341</v>
      </c>
      <c r="C795" s="136" t="s">
        <v>2170</v>
      </c>
      <c r="D795" s="136" t="s">
        <v>582</v>
      </c>
      <c r="E795" s="136" t="s">
        <v>74</v>
      </c>
      <c r="F795" s="10" t="s">
        <v>1870</v>
      </c>
      <c r="G795" s="10" t="s">
        <v>427</v>
      </c>
      <c r="H795" s="137">
        <v>300</v>
      </c>
      <c r="I795" s="138"/>
      <c r="J795" s="10">
        <v>5522</v>
      </c>
      <c r="K795" s="136" t="s">
        <v>115</v>
      </c>
      <c r="L795" s="10">
        <v>55</v>
      </c>
      <c r="M795" s="10" t="s">
        <v>2219</v>
      </c>
      <c r="N795" s="136" t="s">
        <v>131</v>
      </c>
      <c r="O795" s="136" t="s">
        <v>549</v>
      </c>
      <c r="P795" s="136" t="s">
        <v>85</v>
      </c>
    </row>
    <row r="796" spans="1:16" x14ac:dyDescent="0.25">
      <c r="A796" s="139" t="s">
        <v>800</v>
      </c>
      <c r="B796" s="139" t="s">
        <v>341</v>
      </c>
      <c r="C796" s="140" t="s">
        <v>2170</v>
      </c>
      <c r="D796" s="140" t="s">
        <v>582</v>
      </c>
      <c r="E796" s="140" t="s">
        <v>74</v>
      </c>
      <c r="F796" s="139" t="s">
        <v>1870</v>
      </c>
      <c r="G796" s="139" t="s">
        <v>428</v>
      </c>
      <c r="H796" s="141">
        <v>313.42000000000007</v>
      </c>
      <c r="I796" s="142"/>
      <c r="J796" s="139">
        <v>5524</v>
      </c>
      <c r="K796" s="140" t="s">
        <v>117</v>
      </c>
      <c r="L796" s="139">
        <v>55</v>
      </c>
      <c r="M796" s="139" t="s">
        <v>2219</v>
      </c>
      <c r="N796" s="140" t="s">
        <v>131</v>
      </c>
      <c r="O796" s="140" t="s">
        <v>549</v>
      </c>
      <c r="P796" s="140" t="s">
        <v>85</v>
      </c>
    </row>
    <row r="797" spans="1:16" x14ac:dyDescent="0.25">
      <c r="A797" s="10" t="s">
        <v>800</v>
      </c>
      <c r="B797" s="10" t="s">
        <v>341</v>
      </c>
      <c r="C797" s="136" t="s">
        <v>2170</v>
      </c>
      <c r="D797" s="136" t="s">
        <v>582</v>
      </c>
      <c r="E797" s="136" t="s">
        <v>74</v>
      </c>
      <c r="F797" s="10" t="s">
        <v>1870</v>
      </c>
      <c r="G797" s="10" t="s">
        <v>429</v>
      </c>
      <c r="H797" s="137">
        <v>500</v>
      </c>
      <c r="I797" s="138"/>
      <c r="J797" s="10">
        <v>5524</v>
      </c>
      <c r="K797" s="136" t="s">
        <v>117</v>
      </c>
      <c r="L797" s="10">
        <v>55</v>
      </c>
      <c r="M797" s="10" t="s">
        <v>2219</v>
      </c>
      <c r="N797" s="136" t="s">
        <v>131</v>
      </c>
      <c r="O797" s="136" t="s">
        <v>549</v>
      </c>
      <c r="P797" s="136" t="s">
        <v>85</v>
      </c>
    </row>
    <row r="798" spans="1:16" x14ac:dyDescent="0.25">
      <c r="A798" s="139" t="s">
        <v>800</v>
      </c>
      <c r="B798" s="139" t="s">
        <v>341</v>
      </c>
      <c r="C798" s="140" t="s">
        <v>2170</v>
      </c>
      <c r="D798" s="140" t="s">
        <v>582</v>
      </c>
      <c r="E798" s="140" t="s">
        <v>74</v>
      </c>
      <c r="F798" s="139" t="s">
        <v>1870</v>
      </c>
      <c r="G798" s="139" t="s">
        <v>431</v>
      </c>
      <c r="H798" s="141">
        <v>500</v>
      </c>
      <c r="I798" s="142"/>
      <c r="J798" s="139">
        <v>5524</v>
      </c>
      <c r="K798" s="140" t="s">
        <v>117</v>
      </c>
      <c r="L798" s="139">
        <v>55</v>
      </c>
      <c r="M798" s="139" t="s">
        <v>2219</v>
      </c>
      <c r="N798" s="140" t="s">
        <v>131</v>
      </c>
      <c r="O798" s="140" t="s">
        <v>549</v>
      </c>
      <c r="P798" s="140" t="s">
        <v>85</v>
      </c>
    </row>
    <row r="799" spans="1:16" x14ac:dyDescent="0.25">
      <c r="A799" s="10" t="s">
        <v>800</v>
      </c>
      <c r="B799" s="10" t="s">
        <v>341</v>
      </c>
      <c r="C799" s="136" t="s">
        <v>2170</v>
      </c>
      <c r="D799" s="136" t="s">
        <v>582</v>
      </c>
      <c r="E799" s="136" t="s">
        <v>74</v>
      </c>
      <c r="F799" s="10" t="s">
        <v>1870</v>
      </c>
      <c r="G799" s="10" t="s">
        <v>432</v>
      </c>
      <c r="H799" s="137">
        <v>2800</v>
      </c>
      <c r="I799" s="138"/>
      <c r="J799" s="10">
        <v>5524</v>
      </c>
      <c r="K799" s="136" t="s">
        <v>117</v>
      </c>
      <c r="L799" s="10">
        <v>55</v>
      </c>
      <c r="M799" s="10" t="s">
        <v>2219</v>
      </c>
      <c r="N799" s="136" t="s">
        <v>131</v>
      </c>
      <c r="O799" s="136" t="s">
        <v>549</v>
      </c>
      <c r="P799" s="136" t="s">
        <v>85</v>
      </c>
    </row>
    <row r="800" spans="1:16" x14ac:dyDescent="0.25">
      <c r="A800" s="139" t="s">
        <v>800</v>
      </c>
      <c r="B800" s="139" t="s">
        <v>341</v>
      </c>
      <c r="C800" s="140" t="s">
        <v>2170</v>
      </c>
      <c r="D800" s="140" t="s">
        <v>582</v>
      </c>
      <c r="E800" s="140" t="s">
        <v>74</v>
      </c>
      <c r="F800" s="139" t="s">
        <v>1870</v>
      </c>
      <c r="G800" s="139" t="s">
        <v>1893</v>
      </c>
      <c r="H800" s="141">
        <v>800</v>
      </c>
      <c r="I800" s="142"/>
      <c r="J800" s="139">
        <v>5524</v>
      </c>
      <c r="K800" s="140" t="s">
        <v>117</v>
      </c>
      <c r="L800" s="139">
        <v>55</v>
      </c>
      <c r="M800" s="139" t="s">
        <v>2219</v>
      </c>
      <c r="N800" s="140" t="s">
        <v>131</v>
      </c>
      <c r="O800" s="140" t="s">
        <v>549</v>
      </c>
      <c r="P800" s="140" t="s">
        <v>85</v>
      </c>
    </row>
    <row r="801" spans="1:16" x14ac:dyDescent="0.25">
      <c r="A801" s="10" t="s">
        <v>800</v>
      </c>
      <c r="B801" s="10" t="s">
        <v>341</v>
      </c>
      <c r="C801" s="136" t="s">
        <v>2170</v>
      </c>
      <c r="D801" s="136" t="s">
        <v>582</v>
      </c>
      <c r="E801" s="136" t="s">
        <v>74</v>
      </c>
      <c r="F801" s="10" t="s">
        <v>1870</v>
      </c>
      <c r="G801" s="10" t="s">
        <v>433</v>
      </c>
      <c r="H801" s="137">
        <v>450</v>
      </c>
      <c r="I801" s="138"/>
      <c r="J801" s="10">
        <v>5525</v>
      </c>
      <c r="K801" s="136" t="s">
        <v>118</v>
      </c>
      <c r="L801" s="10">
        <v>55</v>
      </c>
      <c r="M801" s="10" t="s">
        <v>2219</v>
      </c>
      <c r="N801" s="136" t="s">
        <v>131</v>
      </c>
      <c r="O801" s="136" t="s">
        <v>549</v>
      </c>
      <c r="P801" s="136" t="s">
        <v>85</v>
      </c>
    </row>
    <row r="802" spans="1:16" x14ac:dyDescent="0.25">
      <c r="A802" s="139" t="s">
        <v>800</v>
      </c>
      <c r="B802" s="139" t="s">
        <v>341</v>
      </c>
      <c r="C802" s="140" t="s">
        <v>2170</v>
      </c>
      <c r="D802" s="140" t="s">
        <v>582</v>
      </c>
      <c r="E802" s="140" t="s">
        <v>74</v>
      </c>
      <c r="F802" s="139" t="s">
        <v>1870</v>
      </c>
      <c r="G802" s="139" t="s">
        <v>434</v>
      </c>
      <c r="H802" s="141">
        <v>300</v>
      </c>
      <c r="I802" s="142"/>
      <c r="J802" s="139">
        <v>5525</v>
      </c>
      <c r="K802" s="140" t="s">
        <v>118</v>
      </c>
      <c r="L802" s="139">
        <v>55</v>
      </c>
      <c r="M802" s="139" t="s">
        <v>2219</v>
      </c>
      <c r="N802" s="140" t="s">
        <v>131</v>
      </c>
      <c r="O802" s="140" t="s">
        <v>549</v>
      </c>
      <c r="P802" s="140" t="s">
        <v>85</v>
      </c>
    </row>
    <row r="803" spans="1:16" x14ac:dyDescent="0.25">
      <c r="A803" s="10" t="s">
        <v>800</v>
      </c>
      <c r="B803" s="10" t="s">
        <v>341</v>
      </c>
      <c r="C803" s="136" t="s">
        <v>2170</v>
      </c>
      <c r="D803" s="136" t="s">
        <v>582</v>
      </c>
      <c r="E803" s="136" t="s">
        <v>74</v>
      </c>
      <c r="F803" s="10" t="s">
        <v>1870</v>
      </c>
      <c r="G803" s="10" t="s">
        <v>1907</v>
      </c>
      <c r="H803" s="137">
        <v>750</v>
      </c>
      <c r="I803" s="138"/>
      <c r="J803" s="10">
        <v>5525</v>
      </c>
      <c r="K803" s="136" t="s">
        <v>118</v>
      </c>
      <c r="L803" s="10">
        <v>55</v>
      </c>
      <c r="M803" s="10" t="s">
        <v>2219</v>
      </c>
      <c r="N803" s="136" t="s">
        <v>131</v>
      </c>
      <c r="O803" s="136" t="s">
        <v>549</v>
      </c>
      <c r="P803" s="136" t="s">
        <v>85</v>
      </c>
    </row>
    <row r="804" spans="1:16" x14ac:dyDescent="0.25">
      <c r="A804" s="139" t="s">
        <v>800</v>
      </c>
      <c r="B804" s="139" t="s">
        <v>341</v>
      </c>
      <c r="C804" s="140" t="s">
        <v>2170</v>
      </c>
      <c r="D804" s="140" t="s">
        <v>582</v>
      </c>
      <c r="E804" s="140" t="s">
        <v>74</v>
      </c>
      <c r="F804" s="139" t="s">
        <v>1870</v>
      </c>
      <c r="G804" s="139" t="s">
        <v>419</v>
      </c>
      <c r="H804" s="141">
        <v>1000</v>
      </c>
      <c r="I804" s="142"/>
      <c r="J804" s="139">
        <v>5514</v>
      </c>
      <c r="K804" s="140" t="s">
        <v>110</v>
      </c>
      <c r="L804" s="139">
        <v>55</v>
      </c>
      <c r="M804" s="139" t="s">
        <v>2219</v>
      </c>
      <c r="N804" s="140" t="s">
        <v>131</v>
      </c>
      <c r="O804" s="140" t="s">
        <v>549</v>
      </c>
      <c r="P804" s="140" t="s">
        <v>85</v>
      </c>
    </row>
    <row r="805" spans="1:16" x14ac:dyDescent="0.25">
      <c r="A805" s="10" t="s">
        <v>800</v>
      </c>
      <c r="B805" s="10" t="s">
        <v>341</v>
      </c>
      <c r="C805" s="136" t="s">
        <v>2170</v>
      </c>
      <c r="D805" s="136" t="s">
        <v>582</v>
      </c>
      <c r="E805" s="136" t="s">
        <v>74</v>
      </c>
      <c r="F805" s="10" t="s">
        <v>1870</v>
      </c>
      <c r="G805" s="10" t="s">
        <v>420</v>
      </c>
      <c r="H805" s="137">
        <v>500</v>
      </c>
      <c r="I805" s="138"/>
      <c r="J805" s="10">
        <v>5514</v>
      </c>
      <c r="K805" s="136" t="s">
        <v>110</v>
      </c>
      <c r="L805" s="10">
        <v>55</v>
      </c>
      <c r="M805" s="10" t="s">
        <v>2219</v>
      </c>
      <c r="N805" s="136" t="s">
        <v>131</v>
      </c>
      <c r="O805" s="136" t="s">
        <v>549</v>
      </c>
      <c r="P805" s="136" t="s">
        <v>85</v>
      </c>
    </row>
    <row r="806" spans="1:16" x14ac:dyDescent="0.25">
      <c r="A806" s="139" t="s">
        <v>800</v>
      </c>
      <c r="B806" s="139" t="s">
        <v>341</v>
      </c>
      <c r="C806" s="140" t="s">
        <v>2170</v>
      </c>
      <c r="D806" s="140" t="s">
        <v>582</v>
      </c>
      <c r="E806" s="140" t="s">
        <v>74</v>
      </c>
      <c r="F806" s="139" t="s">
        <v>1870</v>
      </c>
      <c r="G806" s="139" t="s">
        <v>421</v>
      </c>
      <c r="H806" s="141">
        <v>700</v>
      </c>
      <c r="I806" s="142"/>
      <c r="J806" s="139">
        <v>5514</v>
      </c>
      <c r="K806" s="140" t="s">
        <v>110</v>
      </c>
      <c r="L806" s="139">
        <v>55</v>
      </c>
      <c r="M806" s="139" t="s">
        <v>2219</v>
      </c>
      <c r="N806" s="140" t="s">
        <v>131</v>
      </c>
      <c r="O806" s="140" t="s">
        <v>549</v>
      </c>
      <c r="P806" s="140" t="s">
        <v>85</v>
      </c>
    </row>
    <row r="807" spans="1:16" x14ac:dyDescent="0.25">
      <c r="A807" s="10" t="s">
        <v>800</v>
      </c>
      <c r="B807" s="10" t="s">
        <v>341</v>
      </c>
      <c r="C807" s="136" t="s">
        <v>2170</v>
      </c>
      <c r="D807" s="136" t="s">
        <v>582</v>
      </c>
      <c r="E807" s="136" t="s">
        <v>74</v>
      </c>
      <c r="F807" s="10" t="s">
        <v>1870</v>
      </c>
      <c r="G807" s="10" t="s">
        <v>199</v>
      </c>
      <c r="H807" s="137">
        <v>300</v>
      </c>
      <c r="I807" s="138"/>
      <c r="J807" s="10">
        <v>5514</v>
      </c>
      <c r="K807" s="136" t="s">
        <v>110</v>
      </c>
      <c r="L807" s="10">
        <v>55</v>
      </c>
      <c r="M807" s="10" t="s">
        <v>2219</v>
      </c>
      <c r="N807" s="136" t="s">
        <v>131</v>
      </c>
      <c r="O807" s="136" t="s">
        <v>549</v>
      </c>
      <c r="P807" s="136" t="s">
        <v>85</v>
      </c>
    </row>
    <row r="808" spans="1:16" x14ac:dyDescent="0.25">
      <c r="A808" s="139" t="s">
        <v>800</v>
      </c>
      <c r="B808" s="139" t="s">
        <v>341</v>
      </c>
      <c r="C808" s="140" t="s">
        <v>2170</v>
      </c>
      <c r="D808" s="140" t="s">
        <v>582</v>
      </c>
      <c r="E808" s="140" t="s">
        <v>74</v>
      </c>
      <c r="F808" s="139" t="s">
        <v>1870</v>
      </c>
      <c r="G808" s="139" t="s">
        <v>422</v>
      </c>
      <c r="H808" s="141">
        <v>500</v>
      </c>
      <c r="I808" s="142"/>
      <c r="J808" s="139">
        <v>5514</v>
      </c>
      <c r="K808" s="140" t="s">
        <v>110</v>
      </c>
      <c r="L808" s="139">
        <v>55</v>
      </c>
      <c r="M808" s="139" t="s">
        <v>2219</v>
      </c>
      <c r="N808" s="140" t="s">
        <v>131</v>
      </c>
      <c r="O808" s="140" t="s">
        <v>549</v>
      </c>
      <c r="P808" s="140" t="s">
        <v>85</v>
      </c>
    </row>
    <row r="809" spans="1:16" x14ac:dyDescent="0.25">
      <c r="A809" s="10" t="s">
        <v>800</v>
      </c>
      <c r="B809" s="10" t="s">
        <v>341</v>
      </c>
      <c r="C809" s="136" t="s">
        <v>2170</v>
      </c>
      <c r="D809" s="136" t="s">
        <v>582</v>
      </c>
      <c r="E809" s="136" t="s">
        <v>74</v>
      </c>
      <c r="F809" s="10" t="s">
        <v>1870</v>
      </c>
      <c r="G809" s="10" t="s">
        <v>2199</v>
      </c>
      <c r="H809" s="137">
        <v>615.36</v>
      </c>
      <c r="I809" s="138" t="s">
        <v>2203</v>
      </c>
      <c r="J809" s="10">
        <v>5504</v>
      </c>
      <c r="K809" s="136" t="s">
        <v>102</v>
      </c>
      <c r="L809" s="10">
        <v>55</v>
      </c>
      <c r="M809" s="10" t="s">
        <v>2219</v>
      </c>
      <c r="N809" s="136" t="s">
        <v>131</v>
      </c>
      <c r="O809" s="136" t="s">
        <v>549</v>
      </c>
      <c r="P809" s="136" t="s">
        <v>85</v>
      </c>
    </row>
    <row r="810" spans="1:16" x14ac:dyDescent="0.25">
      <c r="A810" s="139" t="s">
        <v>800</v>
      </c>
      <c r="B810" s="139" t="s">
        <v>341</v>
      </c>
      <c r="C810" s="140" t="s">
        <v>2170</v>
      </c>
      <c r="D810" s="140" t="s">
        <v>582</v>
      </c>
      <c r="E810" s="140" t="s">
        <v>74</v>
      </c>
      <c r="F810" s="139" t="s">
        <v>1870</v>
      </c>
      <c r="G810" s="139" t="s">
        <v>2200</v>
      </c>
      <c r="H810" s="141">
        <v>2186.58</v>
      </c>
      <c r="I810" s="142" t="s">
        <v>2203</v>
      </c>
      <c r="J810" s="139">
        <v>5524</v>
      </c>
      <c r="K810" s="140" t="s">
        <v>117</v>
      </c>
      <c r="L810" s="139">
        <v>55</v>
      </c>
      <c r="M810" s="139" t="s">
        <v>2219</v>
      </c>
      <c r="N810" s="140" t="s">
        <v>131</v>
      </c>
      <c r="O810" s="140" t="s">
        <v>549</v>
      </c>
      <c r="P810" s="140" t="s">
        <v>85</v>
      </c>
    </row>
    <row r="811" spans="1:16" x14ac:dyDescent="0.25">
      <c r="A811" s="10" t="s">
        <v>800</v>
      </c>
      <c r="B811" s="10" t="s">
        <v>247</v>
      </c>
      <c r="C811" s="136" t="s">
        <v>342</v>
      </c>
      <c r="D811" s="136" t="s">
        <v>582</v>
      </c>
      <c r="E811" s="136" t="s">
        <v>74</v>
      </c>
      <c r="F811" s="10" t="s">
        <v>166</v>
      </c>
      <c r="G811" s="10" t="s">
        <v>167</v>
      </c>
      <c r="H811" s="137">
        <v>1140</v>
      </c>
      <c r="I811" s="138" t="s">
        <v>168</v>
      </c>
      <c r="J811" s="10">
        <v>5500</v>
      </c>
      <c r="K811" s="136" t="s">
        <v>100</v>
      </c>
      <c r="L811" s="10">
        <v>55</v>
      </c>
      <c r="M811" s="10" t="s">
        <v>2219</v>
      </c>
      <c r="N811" s="10" t="s">
        <v>131</v>
      </c>
      <c r="O811" s="10" t="s">
        <v>549</v>
      </c>
      <c r="P811" s="136" t="s">
        <v>85</v>
      </c>
    </row>
    <row r="812" spans="1:16" x14ac:dyDescent="0.25">
      <c r="A812" s="139" t="s">
        <v>800</v>
      </c>
      <c r="B812" s="139" t="s">
        <v>247</v>
      </c>
      <c r="C812" s="140" t="s">
        <v>342</v>
      </c>
      <c r="D812" s="140" t="s">
        <v>582</v>
      </c>
      <c r="E812" s="140" t="s">
        <v>74</v>
      </c>
      <c r="F812" s="139" t="s">
        <v>166</v>
      </c>
      <c r="G812" s="139" t="s">
        <v>169</v>
      </c>
      <c r="H812" s="141">
        <v>50</v>
      </c>
      <c r="I812" s="142"/>
      <c r="J812" s="139">
        <v>5500</v>
      </c>
      <c r="K812" s="140" t="s">
        <v>100</v>
      </c>
      <c r="L812" s="139">
        <v>55</v>
      </c>
      <c r="M812" s="139" t="s">
        <v>2219</v>
      </c>
      <c r="N812" s="139" t="s">
        <v>131</v>
      </c>
      <c r="O812" s="139" t="s">
        <v>549</v>
      </c>
      <c r="P812" s="140" t="s">
        <v>85</v>
      </c>
    </row>
    <row r="813" spans="1:16" x14ac:dyDescent="0.25">
      <c r="A813" s="10" t="s">
        <v>800</v>
      </c>
      <c r="B813" s="10" t="s">
        <v>247</v>
      </c>
      <c r="C813" s="136" t="s">
        <v>342</v>
      </c>
      <c r="D813" s="136" t="s">
        <v>582</v>
      </c>
      <c r="E813" s="136" t="s">
        <v>74</v>
      </c>
      <c r="F813" s="10" t="s">
        <v>166</v>
      </c>
      <c r="G813" s="10" t="s">
        <v>170</v>
      </c>
      <c r="H813" s="137">
        <v>1200</v>
      </c>
      <c r="I813" s="138"/>
      <c r="J813" s="10">
        <v>5500</v>
      </c>
      <c r="K813" s="136" t="s">
        <v>100</v>
      </c>
      <c r="L813" s="10">
        <v>55</v>
      </c>
      <c r="M813" s="10" t="s">
        <v>2219</v>
      </c>
      <c r="N813" s="10" t="s">
        <v>131</v>
      </c>
      <c r="O813" s="10" t="s">
        <v>549</v>
      </c>
      <c r="P813" s="136" t="s">
        <v>85</v>
      </c>
    </row>
    <row r="814" spans="1:16" x14ac:dyDescent="0.25">
      <c r="A814" s="139" t="s">
        <v>800</v>
      </c>
      <c r="B814" s="139" t="s">
        <v>247</v>
      </c>
      <c r="C814" s="140" t="s">
        <v>342</v>
      </c>
      <c r="D814" s="140" t="s">
        <v>582</v>
      </c>
      <c r="E814" s="140" t="s">
        <v>74</v>
      </c>
      <c r="F814" s="139" t="s">
        <v>166</v>
      </c>
      <c r="G814" s="139" t="s">
        <v>171</v>
      </c>
      <c r="H814" s="141">
        <v>24</v>
      </c>
      <c r="I814" s="142"/>
      <c r="J814" s="139">
        <v>5500</v>
      </c>
      <c r="K814" s="140" t="s">
        <v>100</v>
      </c>
      <c r="L814" s="139">
        <v>55</v>
      </c>
      <c r="M814" s="139" t="s">
        <v>2219</v>
      </c>
      <c r="N814" s="139" t="s">
        <v>131</v>
      </c>
      <c r="O814" s="139" t="s">
        <v>549</v>
      </c>
      <c r="P814" s="140" t="s">
        <v>85</v>
      </c>
    </row>
    <row r="815" spans="1:16" x14ac:dyDescent="0.25">
      <c r="A815" s="10" t="s">
        <v>800</v>
      </c>
      <c r="B815" s="10" t="s">
        <v>247</v>
      </c>
      <c r="C815" s="136" t="s">
        <v>342</v>
      </c>
      <c r="D815" s="136" t="s">
        <v>582</v>
      </c>
      <c r="E815" s="136" t="s">
        <v>74</v>
      </c>
      <c r="F815" s="10" t="s">
        <v>166</v>
      </c>
      <c r="G815" s="10" t="s">
        <v>172</v>
      </c>
      <c r="H815" s="137">
        <v>200</v>
      </c>
      <c r="I815" s="138"/>
      <c r="J815" s="10">
        <v>5500</v>
      </c>
      <c r="K815" s="136" t="s">
        <v>100</v>
      </c>
      <c r="L815" s="10">
        <v>55</v>
      </c>
      <c r="M815" s="10" t="s">
        <v>2219</v>
      </c>
      <c r="N815" s="10" t="s">
        <v>131</v>
      </c>
      <c r="O815" s="10" t="s">
        <v>549</v>
      </c>
      <c r="P815" s="136" t="s">
        <v>85</v>
      </c>
    </row>
    <row r="816" spans="1:16" x14ac:dyDescent="0.25">
      <c r="A816" s="139" t="s">
        <v>800</v>
      </c>
      <c r="B816" s="139" t="s">
        <v>247</v>
      </c>
      <c r="C816" s="140" t="s">
        <v>342</v>
      </c>
      <c r="D816" s="140" t="s">
        <v>582</v>
      </c>
      <c r="E816" s="140" t="s">
        <v>74</v>
      </c>
      <c r="F816" s="139" t="s">
        <v>166</v>
      </c>
      <c r="G816" s="139" t="s">
        <v>173</v>
      </c>
      <c r="H816" s="141">
        <v>276</v>
      </c>
      <c r="I816" s="142" t="s">
        <v>174</v>
      </c>
      <c r="J816" s="139">
        <v>5500</v>
      </c>
      <c r="K816" s="140" t="s">
        <v>100</v>
      </c>
      <c r="L816" s="139">
        <v>55</v>
      </c>
      <c r="M816" s="139" t="s">
        <v>2219</v>
      </c>
      <c r="N816" s="139" t="s">
        <v>131</v>
      </c>
      <c r="O816" s="139" t="s">
        <v>549</v>
      </c>
      <c r="P816" s="140" t="s">
        <v>85</v>
      </c>
    </row>
    <row r="817" spans="1:16" x14ac:dyDescent="0.25">
      <c r="A817" s="10" t="s">
        <v>800</v>
      </c>
      <c r="B817" s="10" t="s">
        <v>247</v>
      </c>
      <c r="C817" s="136" t="s">
        <v>342</v>
      </c>
      <c r="D817" s="136" t="s">
        <v>582</v>
      </c>
      <c r="E817" s="136" t="s">
        <v>74</v>
      </c>
      <c r="F817" s="10" t="s">
        <v>166</v>
      </c>
      <c r="G817" s="10" t="s">
        <v>175</v>
      </c>
      <c r="H817" s="137">
        <v>100</v>
      </c>
      <c r="I817" s="138"/>
      <c r="J817" s="10">
        <v>5500</v>
      </c>
      <c r="K817" s="136" t="s">
        <v>100</v>
      </c>
      <c r="L817" s="10">
        <v>55</v>
      </c>
      <c r="M817" s="10" t="s">
        <v>2219</v>
      </c>
      <c r="N817" s="10" t="s">
        <v>131</v>
      </c>
      <c r="O817" s="10" t="s">
        <v>549</v>
      </c>
      <c r="P817" s="136" t="s">
        <v>85</v>
      </c>
    </row>
    <row r="818" spans="1:16" x14ac:dyDescent="0.25">
      <c r="A818" s="139" t="s">
        <v>800</v>
      </c>
      <c r="B818" s="139" t="s">
        <v>247</v>
      </c>
      <c r="C818" s="140" t="s">
        <v>342</v>
      </c>
      <c r="D818" s="140" t="s">
        <v>582</v>
      </c>
      <c r="E818" s="140" t="s">
        <v>74</v>
      </c>
      <c r="F818" s="139" t="s">
        <v>166</v>
      </c>
      <c r="G818" s="139" t="s">
        <v>176</v>
      </c>
      <c r="H818" s="141">
        <v>1650</v>
      </c>
      <c r="I818" s="142"/>
      <c r="J818" s="139">
        <v>5504</v>
      </c>
      <c r="K818" s="140" t="s">
        <v>102</v>
      </c>
      <c r="L818" s="139">
        <v>55</v>
      </c>
      <c r="M818" s="139" t="s">
        <v>2219</v>
      </c>
      <c r="N818" s="139" t="s">
        <v>131</v>
      </c>
      <c r="O818" s="139" t="s">
        <v>549</v>
      </c>
      <c r="P818" s="140" t="s">
        <v>85</v>
      </c>
    </row>
    <row r="819" spans="1:16" x14ac:dyDescent="0.25">
      <c r="A819" s="10" t="s">
        <v>800</v>
      </c>
      <c r="B819" s="10" t="s">
        <v>247</v>
      </c>
      <c r="C819" s="136" t="s">
        <v>342</v>
      </c>
      <c r="D819" s="136" t="s">
        <v>582</v>
      </c>
      <c r="E819" s="136" t="s">
        <v>74</v>
      </c>
      <c r="F819" s="10" t="s">
        <v>166</v>
      </c>
      <c r="G819" s="10" t="s">
        <v>197</v>
      </c>
      <c r="H819" s="137">
        <v>620</v>
      </c>
      <c r="I819" s="138"/>
      <c r="J819" s="10">
        <v>5513</v>
      </c>
      <c r="K819" s="136" t="s">
        <v>111</v>
      </c>
      <c r="L819" s="10">
        <v>55</v>
      </c>
      <c r="M819" s="10" t="s">
        <v>2219</v>
      </c>
      <c r="N819" s="10" t="s">
        <v>131</v>
      </c>
      <c r="O819" s="10" t="s">
        <v>549</v>
      </c>
      <c r="P819" s="136" t="s">
        <v>85</v>
      </c>
    </row>
    <row r="820" spans="1:16" x14ac:dyDescent="0.25">
      <c r="A820" s="139" t="s">
        <v>800</v>
      </c>
      <c r="B820" s="139" t="s">
        <v>247</v>
      </c>
      <c r="C820" s="140" t="s">
        <v>342</v>
      </c>
      <c r="D820" s="140" t="s">
        <v>582</v>
      </c>
      <c r="E820" s="140" t="s">
        <v>74</v>
      </c>
      <c r="F820" s="139" t="s">
        <v>166</v>
      </c>
      <c r="G820" s="139" t="s">
        <v>198</v>
      </c>
      <c r="H820" s="141">
        <v>2700</v>
      </c>
      <c r="I820" s="142"/>
      <c r="J820" s="139">
        <v>5513</v>
      </c>
      <c r="K820" s="140" t="s">
        <v>111</v>
      </c>
      <c r="L820" s="139">
        <v>55</v>
      </c>
      <c r="M820" s="139" t="s">
        <v>2219</v>
      </c>
      <c r="N820" s="139" t="s">
        <v>131</v>
      </c>
      <c r="O820" s="139" t="s">
        <v>549</v>
      </c>
      <c r="P820" s="140" t="s">
        <v>85</v>
      </c>
    </row>
    <row r="821" spans="1:16" x14ac:dyDescent="0.25">
      <c r="A821" s="10" t="s">
        <v>800</v>
      </c>
      <c r="B821" s="10" t="s">
        <v>247</v>
      </c>
      <c r="C821" s="136" t="s">
        <v>342</v>
      </c>
      <c r="D821" s="136" t="s">
        <v>582</v>
      </c>
      <c r="E821" s="136" t="s">
        <v>74</v>
      </c>
      <c r="F821" s="10" t="s">
        <v>166</v>
      </c>
      <c r="G821" s="10" t="s">
        <v>199</v>
      </c>
      <c r="H821" s="137">
        <v>1000</v>
      </c>
      <c r="I821" s="138"/>
      <c r="J821" s="10">
        <v>5513</v>
      </c>
      <c r="K821" s="136" t="s">
        <v>111</v>
      </c>
      <c r="L821" s="10">
        <v>55</v>
      </c>
      <c r="M821" s="10" t="s">
        <v>2219</v>
      </c>
      <c r="N821" s="10" t="s">
        <v>131</v>
      </c>
      <c r="O821" s="10" t="s">
        <v>549</v>
      </c>
      <c r="P821" s="136" t="s">
        <v>85</v>
      </c>
    </row>
    <row r="822" spans="1:16" x14ac:dyDescent="0.25">
      <c r="A822" s="139" t="s">
        <v>800</v>
      </c>
      <c r="B822" s="139" t="s">
        <v>247</v>
      </c>
      <c r="C822" s="140" t="s">
        <v>342</v>
      </c>
      <c r="D822" s="140" t="s">
        <v>582</v>
      </c>
      <c r="E822" s="140" t="s">
        <v>74</v>
      </c>
      <c r="F822" s="139" t="s">
        <v>166</v>
      </c>
      <c r="G822" s="139" t="s">
        <v>200</v>
      </c>
      <c r="H822" s="141">
        <v>640</v>
      </c>
      <c r="I822" s="142" t="s">
        <v>201</v>
      </c>
      <c r="J822" s="139">
        <v>5513</v>
      </c>
      <c r="K822" s="140" t="s">
        <v>111</v>
      </c>
      <c r="L822" s="139">
        <v>55</v>
      </c>
      <c r="M822" s="139" t="s">
        <v>2219</v>
      </c>
      <c r="N822" s="139" t="s">
        <v>131</v>
      </c>
      <c r="O822" s="139" t="s">
        <v>549</v>
      </c>
      <c r="P822" s="140" t="s">
        <v>85</v>
      </c>
    </row>
    <row r="823" spans="1:16" x14ac:dyDescent="0.25">
      <c r="A823" s="10" t="s">
        <v>800</v>
      </c>
      <c r="B823" s="10" t="s">
        <v>247</v>
      </c>
      <c r="C823" s="136" t="s">
        <v>342</v>
      </c>
      <c r="D823" s="136" t="s">
        <v>582</v>
      </c>
      <c r="E823" s="136" t="s">
        <v>74</v>
      </c>
      <c r="F823" s="10" t="s">
        <v>166</v>
      </c>
      <c r="G823" s="10" t="s">
        <v>200</v>
      </c>
      <c r="H823" s="137">
        <v>640</v>
      </c>
      <c r="I823" s="138" t="s">
        <v>202</v>
      </c>
      <c r="J823" s="10">
        <v>5513</v>
      </c>
      <c r="K823" s="136" t="s">
        <v>111</v>
      </c>
      <c r="L823" s="10">
        <v>55</v>
      </c>
      <c r="M823" s="10" t="s">
        <v>2219</v>
      </c>
      <c r="N823" s="10" t="s">
        <v>131</v>
      </c>
      <c r="O823" s="10" t="s">
        <v>549</v>
      </c>
      <c r="P823" s="136" t="s">
        <v>85</v>
      </c>
    </row>
    <row r="824" spans="1:16" x14ac:dyDescent="0.25">
      <c r="A824" s="139" t="s">
        <v>800</v>
      </c>
      <c r="B824" s="139" t="s">
        <v>247</v>
      </c>
      <c r="C824" s="140" t="s">
        <v>342</v>
      </c>
      <c r="D824" s="140" t="s">
        <v>582</v>
      </c>
      <c r="E824" s="140" t="s">
        <v>74</v>
      </c>
      <c r="F824" s="139" t="s">
        <v>166</v>
      </c>
      <c r="G824" s="139" t="s">
        <v>200</v>
      </c>
      <c r="H824" s="141">
        <v>640</v>
      </c>
      <c r="I824" s="142" t="s">
        <v>203</v>
      </c>
      <c r="J824" s="139">
        <v>5513</v>
      </c>
      <c r="K824" s="140" t="s">
        <v>111</v>
      </c>
      <c r="L824" s="139">
        <v>55</v>
      </c>
      <c r="M824" s="139" t="s">
        <v>2219</v>
      </c>
      <c r="N824" s="139" t="s">
        <v>131</v>
      </c>
      <c r="O824" s="139" t="s">
        <v>549</v>
      </c>
      <c r="P824" s="140" t="s">
        <v>85</v>
      </c>
    </row>
    <row r="825" spans="1:16" x14ac:dyDescent="0.25">
      <c r="A825" s="10" t="s">
        <v>800</v>
      </c>
      <c r="B825" s="10" t="s">
        <v>247</v>
      </c>
      <c r="C825" s="136" t="s">
        <v>342</v>
      </c>
      <c r="D825" s="136" t="s">
        <v>582</v>
      </c>
      <c r="E825" s="136" t="s">
        <v>74</v>
      </c>
      <c r="F825" s="10" t="s">
        <v>166</v>
      </c>
      <c r="G825" s="10" t="s">
        <v>200</v>
      </c>
      <c r="H825" s="137">
        <v>640</v>
      </c>
      <c r="I825" s="138" t="s">
        <v>204</v>
      </c>
      <c r="J825" s="10">
        <v>5513</v>
      </c>
      <c r="K825" s="136" t="s">
        <v>111</v>
      </c>
      <c r="L825" s="10">
        <v>55</v>
      </c>
      <c r="M825" s="10" t="s">
        <v>2219</v>
      </c>
      <c r="N825" s="10" t="s">
        <v>131</v>
      </c>
      <c r="O825" s="10" t="s">
        <v>549</v>
      </c>
      <c r="P825" s="136" t="s">
        <v>85</v>
      </c>
    </row>
    <row r="826" spans="1:16" x14ac:dyDescent="0.25">
      <c r="A826" s="139" t="s">
        <v>800</v>
      </c>
      <c r="B826" s="139" t="s">
        <v>247</v>
      </c>
      <c r="C826" s="140" t="s">
        <v>342</v>
      </c>
      <c r="D826" s="140" t="s">
        <v>582</v>
      </c>
      <c r="E826" s="140" t="s">
        <v>74</v>
      </c>
      <c r="F826" s="139" t="s">
        <v>166</v>
      </c>
      <c r="G826" s="139" t="s">
        <v>200</v>
      </c>
      <c r="H826" s="141">
        <v>704</v>
      </c>
      <c r="I826" s="142" t="s">
        <v>205</v>
      </c>
      <c r="J826" s="139">
        <v>5513</v>
      </c>
      <c r="K826" s="140" t="s">
        <v>111</v>
      </c>
      <c r="L826" s="139">
        <v>55</v>
      </c>
      <c r="M826" s="139" t="s">
        <v>2219</v>
      </c>
      <c r="N826" s="139" t="s">
        <v>131</v>
      </c>
      <c r="O826" s="139" t="s">
        <v>549</v>
      </c>
      <c r="P826" s="140" t="s">
        <v>85</v>
      </c>
    </row>
    <row r="827" spans="1:16" x14ac:dyDescent="0.25">
      <c r="A827" s="10" t="s">
        <v>800</v>
      </c>
      <c r="B827" s="10" t="s">
        <v>247</v>
      </c>
      <c r="C827" s="136" t="s">
        <v>342</v>
      </c>
      <c r="D827" s="136" t="s">
        <v>582</v>
      </c>
      <c r="E827" s="136" t="s">
        <v>74</v>
      </c>
      <c r="F827" s="10" t="s">
        <v>166</v>
      </c>
      <c r="G827" s="10" t="s">
        <v>206</v>
      </c>
      <c r="H827" s="137">
        <v>200</v>
      </c>
      <c r="I827" s="138" t="s">
        <v>207</v>
      </c>
      <c r="J827" s="10">
        <v>5515</v>
      </c>
      <c r="K827" s="136" t="s">
        <v>112</v>
      </c>
      <c r="L827" s="10">
        <v>55</v>
      </c>
      <c r="M827" s="10" t="s">
        <v>2219</v>
      </c>
      <c r="N827" s="10" t="s">
        <v>131</v>
      </c>
      <c r="O827" s="10" t="s">
        <v>549</v>
      </c>
      <c r="P827" s="136" t="s">
        <v>85</v>
      </c>
    </row>
    <row r="828" spans="1:16" x14ac:dyDescent="0.25">
      <c r="A828" s="139" t="s">
        <v>800</v>
      </c>
      <c r="B828" s="139" t="s">
        <v>247</v>
      </c>
      <c r="C828" s="140" t="s">
        <v>342</v>
      </c>
      <c r="D828" s="140" t="s">
        <v>582</v>
      </c>
      <c r="E828" s="140" t="s">
        <v>74</v>
      </c>
      <c r="F828" s="139" t="s">
        <v>166</v>
      </c>
      <c r="G828" s="139" t="s">
        <v>208</v>
      </c>
      <c r="H828" s="141">
        <v>200</v>
      </c>
      <c r="I828" s="142"/>
      <c r="J828" s="139">
        <v>5515</v>
      </c>
      <c r="K828" s="140" t="s">
        <v>112</v>
      </c>
      <c r="L828" s="139">
        <v>55</v>
      </c>
      <c r="M828" s="139" t="s">
        <v>2219</v>
      </c>
      <c r="N828" s="139" t="s">
        <v>131</v>
      </c>
      <c r="O828" s="139" t="s">
        <v>549</v>
      </c>
      <c r="P828" s="140" t="s">
        <v>85</v>
      </c>
    </row>
    <row r="829" spans="1:16" x14ac:dyDescent="0.25">
      <c r="A829" s="10" t="s">
        <v>800</v>
      </c>
      <c r="B829" s="10" t="s">
        <v>247</v>
      </c>
      <c r="C829" s="136" t="s">
        <v>342</v>
      </c>
      <c r="D829" s="136" t="s">
        <v>582</v>
      </c>
      <c r="E829" s="136" t="s">
        <v>74</v>
      </c>
      <c r="F829" s="10" t="s">
        <v>166</v>
      </c>
      <c r="G829" s="10" t="s">
        <v>211</v>
      </c>
      <c r="H829" s="137">
        <v>1000</v>
      </c>
      <c r="I829" s="138" t="s">
        <v>212</v>
      </c>
      <c r="J829" s="10">
        <v>5515</v>
      </c>
      <c r="K829" s="136" t="s">
        <v>112</v>
      </c>
      <c r="L829" s="10">
        <v>55</v>
      </c>
      <c r="M829" s="10" t="s">
        <v>2219</v>
      </c>
      <c r="N829" s="10" t="s">
        <v>131</v>
      </c>
      <c r="O829" s="10" t="s">
        <v>549</v>
      </c>
      <c r="P829" s="136" t="s">
        <v>85</v>
      </c>
    </row>
    <row r="830" spans="1:16" x14ac:dyDescent="0.25">
      <c r="A830" s="139" t="s">
        <v>800</v>
      </c>
      <c r="B830" s="139" t="s">
        <v>247</v>
      </c>
      <c r="C830" s="140" t="s">
        <v>342</v>
      </c>
      <c r="D830" s="140" t="s">
        <v>582</v>
      </c>
      <c r="E830" s="140" t="s">
        <v>74</v>
      </c>
      <c r="F830" s="139" t="s">
        <v>166</v>
      </c>
      <c r="G830" s="139" t="s">
        <v>213</v>
      </c>
      <c r="H830" s="141">
        <v>10675</v>
      </c>
      <c r="I830" s="142"/>
      <c r="J830" s="139">
        <v>5521</v>
      </c>
      <c r="K830" s="140" t="s">
        <v>114</v>
      </c>
      <c r="L830" s="139">
        <v>55</v>
      </c>
      <c r="M830" s="139" t="s">
        <v>2219</v>
      </c>
      <c r="N830" s="139" t="s">
        <v>131</v>
      </c>
      <c r="O830" s="139" t="s">
        <v>549</v>
      </c>
      <c r="P830" s="140" t="s">
        <v>85</v>
      </c>
    </row>
    <row r="831" spans="1:16" x14ac:dyDescent="0.25">
      <c r="A831" s="10" t="s">
        <v>800</v>
      </c>
      <c r="B831" s="10" t="s">
        <v>247</v>
      </c>
      <c r="C831" s="136" t="s">
        <v>342</v>
      </c>
      <c r="D831" s="136" t="s">
        <v>582</v>
      </c>
      <c r="E831" s="136" t="s">
        <v>74</v>
      </c>
      <c r="F831" s="10" t="s">
        <v>166</v>
      </c>
      <c r="G831" s="10" t="s">
        <v>214</v>
      </c>
      <c r="H831" s="137">
        <v>150</v>
      </c>
      <c r="I831" s="138" t="s">
        <v>215</v>
      </c>
      <c r="J831" s="10">
        <v>5522</v>
      </c>
      <c r="K831" s="136" t="s">
        <v>115</v>
      </c>
      <c r="L831" s="10">
        <v>55</v>
      </c>
      <c r="M831" s="10" t="s">
        <v>2219</v>
      </c>
      <c r="N831" s="10" t="s">
        <v>131</v>
      </c>
      <c r="O831" s="10" t="s">
        <v>549</v>
      </c>
      <c r="P831" s="136" t="s">
        <v>85</v>
      </c>
    </row>
    <row r="832" spans="1:16" x14ac:dyDescent="0.25">
      <c r="A832" s="139" t="s">
        <v>800</v>
      </c>
      <c r="B832" s="139" t="s">
        <v>247</v>
      </c>
      <c r="C832" s="140" t="s">
        <v>342</v>
      </c>
      <c r="D832" s="140" t="s">
        <v>582</v>
      </c>
      <c r="E832" s="140" t="s">
        <v>74</v>
      </c>
      <c r="F832" s="139" t="s">
        <v>166</v>
      </c>
      <c r="G832" s="139" t="s">
        <v>216</v>
      </c>
      <c r="H832" s="141">
        <v>100</v>
      </c>
      <c r="I832" s="142"/>
      <c r="J832" s="139">
        <v>5522</v>
      </c>
      <c r="K832" s="140" t="s">
        <v>115</v>
      </c>
      <c r="L832" s="139">
        <v>55</v>
      </c>
      <c r="M832" s="139" t="s">
        <v>2219</v>
      </c>
      <c r="N832" s="139" t="s">
        <v>131</v>
      </c>
      <c r="O832" s="139" t="s">
        <v>549</v>
      </c>
      <c r="P832" s="140" t="s">
        <v>85</v>
      </c>
    </row>
    <row r="833" spans="1:16" x14ac:dyDescent="0.25">
      <c r="A833" s="10" t="s">
        <v>800</v>
      </c>
      <c r="B833" s="10" t="s">
        <v>247</v>
      </c>
      <c r="C833" s="136" t="s">
        <v>342</v>
      </c>
      <c r="D833" s="136" t="s">
        <v>582</v>
      </c>
      <c r="E833" s="136" t="s">
        <v>74</v>
      </c>
      <c r="F833" s="10" t="s">
        <v>166</v>
      </c>
      <c r="G833" s="10" t="s">
        <v>217</v>
      </c>
      <c r="H833" s="137">
        <v>200</v>
      </c>
      <c r="I833" s="138"/>
      <c r="J833" s="10">
        <v>5524</v>
      </c>
      <c r="K833" s="136" t="s">
        <v>117</v>
      </c>
      <c r="L833" s="10">
        <v>55</v>
      </c>
      <c r="M833" s="10" t="s">
        <v>2219</v>
      </c>
      <c r="N833" s="10" t="s">
        <v>131</v>
      </c>
      <c r="O833" s="10" t="s">
        <v>549</v>
      </c>
      <c r="P833" s="136" t="s">
        <v>85</v>
      </c>
    </row>
    <row r="834" spans="1:16" x14ac:dyDescent="0.25">
      <c r="A834" s="139" t="s">
        <v>800</v>
      </c>
      <c r="B834" s="139" t="s">
        <v>247</v>
      </c>
      <c r="C834" s="140" t="s">
        <v>342</v>
      </c>
      <c r="D834" s="140" t="s">
        <v>582</v>
      </c>
      <c r="E834" s="140" t="s">
        <v>74</v>
      </c>
      <c r="F834" s="139" t="s">
        <v>166</v>
      </c>
      <c r="G834" s="139" t="s">
        <v>218</v>
      </c>
      <c r="H834" s="141">
        <v>3023</v>
      </c>
      <c r="I834" s="142" t="s">
        <v>219</v>
      </c>
      <c r="J834" s="139">
        <v>5524</v>
      </c>
      <c r="K834" s="140" t="s">
        <v>117</v>
      </c>
      <c r="L834" s="139">
        <v>55</v>
      </c>
      <c r="M834" s="139" t="s">
        <v>2219</v>
      </c>
      <c r="N834" s="139" t="s">
        <v>131</v>
      </c>
      <c r="O834" s="139" t="s">
        <v>549</v>
      </c>
      <c r="P834" s="140" t="s">
        <v>85</v>
      </c>
    </row>
    <row r="835" spans="1:16" x14ac:dyDescent="0.25">
      <c r="A835" s="10" t="s">
        <v>800</v>
      </c>
      <c r="B835" s="10" t="s">
        <v>247</v>
      </c>
      <c r="C835" s="136" t="s">
        <v>342</v>
      </c>
      <c r="D835" s="136" t="s">
        <v>582</v>
      </c>
      <c r="E835" s="136" t="s">
        <v>74</v>
      </c>
      <c r="F835" s="10" t="s">
        <v>166</v>
      </c>
      <c r="G835" s="10" t="s">
        <v>220</v>
      </c>
      <c r="H835" s="137">
        <v>100</v>
      </c>
      <c r="I835" s="138"/>
      <c r="J835" s="10">
        <v>5524</v>
      </c>
      <c r="K835" s="136" t="s">
        <v>117</v>
      </c>
      <c r="L835" s="10">
        <v>55</v>
      </c>
      <c r="M835" s="10" t="s">
        <v>2219</v>
      </c>
      <c r="N835" s="10" t="s">
        <v>131</v>
      </c>
      <c r="O835" s="10" t="s">
        <v>549</v>
      </c>
      <c r="P835" s="136" t="s">
        <v>85</v>
      </c>
    </row>
    <row r="836" spans="1:16" x14ac:dyDescent="0.25">
      <c r="A836" s="139" t="s">
        <v>800</v>
      </c>
      <c r="B836" s="139" t="s">
        <v>247</v>
      </c>
      <c r="C836" s="140" t="s">
        <v>342</v>
      </c>
      <c r="D836" s="140" t="s">
        <v>582</v>
      </c>
      <c r="E836" s="140" t="s">
        <v>74</v>
      </c>
      <c r="F836" s="139" t="s">
        <v>166</v>
      </c>
      <c r="G836" s="139" t="s">
        <v>117</v>
      </c>
      <c r="H836" s="141">
        <v>500</v>
      </c>
      <c r="I836" s="142" t="s">
        <v>221</v>
      </c>
      <c r="J836" s="139">
        <v>5524</v>
      </c>
      <c r="K836" s="140" t="s">
        <v>117</v>
      </c>
      <c r="L836" s="139">
        <v>55</v>
      </c>
      <c r="M836" s="139" t="s">
        <v>2219</v>
      </c>
      <c r="N836" s="139" t="s">
        <v>131</v>
      </c>
      <c r="O836" s="139" t="s">
        <v>549</v>
      </c>
      <c r="P836" s="140" t="s">
        <v>85</v>
      </c>
    </row>
    <row r="837" spans="1:16" x14ac:dyDescent="0.25">
      <c r="A837" s="10" t="s">
        <v>800</v>
      </c>
      <c r="B837" s="10" t="s">
        <v>247</v>
      </c>
      <c r="C837" s="136" t="s">
        <v>342</v>
      </c>
      <c r="D837" s="136" t="s">
        <v>582</v>
      </c>
      <c r="E837" s="136" t="s">
        <v>74</v>
      </c>
      <c r="F837" s="10" t="s">
        <v>166</v>
      </c>
      <c r="G837" s="10" t="s">
        <v>222</v>
      </c>
      <c r="H837" s="137">
        <v>500</v>
      </c>
      <c r="I837" s="138" t="s">
        <v>223</v>
      </c>
      <c r="J837" s="10">
        <v>5524</v>
      </c>
      <c r="K837" s="136" t="s">
        <v>117</v>
      </c>
      <c r="L837" s="10">
        <v>55</v>
      </c>
      <c r="M837" s="10" t="s">
        <v>2219</v>
      </c>
      <c r="N837" s="10" t="s">
        <v>131</v>
      </c>
      <c r="O837" s="10" t="s">
        <v>549</v>
      </c>
      <c r="P837" s="136" t="s">
        <v>85</v>
      </c>
    </row>
    <row r="838" spans="1:16" x14ac:dyDescent="0.25">
      <c r="A838" s="139" t="s">
        <v>800</v>
      </c>
      <c r="B838" s="139" t="s">
        <v>247</v>
      </c>
      <c r="C838" s="140" t="s">
        <v>342</v>
      </c>
      <c r="D838" s="140" t="s">
        <v>582</v>
      </c>
      <c r="E838" s="140" t="s">
        <v>74</v>
      </c>
      <c r="F838" s="139" t="s">
        <v>166</v>
      </c>
      <c r="G838" s="139" t="s">
        <v>224</v>
      </c>
      <c r="H838" s="141">
        <v>100</v>
      </c>
      <c r="I838" s="142" t="s">
        <v>225</v>
      </c>
      <c r="J838" s="139">
        <v>5524</v>
      </c>
      <c r="K838" s="140" t="s">
        <v>117</v>
      </c>
      <c r="L838" s="139">
        <v>55</v>
      </c>
      <c r="M838" s="139" t="s">
        <v>2219</v>
      </c>
      <c r="N838" s="139" t="s">
        <v>131</v>
      </c>
      <c r="O838" s="139" t="s">
        <v>549</v>
      </c>
      <c r="P838" s="140" t="s">
        <v>85</v>
      </c>
    </row>
    <row r="839" spans="1:16" x14ac:dyDescent="0.25">
      <c r="A839" s="10" t="s">
        <v>800</v>
      </c>
      <c r="B839" s="10" t="s">
        <v>247</v>
      </c>
      <c r="C839" s="136" t="s">
        <v>342</v>
      </c>
      <c r="D839" s="136" t="s">
        <v>582</v>
      </c>
      <c r="E839" s="136" t="s">
        <v>74</v>
      </c>
      <c r="F839" s="10" t="s">
        <v>166</v>
      </c>
      <c r="G839" s="10" t="s">
        <v>226</v>
      </c>
      <c r="H839" s="137">
        <v>200</v>
      </c>
      <c r="I839" s="138" t="s">
        <v>227</v>
      </c>
      <c r="J839" s="10">
        <v>5524</v>
      </c>
      <c r="K839" s="136" t="s">
        <v>117</v>
      </c>
      <c r="L839" s="10">
        <v>55</v>
      </c>
      <c r="M839" s="10" t="s">
        <v>2219</v>
      </c>
      <c r="N839" s="10" t="s">
        <v>131</v>
      </c>
      <c r="O839" s="10" t="s">
        <v>549</v>
      </c>
      <c r="P839" s="136" t="s">
        <v>85</v>
      </c>
    </row>
    <row r="840" spans="1:16" x14ac:dyDescent="0.25">
      <c r="A840" s="139" t="s">
        <v>800</v>
      </c>
      <c r="B840" s="139" t="s">
        <v>247</v>
      </c>
      <c r="C840" s="140" t="s">
        <v>342</v>
      </c>
      <c r="D840" s="140" t="s">
        <v>582</v>
      </c>
      <c r="E840" s="140" t="s">
        <v>74</v>
      </c>
      <c r="F840" s="139" t="s">
        <v>166</v>
      </c>
      <c r="G840" s="139" t="s">
        <v>228</v>
      </c>
      <c r="H840" s="141">
        <v>200</v>
      </c>
      <c r="I840" s="142" t="s">
        <v>229</v>
      </c>
      <c r="J840" s="139">
        <v>5524</v>
      </c>
      <c r="K840" s="140" t="s">
        <v>117</v>
      </c>
      <c r="L840" s="139">
        <v>55</v>
      </c>
      <c r="M840" s="139" t="s">
        <v>2219</v>
      </c>
      <c r="N840" s="139" t="s">
        <v>131</v>
      </c>
      <c r="O840" s="139" t="s">
        <v>549</v>
      </c>
      <c r="P840" s="140" t="s">
        <v>85</v>
      </c>
    </row>
    <row r="841" spans="1:16" x14ac:dyDescent="0.25">
      <c r="A841" s="10" t="s">
        <v>800</v>
      </c>
      <c r="B841" s="10" t="s">
        <v>247</v>
      </c>
      <c r="C841" s="136" t="s">
        <v>342</v>
      </c>
      <c r="D841" s="136" t="s">
        <v>582</v>
      </c>
      <c r="E841" s="136" t="s">
        <v>74</v>
      </c>
      <c r="F841" s="10" t="s">
        <v>166</v>
      </c>
      <c r="G841" s="10" t="s">
        <v>230</v>
      </c>
      <c r="H841" s="137">
        <v>150</v>
      </c>
      <c r="I841" s="138"/>
      <c r="J841" s="10">
        <v>5524</v>
      </c>
      <c r="K841" s="136" t="s">
        <v>117</v>
      </c>
      <c r="L841" s="10">
        <v>55</v>
      </c>
      <c r="M841" s="10" t="s">
        <v>2219</v>
      </c>
      <c r="N841" s="10" t="s">
        <v>131</v>
      </c>
      <c r="O841" s="10" t="s">
        <v>549</v>
      </c>
      <c r="P841" s="136" t="s">
        <v>85</v>
      </c>
    </row>
    <row r="842" spans="1:16" x14ac:dyDescent="0.25">
      <c r="A842" s="139" t="s">
        <v>800</v>
      </c>
      <c r="B842" s="139" t="s">
        <v>247</v>
      </c>
      <c r="C842" s="140" t="s">
        <v>342</v>
      </c>
      <c r="D842" s="140" t="s">
        <v>582</v>
      </c>
      <c r="E842" s="140" t="s">
        <v>74</v>
      </c>
      <c r="F842" s="139" t="s">
        <v>166</v>
      </c>
      <c r="G842" s="139" t="s">
        <v>231</v>
      </c>
      <c r="H842" s="141">
        <v>150</v>
      </c>
      <c r="I842" s="142" t="s">
        <v>232</v>
      </c>
      <c r="J842" s="139">
        <v>5525</v>
      </c>
      <c r="K842" s="140" t="s">
        <v>118</v>
      </c>
      <c r="L842" s="139">
        <v>55</v>
      </c>
      <c r="M842" s="139" t="s">
        <v>2219</v>
      </c>
      <c r="N842" s="139" t="s">
        <v>131</v>
      </c>
      <c r="O842" s="139" t="s">
        <v>549</v>
      </c>
      <c r="P842" s="140" t="s">
        <v>85</v>
      </c>
    </row>
    <row r="843" spans="1:16" x14ac:dyDescent="0.25">
      <c r="A843" s="10" t="s">
        <v>800</v>
      </c>
      <c r="B843" s="10" t="s">
        <v>247</v>
      </c>
      <c r="C843" s="136" t="s">
        <v>342</v>
      </c>
      <c r="D843" s="136" t="s">
        <v>582</v>
      </c>
      <c r="E843" s="136" t="s">
        <v>74</v>
      </c>
      <c r="F843" s="10" t="s">
        <v>166</v>
      </c>
      <c r="G843" s="10" t="s">
        <v>233</v>
      </c>
      <c r="H843" s="137">
        <v>150</v>
      </c>
      <c r="I843" s="138"/>
      <c r="J843" s="10">
        <v>5525</v>
      </c>
      <c r="K843" s="136" t="s">
        <v>118</v>
      </c>
      <c r="L843" s="10">
        <v>55</v>
      </c>
      <c r="M843" s="10" t="s">
        <v>2219</v>
      </c>
      <c r="N843" s="10" t="s">
        <v>131</v>
      </c>
      <c r="O843" s="10" t="s">
        <v>549</v>
      </c>
      <c r="P843" s="136" t="s">
        <v>85</v>
      </c>
    </row>
    <row r="844" spans="1:16" x14ac:dyDescent="0.25">
      <c r="A844" s="139" t="s">
        <v>800</v>
      </c>
      <c r="B844" s="139" t="s">
        <v>247</v>
      </c>
      <c r="C844" s="140" t="s">
        <v>342</v>
      </c>
      <c r="D844" s="140" t="s">
        <v>582</v>
      </c>
      <c r="E844" s="140" t="s">
        <v>74</v>
      </c>
      <c r="F844" s="139" t="s">
        <v>166</v>
      </c>
      <c r="G844" s="139" t="s">
        <v>234</v>
      </c>
      <c r="H844" s="141">
        <v>150</v>
      </c>
      <c r="I844" s="142"/>
      <c r="J844" s="139">
        <v>5525</v>
      </c>
      <c r="K844" s="140" t="s">
        <v>118</v>
      </c>
      <c r="L844" s="139">
        <v>55</v>
      </c>
      <c r="M844" s="139" t="s">
        <v>2219</v>
      </c>
      <c r="N844" s="139" t="s">
        <v>131</v>
      </c>
      <c r="O844" s="139" t="s">
        <v>549</v>
      </c>
      <c r="P844" s="140" t="s">
        <v>85</v>
      </c>
    </row>
    <row r="845" spans="1:16" x14ac:dyDescent="0.25">
      <c r="A845" s="10" t="s">
        <v>800</v>
      </c>
      <c r="B845" s="10" t="s">
        <v>247</v>
      </c>
      <c r="C845" s="136" t="s">
        <v>342</v>
      </c>
      <c r="D845" s="136" t="s">
        <v>582</v>
      </c>
      <c r="E845" s="136" t="s">
        <v>74</v>
      </c>
      <c r="F845" s="10" t="s">
        <v>166</v>
      </c>
      <c r="G845" s="10" t="s">
        <v>235</v>
      </c>
      <c r="H845" s="137">
        <v>200</v>
      </c>
      <c r="I845" s="138"/>
      <c r="J845" s="10">
        <v>5525</v>
      </c>
      <c r="K845" s="136" t="s">
        <v>118</v>
      </c>
      <c r="L845" s="10">
        <v>55</v>
      </c>
      <c r="M845" s="10" t="s">
        <v>2219</v>
      </c>
      <c r="N845" s="10" t="s">
        <v>131</v>
      </c>
      <c r="O845" s="10" t="s">
        <v>549</v>
      </c>
      <c r="P845" s="136" t="s">
        <v>85</v>
      </c>
    </row>
    <row r="846" spans="1:16" x14ac:dyDescent="0.25">
      <c r="A846" s="139" t="s">
        <v>800</v>
      </c>
      <c r="B846" s="139" t="s">
        <v>247</v>
      </c>
      <c r="C846" s="140" t="s">
        <v>342</v>
      </c>
      <c r="D846" s="140" t="s">
        <v>582</v>
      </c>
      <c r="E846" s="140" t="s">
        <v>74</v>
      </c>
      <c r="F846" s="139" t="s">
        <v>166</v>
      </c>
      <c r="G846" s="139" t="s">
        <v>236</v>
      </c>
      <c r="H846" s="141">
        <v>100</v>
      </c>
      <c r="I846" s="142"/>
      <c r="J846" s="139">
        <v>5525</v>
      </c>
      <c r="K846" s="140" t="s">
        <v>118</v>
      </c>
      <c r="L846" s="139">
        <v>55</v>
      </c>
      <c r="M846" s="139" t="s">
        <v>2219</v>
      </c>
      <c r="N846" s="139" t="s">
        <v>131</v>
      </c>
      <c r="O846" s="139" t="s">
        <v>549</v>
      </c>
      <c r="P846" s="140" t="s">
        <v>85</v>
      </c>
    </row>
    <row r="847" spans="1:16" x14ac:dyDescent="0.25">
      <c r="A847" s="10" t="s">
        <v>800</v>
      </c>
      <c r="B847" s="10" t="s">
        <v>247</v>
      </c>
      <c r="C847" s="136" t="s">
        <v>342</v>
      </c>
      <c r="D847" s="136" t="s">
        <v>582</v>
      </c>
      <c r="E847" s="136" t="s">
        <v>74</v>
      </c>
      <c r="F847" s="10" t="s">
        <v>166</v>
      </c>
      <c r="G847" s="10" t="s">
        <v>237</v>
      </c>
      <c r="H847" s="137">
        <v>700</v>
      </c>
      <c r="I847" s="138"/>
      <c r="J847" s="10">
        <v>5525</v>
      </c>
      <c r="K847" s="136" t="s">
        <v>118</v>
      </c>
      <c r="L847" s="10">
        <v>55</v>
      </c>
      <c r="M847" s="10" t="s">
        <v>2219</v>
      </c>
      <c r="N847" s="10" t="s">
        <v>131</v>
      </c>
      <c r="O847" s="10" t="s">
        <v>549</v>
      </c>
      <c r="P847" s="136" t="s">
        <v>85</v>
      </c>
    </row>
    <row r="848" spans="1:16" x14ac:dyDescent="0.25">
      <c r="A848" s="139" t="s">
        <v>800</v>
      </c>
      <c r="B848" s="139" t="s">
        <v>247</v>
      </c>
      <c r="C848" s="140" t="s">
        <v>342</v>
      </c>
      <c r="D848" s="140" t="s">
        <v>582</v>
      </c>
      <c r="E848" s="140" t="s">
        <v>74</v>
      </c>
      <c r="F848" s="139" t="s">
        <v>166</v>
      </c>
      <c r="G848" s="139" t="s">
        <v>177</v>
      </c>
      <c r="H848" s="141">
        <v>37000</v>
      </c>
      <c r="I848" s="142"/>
      <c r="J848" s="139">
        <v>5511</v>
      </c>
      <c r="K848" s="140" t="s">
        <v>106</v>
      </c>
      <c r="L848" s="139">
        <v>55</v>
      </c>
      <c r="M848" s="139" t="s">
        <v>2219</v>
      </c>
      <c r="N848" s="139" t="s">
        <v>131</v>
      </c>
      <c r="O848" s="139" t="s">
        <v>549</v>
      </c>
      <c r="P848" s="140" t="s">
        <v>85</v>
      </c>
    </row>
    <row r="849" spans="1:16" x14ac:dyDescent="0.25">
      <c r="A849" s="10" t="s">
        <v>800</v>
      </c>
      <c r="B849" s="10" t="s">
        <v>247</v>
      </c>
      <c r="C849" s="136" t="s">
        <v>342</v>
      </c>
      <c r="D849" s="136" t="s">
        <v>582</v>
      </c>
      <c r="E849" s="136" t="s">
        <v>74</v>
      </c>
      <c r="F849" s="10" t="s">
        <v>166</v>
      </c>
      <c r="G849" s="10" t="s">
        <v>178</v>
      </c>
      <c r="H849" s="137">
        <v>6500</v>
      </c>
      <c r="I849" s="138"/>
      <c r="J849" s="10">
        <v>5511</v>
      </c>
      <c r="K849" s="136" t="s">
        <v>106</v>
      </c>
      <c r="L849" s="10">
        <v>55</v>
      </c>
      <c r="M849" s="10" t="s">
        <v>2219</v>
      </c>
      <c r="N849" s="10" t="s">
        <v>131</v>
      </c>
      <c r="O849" s="10" t="s">
        <v>549</v>
      </c>
      <c r="P849" s="136" t="s">
        <v>85</v>
      </c>
    </row>
    <row r="850" spans="1:16" x14ac:dyDescent="0.25">
      <c r="A850" s="139" t="s">
        <v>800</v>
      </c>
      <c r="B850" s="139" t="s">
        <v>247</v>
      </c>
      <c r="C850" s="140" t="s">
        <v>342</v>
      </c>
      <c r="D850" s="140" t="s">
        <v>582</v>
      </c>
      <c r="E850" s="140" t="s">
        <v>74</v>
      </c>
      <c r="F850" s="139" t="s">
        <v>166</v>
      </c>
      <c r="G850" s="139" t="s">
        <v>179</v>
      </c>
      <c r="H850" s="141">
        <v>4000</v>
      </c>
      <c r="I850" s="142"/>
      <c r="J850" s="139">
        <v>5511</v>
      </c>
      <c r="K850" s="140" t="s">
        <v>106</v>
      </c>
      <c r="L850" s="139">
        <v>55</v>
      </c>
      <c r="M850" s="139" t="s">
        <v>2219</v>
      </c>
      <c r="N850" s="139" t="s">
        <v>131</v>
      </c>
      <c r="O850" s="139" t="s">
        <v>549</v>
      </c>
      <c r="P850" s="140" t="s">
        <v>85</v>
      </c>
    </row>
    <row r="851" spans="1:16" x14ac:dyDescent="0.25">
      <c r="A851" s="10" t="s">
        <v>800</v>
      </c>
      <c r="B851" s="10" t="s">
        <v>247</v>
      </c>
      <c r="C851" s="136" t="s">
        <v>342</v>
      </c>
      <c r="D851" s="136" t="s">
        <v>582</v>
      </c>
      <c r="E851" s="136" t="s">
        <v>74</v>
      </c>
      <c r="F851" s="10" t="s">
        <v>166</v>
      </c>
      <c r="G851" s="10" t="s">
        <v>180</v>
      </c>
      <c r="H851" s="137">
        <v>489</v>
      </c>
      <c r="I851" s="138" t="s">
        <v>181</v>
      </c>
      <c r="J851" s="10">
        <v>5511</v>
      </c>
      <c r="K851" s="136" t="s">
        <v>106</v>
      </c>
      <c r="L851" s="10">
        <v>55</v>
      </c>
      <c r="M851" s="10" t="s">
        <v>2219</v>
      </c>
      <c r="N851" s="10" t="s">
        <v>131</v>
      </c>
      <c r="O851" s="10" t="s">
        <v>549</v>
      </c>
      <c r="P851" s="136" t="s">
        <v>85</v>
      </c>
    </row>
    <row r="852" spans="1:16" x14ac:dyDescent="0.25">
      <c r="A852" s="139" t="s">
        <v>800</v>
      </c>
      <c r="B852" s="139" t="s">
        <v>247</v>
      </c>
      <c r="C852" s="140" t="s">
        <v>342</v>
      </c>
      <c r="D852" s="140" t="s">
        <v>582</v>
      </c>
      <c r="E852" s="140" t="s">
        <v>74</v>
      </c>
      <c r="F852" s="139" t="s">
        <v>166</v>
      </c>
      <c r="G852" s="139" t="s">
        <v>182</v>
      </c>
      <c r="H852" s="141">
        <v>850</v>
      </c>
      <c r="I852" s="142" t="s">
        <v>183</v>
      </c>
      <c r="J852" s="139">
        <v>5511</v>
      </c>
      <c r="K852" s="140" t="s">
        <v>106</v>
      </c>
      <c r="L852" s="139">
        <v>55</v>
      </c>
      <c r="M852" s="139" t="s">
        <v>2219</v>
      </c>
      <c r="N852" s="139" t="s">
        <v>131</v>
      </c>
      <c r="O852" s="139" t="s">
        <v>549</v>
      </c>
      <c r="P852" s="140" t="s">
        <v>85</v>
      </c>
    </row>
    <row r="853" spans="1:16" x14ac:dyDescent="0.25">
      <c r="A853" s="10" t="s">
        <v>800</v>
      </c>
      <c r="B853" s="10" t="s">
        <v>247</v>
      </c>
      <c r="C853" s="136" t="s">
        <v>342</v>
      </c>
      <c r="D853" s="136" t="s">
        <v>582</v>
      </c>
      <c r="E853" s="136" t="s">
        <v>74</v>
      </c>
      <c r="F853" s="10" t="s">
        <v>166</v>
      </c>
      <c r="G853" s="10" t="s">
        <v>184</v>
      </c>
      <c r="H853" s="137">
        <v>800</v>
      </c>
      <c r="I853" s="138" t="s">
        <v>185</v>
      </c>
      <c r="J853" s="10">
        <v>5511</v>
      </c>
      <c r="K853" s="136" t="s">
        <v>106</v>
      </c>
      <c r="L853" s="10">
        <v>55</v>
      </c>
      <c r="M853" s="10" t="s">
        <v>2219</v>
      </c>
      <c r="N853" s="10" t="s">
        <v>131</v>
      </c>
      <c r="O853" s="10" t="s">
        <v>549</v>
      </c>
      <c r="P853" s="136" t="s">
        <v>85</v>
      </c>
    </row>
    <row r="854" spans="1:16" x14ac:dyDescent="0.25">
      <c r="A854" s="139" t="s">
        <v>800</v>
      </c>
      <c r="B854" s="139" t="s">
        <v>247</v>
      </c>
      <c r="C854" s="140" t="s">
        <v>342</v>
      </c>
      <c r="D854" s="140" t="s">
        <v>582</v>
      </c>
      <c r="E854" s="140" t="s">
        <v>74</v>
      </c>
      <c r="F854" s="139" t="s">
        <v>166</v>
      </c>
      <c r="G854" s="139" t="s">
        <v>186</v>
      </c>
      <c r="H854" s="141">
        <v>450</v>
      </c>
      <c r="I854" s="142" t="s">
        <v>187</v>
      </c>
      <c r="J854" s="139">
        <v>5511</v>
      </c>
      <c r="K854" s="140" t="s">
        <v>106</v>
      </c>
      <c r="L854" s="139">
        <v>55</v>
      </c>
      <c r="M854" s="139" t="s">
        <v>2219</v>
      </c>
      <c r="N854" s="139" t="s">
        <v>131</v>
      </c>
      <c r="O854" s="139" t="s">
        <v>549</v>
      </c>
      <c r="P854" s="140" t="s">
        <v>85</v>
      </c>
    </row>
    <row r="855" spans="1:16" x14ac:dyDescent="0.25">
      <c r="A855" s="10" t="s">
        <v>800</v>
      </c>
      <c r="B855" s="10" t="s">
        <v>247</v>
      </c>
      <c r="C855" s="136" t="s">
        <v>342</v>
      </c>
      <c r="D855" s="136" t="s">
        <v>582</v>
      </c>
      <c r="E855" s="136" t="s">
        <v>74</v>
      </c>
      <c r="F855" s="10" t="s">
        <v>166</v>
      </c>
      <c r="G855" s="10" t="s">
        <v>188</v>
      </c>
      <c r="H855" s="137">
        <v>106</v>
      </c>
      <c r="I855" s="138" t="s">
        <v>189</v>
      </c>
      <c r="J855" s="10">
        <v>5511</v>
      </c>
      <c r="K855" s="136" t="s">
        <v>106</v>
      </c>
      <c r="L855" s="10">
        <v>55</v>
      </c>
      <c r="M855" s="10" t="s">
        <v>2219</v>
      </c>
      <c r="N855" s="10" t="s">
        <v>131</v>
      </c>
      <c r="O855" s="10" t="s">
        <v>549</v>
      </c>
      <c r="P855" s="136" t="s">
        <v>85</v>
      </c>
    </row>
    <row r="856" spans="1:16" x14ac:dyDescent="0.25">
      <c r="A856" s="139" t="s">
        <v>800</v>
      </c>
      <c r="B856" s="139" t="s">
        <v>247</v>
      </c>
      <c r="C856" s="140" t="s">
        <v>342</v>
      </c>
      <c r="D856" s="140" t="s">
        <v>582</v>
      </c>
      <c r="E856" s="140" t="s">
        <v>74</v>
      </c>
      <c r="F856" s="139" t="s">
        <v>166</v>
      </c>
      <c r="G856" s="139" t="s">
        <v>190</v>
      </c>
      <c r="H856" s="141">
        <v>92</v>
      </c>
      <c r="I856" s="142" t="s">
        <v>191</v>
      </c>
      <c r="J856" s="139">
        <v>5511</v>
      </c>
      <c r="K856" s="140" t="s">
        <v>106</v>
      </c>
      <c r="L856" s="139">
        <v>55</v>
      </c>
      <c r="M856" s="139" t="s">
        <v>2219</v>
      </c>
      <c r="N856" s="139" t="s">
        <v>131</v>
      </c>
      <c r="O856" s="139" t="s">
        <v>549</v>
      </c>
      <c r="P856" s="140" t="s">
        <v>85</v>
      </c>
    </row>
    <row r="857" spans="1:16" x14ac:dyDescent="0.25">
      <c r="A857" s="10" t="s">
        <v>800</v>
      </c>
      <c r="B857" s="10" t="s">
        <v>247</v>
      </c>
      <c r="C857" s="136" t="s">
        <v>342</v>
      </c>
      <c r="D857" s="136" t="s">
        <v>582</v>
      </c>
      <c r="E857" s="136" t="s">
        <v>74</v>
      </c>
      <c r="F857" s="10" t="s">
        <v>166</v>
      </c>
      <c r="G857" s="10" t="s">
        <v>192</v>
      </c>
      <c r="H857" s="137">
        <v>113</v>
      </c>
      <c r="I857" s="138" t="s">
        <v>193</v>
      </c>
      <c r="J857" s="10">
        <v>5511</v>
      </c>
      <c r="K857" s="136" t="s">
        <v>106</v>
      </c>
      <c r="L857" s="10">
        <v>55</v>
      </c>
      <c r="M857" s="10" t="s">
        <v>2219</v>
      </c>
      <c r="N857" s="10" t="s">
        <v>131</v>
      </c>
      <c r="O857" s="10" t="s">
        <v>549</v>
      </c>
      <c r="P857" s="136" t="s">
        <v>85</v>
      </c>
    </row>
    <row r="858" spans="1:16" x14ac:dyDescent="0.25">
      <c r="A858" s="139" t="s">
        <v>800</v>
      </c>
      <c r="B858" s="139" t="s">
        <v>247</v>
      </c>
      <c r="C858" s="140" t="s">
        <v>342</v>
      </c>
      <c r="D858" s="140" t="s">
        <v>582</v>
      </c>
      <c r="E858" s="140" t="s">
        <v>74</v>
      </c>
      <c r="F858" s="139" t="s">
        <v>166</v>
      </c>
      <c r="G858" s="139" t="s">
        <v>194</v>
      </c>
      <c r="H858" s="141">
        <v>1400</v>
      </c>
      <c r="I858" s="142" t="s">
        <v>195</v>
      </c>
      <c r="J858" s="139">
        <v>5511</v>
      </c>
      <c r="K858" s="140" t="s">
        <v>106</v>
      </c>
      <c r="L858" s="139">
        <v>55</v>
      </c>
      <c r="M858" s="139" t="s">
        <v>2219</v>
      </c>
      <c r="N858" s="139" t="s">
        <v>131</v>
      </c>
      <c r="O858" s="139" t="s">
        <v>549</v>
      </c>
      <c r="P858" s="140" t="s">
        <v>85</v>
      </c>
    </row>
    <row r="859" spans="1:16" x14ac:dyDescent="0.25">
      <c r="A859" s="10" t="s">
        <v>800</v>
      </c>
      <c r="B859" s="10" t="s">
        <v>247</v>
      </c>
      <c r="C859" s="136" t="s">
        <v>342</v>
      </c>
      <c r="D859" s="136" t="s">
        <v>582</v>
      </c>
      <c r="E859" s="136" t="s">
        <v>74</v>
      </c>
      <c r="F859" s="10" t="s">
        <v>166</v>
      </c>
      <c r="G859" s="10" t="s">
        <v>196</v>
      </c>
      <c r="H859" s="137">
        <v>4500</v>
      </c>
      <c r="I859" s="138"/>
      <c r="J859" s="10">
        <v>5511</v>
      </c>
      <c r="K859" s="136" t="s">
        <v>106</v>
      </c>
      <c r="L859" s="10">
        <v>55</v>
      </c>
      <c r="M859" s="10" t="s">
        <v>2219</v>
      </c>
      <c r="N859" s="10" t="s">
        <v>131</v>
      </c>
      <c r="O859" s="10" t="s">
        <v>549</v>
      </c>
      <c r="P859" s="136" t="s">
        <v>85</v>
      </c>
    </row>
    <row r="860" spans="1:16" x14ac:dyDescent="0.25">
      <c r="A860" s="139" t="s">
        <v>800</v>
      </c>
      <c r="B860" s="139" t="s">
        <v>247</v>
      </c>
      <c r="C860" s="140" t="s">
        <v>342</v>
      </c>
      <c r="D860" s="140" t="s">
        <v>582</v>
      </c>
      <c r="E860" s="140" t="s">
        <v>74</v>
      </c>
      <c r="F860" s="139" t="s">
        <v>166</v>
      </c>
      <c r="G860" s="139" t="s">
        <v>238</v>
      </c>
      <c r="H860" s="141">
        <v>400</v>
      </c>
      <c r="I860" s="142" t="s">
        <v>239</v>
      </c>
      <c r="J860" s="139">
        <v>5514</v>
      </c>
      <c r="K860" s="140" t="s">
        <v>110</v>
      </c>
      <c r="L860" s="139">
        <v>55</v>
      </c>
      <c r="M860" s="139" t="s">
        <v>2219</v>
      </c>
      <c r="N860" s="139" t="s">
        <v>131</v>
      </c>
      <c r="O860" s="139" t="s">
        <v>549</v>
      </c>
      <c r="P860" s="140" t="s">
        <v>85</v>
      </c>
    </row>
    <row r="861" spans="1:16" x14ac:dyDescent="0.25">
      <c r="A861" s="10" t="s">
        <v>800</v>
      </c>
      <c r="B861" s="10" t="s">
        <v>247</v>
      </c>
      <c r="C861" s="136" t="s">
        <v>342</v>
      </c>
      <c r="D861" s="136" t="s">
        <v>582</v>
      </c>
      <c r="E861" s="136" t="s">
        <v>74</v>
      </c>
      <c r="F861" s="10" t="s">
        <v>166</v>
      </c>
      <c r="G861" s="10" t="s">
        <v>242</v>
      </c>
      <c r="H861" s="137">
        <v>250</v>
      </c>
      <c r="I861" s="138" t="s">
        <v>243</v>
      </c>
      <c r="J861" s="10">
        <v>5514</v>
      </c>
      <c r="K861" s="136" t="s">
        <v>110</v>
      </c>
      <c r="L861" s="10">
        <v>55</v>
      </c>
      <c r="M861" s="10" t="s">
        <v>2219</v>
      </c>
      <c r="N861" s="10" t="s">
        <v>131</v>
      </c>
      <c r="O861" s="10" t="s">
        <v>549</v>
      </c>
      <c r="P861" s="136" t="s">
        <v>85</v>
      </c>
    </row>
    <row r="862" spans="1:16" x14ac:dyDescent="0.25">
      <c r="A862" s="139" t="s">
        <v>800</v>
      </c>
      <c r="B862" s="139" t="s">
        <v>247</v>
      </c>
      <c r="C862" s="140" t="s">
        <v>342</v>
      </c>
      <c r="D862" s="140" t="s">
        <v>582</v>
      </c>
      <c r="E862" s="140" t="s">
        <v>74</v>
      </c>
      <c r="F862" s="139" t="s">
        <v>166</v>
      </c>
      <c r="G862" s="139" t="s">
        <v>244</v>
      </c>
      <c r="H862" s="141">
        <v>20</v>
      </c>
      <c r="I862" s="142"/>
      <c r="J862" s="139">
        <v>5514</v>
      </c>
      <c r="K862" s="140" t="s">
        <v>110</v>
      </c>
      <c r="L862" s="139">
        <v>55</v>
      </c>
      <c r="M862" s="139" t="s">
        <v>2219</v>
      </c>
      <c r="N862" s="139" t="s">
        <v>131</v>
      </c>
      <c r="O862" s="139" t="s">
        <v>549</v>
      </c>
      <c r="P862" s="140" t="s">
        <v>85</v>
      </c>
    </row>
    <row r="863" spans="1:16" x14ac:dyDescent="0.25">
      <c r="A863" s="10" t="s">
        <v>800</v>
      </c>
      <c r="B863" s="10" t="s">
        <v>247</v>
      </c>
      <c r="C863" s="136" t="s">
        <v>342</v>
      </c>
      <c r="D863" s="136" t="s">
        <v>582</v>
      </c>
      <c r="E863" s="136" t="s">
        <v>74</v>
      </c>
      <c r="F863" s="10" t="s">
        <v>166</v>
      </c>
      <c r="G863" s="10" t="s">
        <v>209</v>
      </c>
      <c r="H863" s="137">
        <v>1000</v>
      </c>
      <c r="I863" s="138" t="s">
        <v>210</v>
      </c>
      <c r="J863" s="10">
        <v>5514</v>
      </c>
      <c r="K863" s="136" t="s">
        <v>110</v>
      </c>
      <c r="L863" s="10">
        <v>55</v>
      </c>
      <c r="M863" s="10" t="s">
        <v>2219</v>
      </c>
      <c r="N863" s="10" t="s">
        <v>131</v>
      </c>
      <c r="O863" s="10" t="s">
        <v>549</v>
      </c>
      <c r="P863" s="136" t="s">
        <v>85</v>
      </c>
    </row>
    <row r="864" spans="1:16" x14ac:dyDescent="0.25">
      <c r="A864" s="147" t="s">
        <v>800</v>
      </c>
      <c r="B864" s="147" t="s">
        <v>247</v>
      </c>
      <c r="C864" s="148" t="s">
        <v>342</v>
      </c>
      <c r="D864" s="148" t="s">
        <v>582</v>
      </c>
      <c r="E864" s="148" t="s">
        <v>74</v>
      </c>
      <c r="F864" s="147" t="s">
        <v>614</v>
      </c>
      <c r="G864" s="147" t="s">
        <v>609</v>
      </c>
      <c r="H864" s="149">
        <v>785.4</v>
      </c>
      <c r="I864" s="150" t="s">
        <v>619</v>
      </c>
      <c r="J864" s="147">
        <v>5511</v>
      </c>
      <c r="K864" s="148" t="s">
        <v>106</v>
      </c>
      <c r="L864" s="147">
        <v>55</v>
      </c>
      <c r="M864" s="147" t="s">
        <v>2219</v>
      </c>
      <c r="N864" s="148" t="s">
        <v>131</v>
      </c>
      <c r="O864" s="148" t="s">
        <v>549</v>
      </c>
      <c r="P864" s="148" t="s">
        <v>85</v>
      </c>
    </row>
    <row r="865" spans="1:16" x14ac:dyDescent="0.25">
      <c r="A865" s="147" t="s">
        <v>800</v>
      </c>
      <c r="B865" s="147" t="s">
        <v>247</v>
      </c>
      <c r="C865" s="148" t="s">
        <v>342</v>
      </c>
      <c r="D865" s="148" t="s">
        <v>582</v>
      </c>
      <c r="E865" s="148" t="s">
        <v>74</v>
      </c>
      <c r="F865" s="147" t="s">
        <v>614</v>
      </c>
      <c r="G865" s="147" t="s">
        <v>611</v>
      </c>
      <c r="H865" s="149">
        <v>4580</v>
      </c>
      <c r="I865" s="150" t="s">
        <v>621</v>
      </c>
      <c r="J865" s="147">
        <v>5525</v>
      </c>
      <c r="K865" s="148" t="s">
        <v>118</v>
      </c>
      <c r="L865" s="147">
        <v>55</v>
      </c>
      <c r="M865" s="147" t="s">
        <v>2219</v>
      </c>
      <c r="N865" s="148" t="s">
        <v>131</v>
      </c>
      <c r="O865" s="148" t="s">
        <v>549</v>
      </c>
      <c r="P865" s="148" t="s">
        <v>85</v>
      </c>
    </row>
    <row r="866" spans="1:16" x14ac:dyDescent="0.25">
      <c r="A866" s="147" t="s">
        <v>800</v>
      </c>
      <c r="B866" s="147" t="s">
        <v>247</v>
      </c>
      <c r="C866" s="148" t="s">
        <v>342</v>
      </c>
      <c r="D866" s="148" t="s">
        <v>582</v>
      </c>
      <c r="E866" s="148" t="s">
        <v>74</v>
      </c>
      <c r="F866" s="147" t="s">
        <v>614</v>
      </c>
      <c r="G866" s="147" t="s">
        <v>613</v>
      </c>
      <c r="H866" s="149">
        <v>760</v>
      </c>
      <c r="I866" s="150" t="s">
        <v>623</v>
      </c>
      <c r="J866" s="147">
        <v>5540</v>
      </c>
      <c r="K866" s="148" t="s">
        <v>121</v>
      </c>
      <c r="L866" s="147">
        <v>55</v>
      </c>
      <c r="M866" s="147" t="s">
        <v>2219</v>
      </c>
      <c r="N866" s="148" t="s">
        <v>131</v>
      </c>
      <c r="O866" s="148" t="s">
        <v>549</v>
      </c>
      <c r="P866" s="148" t="s">
        <v>85</v>
      </c>
    </row>
    <row r="867" spans="1:16" x14ac:dyDescent="0.25">
      <c r="A867" s="10" t="s">
        <v>800</v>
      </c>
      <c r="B867" s="10" t="s">
        <v>247</v>
      </c>
      <c r="C867" s="136" t="s">
        <v>342</v>
      </c>
      <c r="D867" s="136" t="s">
        <v>582</v>
      </c>
      <c r="E867" s="136" t="s">
        <v>74</v>
      </c>
      <c r="F867" s="10" t="s">
        <v>166</v>
      </c>
      <c r="G867" s="10" t="s">
        <v>2199</v>
      </c>
      <c r="H867" s="137">
        <v>1100</v>
      </c>
      <c r="I867" s="138" t="s">
        <v>2203</v>
      </c>
      <c r="J867" s="10">
        <v>5504</v>
      </c>
      <c r="K867" s="136" t="s">
        <v>102</v>
      </c>
      <c r="L867" s="10">
        <v>55</v>
      </c>
      <c r="M867" s="10" t="s">
        <v>2219</v>
      </c>
      <c r="N867" s="136" t="s">
        <v>131</v>
      </c>
      <c r="O867" s="144" t="s">
        <v>549</v>
      </c>
      <c r="P867" s="136" t="s">
        <v>85</v>
      </c>
    </row>
    <row r="868" spans="1:16" x14ac:dyDescent="0.25">
      <c r="A868" s="139" t="s">
        <v>800</v>
      </c>
      <c r="B868" s="139" t="s">
        <v>247</v>
      </c>
      <c r="C868" s="140" t="s">
        <v>342</v>
      </c>
      <c r="D868" s="140" t="s">
        <v>582</v>
      </c>
      <c r="E868" s="140" t="s">
        <v>74</v>
      </c>
      <c r="F868" s="139" t="s">
        <v>166</v>
      </c>
      <c r="G868" s="139" t="s">
        <v>2200</v>
      </c>
      <c r="H868" s="141">
        <v>3477</v>
      </c>
      <c r="I868" s="142" t="s">
        <v>2203</v>
      </c>
      <c r="J868" s="139">
        <v>5524</v>
      </c>
      <c r="K868" s="140" t="s">
        <v>117</v>
      </c>
      <c r="L868" s="139">
        <v>55</v>
      </c>
      <c r="M868" s="139" t="s">
        <v>2219</v>
      </c>
      <c r="N868" s="140" t="s">
        <v>131</v>
      </c>
      <c r="O868" s="140" t="s">
        <v>549</v>
      </c>
      <c r="P868" s="140" t="s">
        <v>85</v>
      </c>
    </row>
    <row r="869" spans="1:16" x14ac:dyDescent="0.25">
      <c r="A869" s="10" t="s">
        <v>800</v>
      </c>
      <c r="B869" s="10" t="s">
        <v>343</v>
      </c>
      <c r="C869" s="136" t="s">
        <v>344</v>
      </c>
      <c r="D869" s="136" t="s">
        <v>582</v>
      </c>
      <c r="E869" s="136" t="s">
        <v>74</v>
      </c>
      <c r="F869" s="10" t="s">
        <v>1726</v>
      </c>
      <c r="G869" s="10" t="s">
        <v>167</v>
      </c>
      <c r="H869" s="137">
        <v>800</v>
      </c>
      <c r="I869" s="138" t="s">
        <v>1734</v>
      </c>
      <c r="J869" s="10">
        <v>5500</v>
      </c>
      <c r="K869" s="136" t="s">
        <v>100</v>
      </c>
      <c r="L869" s="10">
        <v>55</v>
      </c>
      <c r="M869" s="10" t="s">
        <v>2219</v>
      </c>
      <c r="N869" s="136" t="s">
        <v>131</v>
      </c>
      <c r="O869" s="136" t="s">
        <v>549</v>
      </c>
      <c r="P869" s="136" t="s">
        <v>85</v>
      </c>
    </row>
    <row r="870" spans="1:16" x14ac:dyDescent="0.25">
      <c r="A870" s="139" t="s">
        <v>800</v>
      </c>
      <c r="B870" s="139" t="s">
        <v>343</v>
      </c>
      <c r="C870" s="140" t="s">
        <v>344</v>
      </c>
      <c r="D870" s="140" t="s">
        <v>582</v>
      </c>
      <c r="E870" s="140" t="s">
        <v>74</v>
      </c>
      <c r="F870" s="139" t="s">
        <v>1726</v>
      </c>
      <c r="G870" s="139" t="s">
        <v>832</v>
      </c>
      <c r="H870" s="141">
        <v>50</v>
      </c>
      <c r="I870" s="142"/>
      <c r="J870" s="139">
        <v>5500</v>
      </c>
      <c r="K870" s="140" t="s">
        <v>100</v>
      </c>
      <c r="L870" s="139">
        <v>55</v>
      </c>
      <c r="M870" s="139" t="s">
        <v>2219</v>
      </c>
      <c r="N870" s="140" t="s">
        <v>131</v>
      </c>
      <c r="O870" s="140" t="s">
        <v>549</v>
      </c>
      <c r="P870" s="140" t="s">
        <v>85</v>
      </c>
    </row>
    <row r="871" spans="1:16" x14ac:dyDescent="0.25">
      <c r="A871" s="10" t="s">
        <v>800</v>
      </c>
      <c r="B871" s="10" t="s">
        <v>343</v>
      </c>
      <c r="C871" s="136" t="s">
        <v>344</v>
      </c>
      <c r="D871" s="136" t="s">
        <v>582</v>
      </c>
      <c r="E871" s="136" t="s">
        <v>74</v>
      </c>
      <c r="F871" s="10" t="s">
        <v>1726</v>
      </c>
      <c r="G871" s="10" t="s">
        <v>1731</v>
      </c>
      <c r="H871" s="137">
        <v>200</v>
      </c>
      <c r="I871" s="138"/>
      <c r="J871" s="10">
        <v>5500</v>
      </c>
      <c r="K871" s="136" t="s">
        <v>100</v>
      </c>
      <c r="L871" s="10">
        <v>55</v>
      </c>
      <c r="M871" s="10" t="s">
        <v>2219</v>
      </c>
      <c r="N871" s="136" t="s">
        <v>131</v>
      </c>
      <c r="O871" s="136" t="s">
        <v>549</v>
      </c>
      <c r="P871" s="136" t="s">
        <v>85</v>
      </c>
    </row>
    <row r="872" spans="1:16" x14ac:dyDescent="0.25">
      <c r="A872" s="139" t="s">
        <v>800</v>
      </c>
      <c r="B872" s="139" t="s">
        <v>343</v>
      </c>
      <c r="C872" s="140" t="s">
        <v>344</v>
      </c>
      <c r="D872" s="140" t="s">
        <v>582</v>
      </c>
      <c r="E872" s="140" t="s">
        <v>74</v>
      </c>
      <c r="F872" s="139" t="s">
        <v>1726</v>
      </c>
      <c r="G872" s="139" t="s">
        <v>1732</v>
      </c>
      <c r="H872" s="141">
        <v>200</v>
      </c>
      <c r="I872" s="142" t="s">
        <v>1735</v>
      </c>
      <c r="J872" s="139">
        <v>5500</v>
      </c>
      <c r="K872" s="140" t="s">
        <v>100</v>
      </c>
      <c r="L872" s="139">
        <v>55</v>
      </c>
      <c r="M872" s="139" t="s">
        <v>2219</v>
      </c>
      <c r="N872" s="140" t="s">
        <v>131</v>
      </c>
      <c r="O872" s="140" t="s">
        <v>549</v>
      </c>
      <c r="P872" s="140" t="s">
        <v>85</v>
      </c>
    </row>
    <row r="873" spans="1:16" x14ac:dyDescent="0.25">
      <c r="A873" s="10" t="s">
        <v>800</v>
      </c>
      <c r="B873" s="10" t="s">
        <v>343</v>
      </c>
      <c r="C873" s="136" t="s">
        <v>344</v>
      </c>
      <c r="D873" s="136" t="s">
        <v>582</v>
      </c>
      <c r="E873" s="136" t="s">
        <v>74</v>
      </c>
      <c r="F873" s="10" t="s">
        <v>1726</v>
      </c>
      <c r="G873" s="10" t="s">
        <v>408</v>
      </c>
      <c r="H873" s="137">
        <v>50</v>
      </c>
      <c r="I873" s="138"/>
      <c r="J873" s="10">
        <v>5500</v>
      </c>
      <c r="K873" s="136" t="s">
        <v>100</v>
      </c>
      <c r="L873" s="10">
        <v>55</v>
      </c>
      <c r="M873" s="10" t="s">
        <v>2219</v>
      </c>
      <c r="N873" s="136" t="s">
        <v>131</v>
      </c>
      <c r="O873" s="136" t="s">
        <v>549</v>
      </c>
      <c r="P873" s="136" t="s">
        <v>85</v>
      </c>
    </row>
    <row r="874" spans="1:16" x14ac:dyDescent="0.25">
      <c r="A874" s="139" t="s">
        <v>800</v>
      </c>
      <c r="B874" s="139" t="s">
        <v>343</v>
      </c>
      <c r="C874" s="140" t="s">
        <v>344</v>
      </c>
      <c r="D874" s="140" t="s">
        <v>582</v>
      </c>
      <c r="E874" s="140" t="s">
        <v>74</v>
      </c>
      <c r="F874" s="139" t="s">
        <v>1726</v>
      </c>
      <c r="G874" s="139" t="s">
        <v>1733</v>
      </c>
      <c r="H874" s="141">
        <v>230</v>
      </c>
      <c r="I874" s="142" t="s">
        <v>1736</v>
      </c>
      <c r="J874" s="139">
        <v>5500</v>
      </c>
      <c r="K874" s="140" t="s">
        <v>100</v>
      </c>
      <c r="L874" s="139">
        <v>55</v>
      </c>
      <c r="M874" s="139" t="s">
        <v>2219</v>
      </c>
      <c r="N874" s="140" t="s">
        <v>131</v>
      </c>
      <c r="O874" s="140" t="s">
        <v>549</v>
      </c>
      <c r="P874" s="140" t="s">
        <v>85</v>
      </c>
    </row>
    <row r="875" spans="1:16" x14ac:dyDescent="0.25">
      <c r="A875" s="10" t="s">
        <v>800</v>
      </c>
      <c r="B875" s="10" t="s">
        <v>343</v>
      </c>
      <c r="C875" s="136" t="s">
        <v>344</v>
      </c>
      <c r="D875" s="136" t="s">
        <v>582</v>
      </c>
      <c r="E875" s="136" t="s">
        <v>74</v>
      </c>
      <c r="F875" s="10" t="s">
        <v>1726</v>
      </c>
      <c r="G875" s="10" t="s">
        <v>1737</v>
      </c>
      <c r="H875" s="137">
        <v>200</v>
      </c>
      <c r="I875" s="138"/>
      <c r="J875" s="10">
        <v>5504</v>
      </c>
      <c r="K875" s="136" t="s">
        <v>102</v>
      </c>
      <c r="L875" s="10">
        <v>55</v>
      </c>
      <c r="M875" s="10" t="s">
        <v>2219</v>
      </c>
      <c r="N875" s="136" t="s">
        <v>131</v>
      </c>
      <c r="O875" s="136" t="s">
        <v>549</v>
      </c>
      <c r="P875" s="136" t="s">
        <v>85</v>
      </c>
    </row>
    <row r="876" spans="1:16" x14ac:dyDescent="0.25">
      <c r="A876" s="139" t="s">
        <v>800</v>
      </c>
      <c r="B876" s="139" t="s">
        <v>343</v>
      </c>
      <c r="C876" s="140" t="s">
        <v>344</v>
      </c>
      <c r="D876" s="140" t="s">
        <v>582</v>
      </c>
      <c r="E876" s="140" t="s">
        <v>74</v>
      </c>
      <c r="F876" s="139" t="s">
        <v>1726</v>
      </c>
      <c r="G876" s="139" t="s">
        <v>1738</v>
      </c>
      <c r="H876" s="141">
        <v>100</v>
      </c>
      <c r="I876" s="142"/>
      <c r="J876" s="139">
        <v>5504</v>
      </c>
      <c r="K876" s="140" t="s">
        <v>102</v>
      </c>
      <c r="L876" s="139">
        <v>55</v>
      </c>
      <c r="M876" s="139" t="s">
        <v>2219</v>
      </c>
      <c r="N876" s="140" t="s">
        <v>131</v>
      </c>
      <c r="O876" s="140" t="s">
        <v>549</v>
      </c>
      <c r="P876" s="140" t="s">
        <v>85</v>
      </c>
    </row>
    <row r="877" spans="1:16" x14ac:dyDescent="0.25">
      <c r="A877" s="10" t="s">
        <v>800</v>
      </c>
      <c r="B877" s="10" t="s">
        <v>343</v>
      </c>
      <c r="C877" s="136" t="s">
        <v>344</v>
      </c>
      <c r="D877" s="136" t="s">
        <v>582</v>
      </c>
      <c r="E877" s="136" t="s">
        <v>74</v>
      </c>
      <c r="F877" s="10" t="s">
        <v>1726</v>
      </c>
      <c r="G877" s="10" t="s">
        <v>1740</v>
      </c>
      <c r="H877" s="137">
        <v>300</v>
      </c>
      <c r="I877" s="138"/>
      <c r="J877" s="10">
        <v>5504</v>
      </c>
      <c r="K877" s="136" t="s">
        <v>102</v>
      </c>
      <c r="L877" s="10">
        <v>55</v>
      </c>
      <c r="M877" s="10" t="s">
        <v>2219</v>
      </c>
      <c r="N877" s="136" t="s">
        <v>131</v>
      </c>
      <c r="O877" s="136" t="s">
        <v>549</v>
      </c>
      <c r="P877" s="136" t="s">
        <v>85</v>
      </c>
    </row>
    <row r="878" spans="1:16" x14ac:dyDescent="0.25">
      <c r="A878" s="139" t="s">
        <v>800</v>
      </c>
      <c r="B878" s="139" t="s">
        <v>343</v>
      </c>
      <c r="C878" s="140" t="s">
        <v>344</v>
      </c>
      <c r="D878" s="140" t="s">
        <v>582</v>
      </c>
      <c r="E878" s="140" t="s">
        <v>74</v>
      </c>
      <c r="F878" s="139" t="s">
        <v>1726</v>
      </c>
      <c r="G878" s="139" t="s">
        <v>415</v>
      </c>
      <c r="H878" s="141">
        <v>684</v>
      </c>
      <c r="I878" s="142"/>
      <c r="J878" s="139">
        <v>5513</v>
      </c>
      <c r="K878" s="140" t="s">
        <v>111</v>
      </c>
      <c r="L878" s="139">
        <v>55</v>
      </c>
      <c r="M878" s="139" t="s">
        <v>2219</v>
      </c>
      <c r="N878" s="140" t="s">
        <v>131</v>
      </c>
      <c r="O878" s="140" t="s">
        <v>549</v>
      </c>
      <c r="P878" s="140" t="s">
        <v>85</v>
      </c>
    </row>
    <row r="879" spans="1:16" x14ac:dyDescent="0.25">
      <c r="A879" s="10" t="s">
        <v>800</v>
      </c>
      <c r="B879" s="10" t="s">
        <v>343</v>
      </c>
      <c r="C879" s="136" t="s">
        <v>344</v>
      </c>
      <c r="D879" s="136" t="s">
        <v>582</v>
      </c>
      <c r="E879" s="136" t="s">
        <v>74</v>
      </c>
      <c r="F879" s="10" t="s">
        <v>1726</v>
      </c>
      <c r="G879" s="10" t="s">
        <v>1750</v>
      </c>
      <c r="H879" s="137">
        <v>500</v>
      </c>
      <c r="I879" s="138"/>
      <c r="J879" s="10">
        <v>5513</v>
      </c>
      <c r="K879" s="136" t="s">
        <v>111</v>
      </c>
      <c r="L879" s="10">
        <v>55</v>
      </c>
      <c r="M879" s="10" t="s">
        <v>2219</v>
      </c>
      <c r="N879" s="136" t="s">
        <v>131</v>
      </c>
      <c r="O879" s="136" t="s">
        <v>549</v>
      </c>
      <c r="P879" s="136" t="s">
        <v>85</v>
      </c>
    </row>
    <row r="880" spans="1:16" x14ac:dyDescent="0.25">
      <c r="A880" s="139" t="s">
        <v>800</v>
      </c>
      <c r="B880" s="139" t="s">
        <v>343</v>
      </c>
      <c r="C880" s="140" t="s">
        <v>344</v>
      </c>
      <c r="D880" s="140" t="s">
        <v>582</v>
      </c>
      <c r="E880" s="140" t="s">
        <v>74</v>
      </c>
      <c r="F880" s="139" t="s">
        <v>1726</v>
      </c>
      <c r="G880" s="139" t="s">
        <v>198</v>
      </c>
      <c r="H880" s="141">
        <v>5000</v>
      </c>
      <c r="I880" s="142"/>
      <c r="J880" s="139">
        <v>5513</v>
      </c>
      <c r="K880" s="140" t="s">
        <v>111</v>
      </c>
      <c r="L880" s="139">
        <v>55</v>
      </c>
      <c r="M880" s="139" t="s">
        <v>2219</v>
      </c>
      <c r="N880" s="140" t="s">
        <v>131</v>
      </c>
      <c r="O880" s="140" t="s">
        <v>549</v>
      </c>
      <c r="P880" s="140" t="s">
        <v>85</v>
      </c>
    </row>
    <row r="881" spans="1:16" x14ac:dyDescent="0.25">
      <c r="A881" s="10" t="s">
        <v>800</v>
      </c>
      <c r="B881" s="10" t="s">
        <v>343</v>
      </c>
      <c r="C881" s="136" t="s">
        <v>344</v>
      </c>
      <c r="D881" s="136" t="s">
        <v>582</v>
      </c>
      <c r="E881" s="136" t="s">
        <v>74</v>
      </c>
      <c r="F881" s="10" t="s">
        <v>1726</v>
      </c>
      <c r="G881" s="10" t="s">
        <v>1751</v>
      </c>
      <c r="H881" s="137">
        <v>200</v>
      </c>
      <c r="I881" s="138"/>
      <c r="J881" s="10">
        <v>5513</v>
      </c>
      <c r="K881" s="136" t="s">
        <v>111</v>
      </c>
      <c r="L881" s="10">
        <v>55</v>
      </c>
      <c r="M881" s="10" t="s">
        <v>2219</v>
      </c>
      <c r="N881" s="136" t="s">
        <v>131</v>
      </c>
      <c r="O881" s="136" t="s">
        <v>549</v>
      </c>
      <c r="P881" s="136" t="s">
        <v>85</v>
      </c>
    </row>
    <row r="882" spans="1:16" x14ac:dyDescent="0.25">
      <c r="A882" s="139" t="s">
        <v>800</v>
      </c>
      <c r="B882" s="139" t="s">
        <v>343</v>
      </c>
      <c r="C882" s="140" t="s">
        <v>344</v>
      </c>
      <c r="D882" s="140" t="s">
        <v>582</v>
      </c>
      <c r="E882" s="140" t="s">
        <v>74</v>
      </c>
      <c r="F882" s="139" t="s">
        <v>1726</v>
      </c>
      <c r="G882" s="139" t="s">
        <v>901</v>
      </c>
      <c r="H882" s="141">
        <v>4824</v>
      </c>
      <c r="I882" s="142"/>
      <c r="J882" s="139">
        <v>5513</v>
      </c>
      <c r="K882" s="140" t="s">
        <v>111</v>
      </c>
      <c r="L882" s="139">
        <v>55</v>
      </c>
      <c r="M882" s="139" t="s">
        <v>2219</v>
      </c>
      <c r="N882" s="140" t="s">
        <v>131</v>
      </c>
      <c r="O882" s="140" t="s">
        <v>549</v>
      </c>
      <c r="P882" s="140" t="s">
        <v>85</v>
      </c>
    </row>
    <row r="883" spans="1:16" x14ac:dyDescent="0.25">
      <c r="A883" s="10" t="s">
        <v>800</v>
      </c>
      <c r="B883" s="10" t="s">
        <v>343</v>
      </c>
      <c r="C883" s="136" t="s">
        <v>344</v>
      </c>
      <c r="D883" s="136" t="s">
        <v>582</v>
      </c>
      <c r="E883" s="136" t="s">
        <v>74</v>
      </c>
      <c r="F883" s="10" t="s">
        <v>1726</v>
      </c>
      <c r="G883" s="10" t="s">
        <v>1752</v>
      </c>
      <c r="H883" s="137">
        <v>100</v>
      </c>
      <c r="I883" s="138"/>
      <c r="J883" s="10">
        <v>5513</v>
      </c>
      <c r="K883" s="136" t="s">
        <v>111</v>
      </c>
      <c r="L883" s="10">
        <v>55</v>
      </c>
      <c r="M883" s="10" t="s">
        <v>2219</v>
      </c>
      <c r="N883" s="136" t="s">
        <v>131</v>
      </c>
      <c r="O883" s="136" t="s">
        <v>549</v>
      </c>
      <c r="P883" s="136" t="s">
        <v>85</v>
      </c>
    </row>
    <row r="884" spans="1:16" x14ac:dyDescent="0.25">
      <c r="A884" s="139" t="s">
        <v>800</v>
      </c>
      <c r="B884" s="139" t="s">
        <v>343</v>
      </c>
      <c r="C884" s="140" t="s">
        <v>344</v>
      </c>
      <c r="D884" s="140" t="s">
        <v>582</v>
      </c>
      <c r="E884" s="140" t="s">
        <v>74</v>
      </c>
      <c r="F884" s="139" t="s">
        <v>1726</v>
      </c>
      <c r="G884" s="139" t="s">
        <v>1754</v>
      </c>
      <c r="H884" s="141">
        <v>160</v>
      </c>
      <c r="I884" s="142"/>
      <c r="J884" s="139">
        <v>5524</v>
      </c>
      <c r="K884" s="140" t="s">
        <v>117</v>
      </c>
      <c r="L884" s="139">
        <v>55</v>
      </c>
      <c r="M884" s="139" t="s">
        <v>2219</v>
      </c>
      <c r="N884" s="140" t="s">
        <v>131</v>
      </c>
      <c r="O884" s="140" t="s">
        <v>549</v>
      </c>
      <c r="P884" s="140" t="s">
        <v>85</v>
      </c>
    </row>
    <row r="885" spans="1:16" x14ac:dyDescent="0.25">
      <c r="A885" s="10" t="s">
        <v>800</v>
      </c>
      <c r="B885" s="10" t="s">
        <v>343</v>
      </c>
      <c r="C885" s="136" t="s">
        <v>344</v>
      </c>
      <c r="D885" s="136" t="s">
        <v>582</v>
      </c>
      <c r="E885" s="136" t="s">
        <v>74</v>
      </c>
      <c r="F885" s="10" t="s">
        <v>1726</v>
      </c>
      <c r="G885" s="10" t="s">
        <v>1755</v>
      </c>
      <c r="H885" s="137">
        <v>250</v>
      </c>
      <c r="I885" s="138"/>
      <c r="J885" s="10">
        <v>5515</v>
      </c>
      <c r="K885" s="136" t="s">
        <v>112</v>
      </c>
      <c r="L885" s="10">
        <v>55</v>
      </c>
      <c r="M885" s="10" t="s">
        <v>2219</v>
      </c>
      <c r="N885" s="136" t="s">
        <v>131</v>
      </c>
      <c r="O885" s="136" t="s">
        <v>549</v>
      </c>
      <c r="P885" s="136" t="s">
        <v>85</v>
      </c>
    </row>
    <row r="886" spans="1:16" x14ac:dyDescent="0.25">
      <c r="A886" s="139" t="s">
        <v>800</v>
      </c>
      <c r="B886" s="139" t="s">
        <v>343</v>
      </c>
      <c r="C886" s="140" t="s">
        <v>344</v>
      </c>
      <c r="D886" s="140" t="s">
        <v>582</v>
      </c>
      <c r="E886" s="140" t="s">
        <v>74</v>
      </c>
      <c r="F886" s="139" t="s">
        <v>1726</v>
      </c>
      <c r="G886" s="139" t="s">
        <v>1756</v>
      </c>
      <c r="H886" s="141">
        <v>150</v>
      </c>
      <c r="I886" s="142"/>
      <c r="J886" s="139">
        <v>5515</v>
      </c>
      <c r="K886" s="140" t="s">
        <v>112</v>
      </c>
      <c r="L886" s="139">
        <v>55</v>
      </c>
      <c r="M886" s="139" t="s">
        <v>2219</v>
      </c>
      <c r="N886" s="140" t="s">
        <v>131</v>
      </c>
      <c r="O886" s="140" t="s">
        <v>549</v>
      </c>
      <c r="P886" s="140" t="s">
        <v>85</v>
      </c>
    </row>
    <row r="887" spans="1:16" x14ac:dyDescent="0.25">
      <c r="A887" s="10" t="s">
        <v>800</v>
      </c>
      <c r="B887" s="10" t="s">
        <v>343</v>
      </c>
      <c r="C887" s="136" t="s">
        <v>344</v>
      </c>
      <c r="D887" s="136" t="s">
        <v>582</v>
      </c>
      <c r="E887" s="136" t="s">
        <v>74</v>
      </c>
      <c r="F887" s="10" t="s">
        <v>1726</v>
      </c>
      <c r="G887" s="10" t="s">
        <v>1757</v>
      </c>
      <c r="H887" s="137">
        <v>100</v>
      </c>
      <c r="I887" s="138"/>
      <c r="J887" s="10">
        <v>5515</v>
      </c>
      <c r="K887" s="136" t="s">
        <v>112</v>
      </c>
      <c r="L887" s="10">
        <v>55</v>
      </c>
      <c r="M887" s="10" t="s">
        <v>2219</v>
      </c>
      <c r="N887" s="136" t="s">
        <v>131</v>
      </c>
      <c r="O887" s="136" t="s">
        <v>549</v>
      </c>
      <c r="P887" s="136" t="s">
        <v>85</v>
      </c>
    </row>
    <row r="888" spans="1:16" x14ac:dyDescent="0.25">
      <c r="A888" s="143" t="s">
        <v>800</v>
      </c>
      <c r="B888" s="143" t="s">
        <v>343</v>
      </c>
      <c r="C888" s="144" t="s">
        <v>344</v>
      </c>
      <c r="D888" s="144" t="s">
        <v>582</v>
      </c>
      <c r="E888" s="144" t="s">
        <v>74</v>
      </c>
      <c r="F888" s="143" t="s">
        <v>1726</v>
      </c>
      <c r="G888" s="143" t="s">
        <v>1760</v>
      </c>
      <c r="H888" s="145">
        <v>2275</v>
      </c>
      <c r="I888" s="146" t="s">
        <v>2203</v>
      </c>
      <c r="J888" s="143">
        <v>5521</v>
      </c>
      <c r="K888" s="144" t="s">
        <v>114</v>
      </c>
      <c r="L888" s="143">
        <v>55</v>
      </c>
      <c r="M888" s="143" t="s">
        <v>2219</v>
      </c>
      <c r="N888" s="144" t="s">
        <v>131</v>
      </c>
      <c r="O888" s="144" t="s">
        <v>549</v>
      </c>
      <c r="P888" s="144" t="s">
        <v>85</v>
      </c>
    </row>
    <row r="889" spans="1:16" x14ac:dyDescent="0.25">
      <c r="A889" s="10" t="s">
        <v>800</v>
      </c>
      <c r="B889" s="10" t="s">
        <v>343</v>
      </c>
      <c r="C889" s="136" t="s">
        <v>344</v>
      </c>
      <c r="D889" s="136" t="s">
        <v>582</v>
      </c>
      <c r="E889" s="136" t="s">
        <v>74</v>
      </c>
      <c r="F889" s="10" t="s">
        <v>1726</v>
      </c>
      <c r="G889" s="10" t="s">
        <v>426</v>
      </c>
      <c r="H889" s="137">
        <v>50</v>
      </c>
      <c r="I889" s="138"/>
      <c r="J889" s="10">
        <v>5522</v>
      </c>
      <c r="K889" s="136" t="s">
        <v>115</v>
      </c>
      <c r="L889" s="10">
        <v>55</v>
      </c>
      <c r="M889" s="10" t="s">
        <v>2219</v>
      </c>
      <c r="N889" s="136" t="s">
        <v>131</v>
      </c>
      <c r="O889" s="136" t="s">
        <v>549</v>
      </c>
      <c r="P889" s="136" t="s">
        <v>85</v>
      </c>
    </row>
    <row r="890" spans="1:16" x14ac:dyDescent="0.25">
      <c r="A890" s="139" t="s">
        <v>800</v>
      </c>
      <c r="B890" s="139" t="s">
        <v>343</v>
      </c>
      <c r="C890" s="140" t="s">
        <v>344</v>
      </c>
      <c r="D890" s="140" t="s">
        <v>582</v>
      </c>
      <c r="E890" s="140" t="s">
        <v>74</v>
      </c>
      <c r="F890" s="139" t="s">
        <v>1726</v>
      </c>
      <c r="G890" s="139" t="s">
        <v>1761</v>
      </c>
      <c r="H890" s="141">
        <v>100</v>
      </c>
      <c r="I890" s="142"/>
      <c r="J890" s="139">
        <v>5522</v>
      </c>
      <c r="K890" s="140" t="s">
        <v>115</v>
      </c>
      <c r="L890" s="139">
        <v>55</v>
      </c>
      <c r="M890" s="139" t="s">
        <v>2219</v>
      </c>
      <c r="N890" s="140" t="s">
        <v>131</v>
      </c>
      <c r="O890" s="140" t="s">
        <v>549</v>
      </c>
      <c r="P890" s="140" t="s">
        <v>85</v>
      </c>
    </row>
    <row r="891" spans="1:16" x14ac:dyDescent="0.25">
      <c r="A891" s="10" t="s">
        <v>800</v>
      </c>
      <c r="B891" s="10" t="s">
        <v>343</v>
      </c>
      <c r="C891" s="136" t="s">
        <v>344</v>
      </c>
      <c r="D891" s="136" t="s">
        <v>582</v>
      </c>
      <c r="E891" s="136" t="s">
        <v>74</v>
      </c>
      <c r="F891" s="10" t="s">
        <v>1726</v>
      </c>
      <c r="G891" s="10" t="s">
        <v>1765</v>
      </c>
      <c r="H891" s="137">
        <v>1200</v>
      </c>
      <c r="I891" s="138"/>
      <c r="J891" s="10">
        <v>5524</v>
      </c>
      <c r="K891" s="136" t="s">
        <v>117</v>
      </c>
      <c r="L891" s="10">
        <v>55</v>
      </c>
      <c r="M891" s="10" t="s">
        <v>2219</v>
      </c>
      <c r="N891" s="136" t="s">
        <v>131</v>
      </c>
      <c r="O891" s="136" t="s">
        <v>549</v>
      </c>
      <c r="P891" s="136" t="s">
        <v>85</v>
      </c>
    </row>
    <row r="892" spans="1:16" x14ac:dyDescent="0.25">
      <c r="A892" s="139" t="s">
        <v>800</v>
      </c>
      <c r="B892" s="139" t="s">
        <v>343</v>
      </c>
      <c r="C892" s="140" t="s">
        <v>344</v>
      </c>
      <c r="D892" s="140" t="s">
        <v>582</v>
      </c>
      <c r="E892" s="140" t="s">
        <v>74</v>
      </c>
      <c r="F892" s="139" t="s">
        <v>1726</v>
      </c>
      <c r="G892" s="139" t="s">
        <v>218</v>
      </c>
      <c r="H892" s="141">
        <v>400</v>
      </c>
      <c r="I892" s="142"/>
      <c r="J892" s="139">
        <v>5524</v>
      </c>
      <c r="K892" s="140" t="s">
        <v>117</v>
      </c>
      <c r="L892" s="139">
        <v>55</v>
      </c>
      <c r="M892" s="139" t="s">
        <v>2219</v>
      </c>
      <c r="N892" s="140" t="s">
        <v>131</v>
      </c>
      <c r="O892" s="140" t="s">
        <v>549</v>
      </c>
      <c r="P892" s="140" t="s">
        <v>85</v>
      </c>
    </row>
    <row r="893" spans="1:16" x14ac:dyDescent="0.25">
      <c r="A893" s="10" t="s">
        <v>800</v>
      </c>
      <c r="B893" s="10" t="s">
        <v>343</v>
      </c>
      <c r="C893" s="136" t="s">
        <v>344</v>
      </c>
      <c r="D893" s="136" t="s">
        <v>582</v>
      </c>
      <c r="E893" s="136" t="s">
        <v>74</v>
      </c>
      <c r="F893" s="10" t="s">
        <v>1726</v>
      </c>
      <c r="G893" s="10" t="s">
        <v>1766</v>
      </c>
      <c r="H893" s="137">
        <v>300</v>
      </c>
      <c r="I893" s="138"/>
      <c r="J893" s="10">
        <v>5524</v>
      </c>
      <c r="K893" s="136" t="s">
        <v>117</v>
      </c>
      <c r="L893" s="10">
        <v>55</v>
      </c>
      <c r="M893" s="10" t="s">
        <v>2219</v>
      </c>
      <c r="N893" s="136" t="s">
        <v>131</v>
      </c>
      <c r="O893" s="136" t="s">
        <v>549</v>
      </c>
      <c r="P893" s="136" t="s">
        <v>85</v>
      </c>
    </row>
    <row r="894" spans="1:16" x14ac:dyDescent="0.25">
      <c r="A894" s="139" t="s">
        <v>800</v>
      </c>
      <c r="B894" s="139" t="s">
        <v>343</v>
      </c>
      <c r="C894" s="140" t="s">
        <v>344</v>
      </c>
      <c r="D894" s="140" t="s">
        <v>582</v>
      </c>
      <c r="E894" s="140" t="s">
        <v>74</v>
      </c>
      <c r="F894" s="139" t="s">
        <v>1726</v>
      </c>
      <c r="G894" s="139" t="s">
        <v>1767</v>
      </c>
      <c r="H894" s="141">
        <v>900</v>
      </c>
      <c r="I894" s="142"/>
      <c r="J894" s="139">
        <v>5524</v>
      </c>
      <c r="K894" s="140" t="s">
        <v>117</v>
      </c>
      <c r="L894" s="139">
        <v>55</v>
      </c>
      <c r="M894" s="139" t="s">
        <v>2219</v>
      </c>
      <c r="N894" s="140" t="s">
        <v>131</v>
      </c>
      <c r="O894" s="140" t="s">
        <v>549</v>
      </c>
      <c r="P894" s="140" t="s">
        <v>85</v>
      </c>
    </row>
    <row r="895" spans="1:16" x14ac:dyDescent="0.25">
      <c r="A895" s="10" t="s">
        <v>800</v>
      </c>
      <c r="B895" s="10" t="s">
        <v>343</v>
      </c>
      <c r="C895" s="136" t="s">
        <v>344</v>
      </c>
      <c r="D895" s="136" t="s">
        <v>582</v>
      </c>
      <c r="E895" s="136" t="s">
        <v>74</v>
      </c>
      <c r="F895" s="10" t="s">
        <v>1726</v>
      </c>
      <c r="G895" s="10" t="s">
        <v>1768</v>
      </c>
      <c r="H895" s="137">
        <v>100</v>
      </c>
      <c r="I895" s="138"/>
      <c r="J895" s="10">
        <v>5524</v>
      </c>
      <c r="K895" s="136" t="s">
        <v>117</v>
      </c>
      <c r="L895" s="10">
        <v>55</v>
      </c>
      <c r="M895" s="10" t="s">
        <v>2219</v>
      </c>
      <c r="N895" s="136" t="s">
        <v>131</v>
      </c>
      <c r="O895" s="136" t="s">
        <v>549</v>
      </c>
      <c r="P895" s="136" t="s">
        <v>85</v>
      </c>
    </row>
    <row r="896" spans="1:16" x14ac:dyDescent="0.25">
      <c r="A896" s="139" t="s">
        <v>800</v>
      </c>
      <c r="B896" s="139" t="s">
        <v>343</v>
      </c>
      <c r="C896" s="140" t="s">
        <v>344</v>
      </c>
      <c r="D896" s="140" t="s">
        <v>582</v>
      </c>
      <c r="E896" s="140" t="s">
        <v>74</v>
      </c>
      <c r="F896" s="139" t="s">
        <v>1726</v>
      </c>
      <c r="G896" s="139" t="s">
        <v>1769</v>
      </c>
      <c r="H896" s="141">
        <v>10</v>
      </c>
      <c r="I896" s="142"/>
      <c r="J896" s="139">
        <v>5525</v>
      </c>
      <c r="K896" s="140" t="s">
        <v>118</v>
      </c>
      <c r="L896" s="139">
        <v>55</v>
      </c>
      <c r="M896" s="139" t="s">
        <v>2219</v>
      </c>
      <c r="N896" s="140" t="s">
        <v>131</v>
      </c>
      <c r="O896" s="140" t="s">
        <v>549</v>
      </c>
      <c r="P896" s="140" t="s">
        <v>85</v>
      </c>
    </row>
    <row r="897" spans="1:16" x14ac:dyDescent="0.25">
      <c r="A897" s="10" t="s">
        <v>800</v>
      </c>
      <c r="B897" s="10" t="s">
        <v>343</v>
      </c>
      <c r="C897" s="136" t="s">
        <v>344</v>
      </c>
      <c r="D897" s="136" t="s">
        <v>582</v>
      </c>
      <c r="E897" s="136" t="s">
        <v>74</v>
      </c>
      <c r="F897" s="10" t="s">
        <v>1726</v>
      </c>
      <c r="G897" s="10" t="s">
        <v>1770</v>
      </c>
      <c r="H897" s="137">
        <v>20</v>
      </c>
      <c r="I897" s="138"/>
      <c r="J897" s="10">
        <v>5525</v>
      </c>
      <c r="K897" s="136" t="s">
        <v>118</v>
      </c>
      <c r="L897" s="10">
        <v>55</v>
      </c>
      <c r="M897" s="10" t="s">
        <v>2219</v>
      </c>
      <c r="N897" s="136" t="s">
        <v>131</v>
      </c>
      <c r="O897" s="136" t="s">
        <v>549</v>
      </c>
      <c r="P897" s="136" t="s">
        <v>85</v>
      </c>
    </row>
    <row r="898" spans="1:16" x14ac:dyDescent="0.25">
      <c r="A898" s="139" t="s">
        <v>800</v>
      </c>
      <c r="B898" s="139" t="s">
        <v>343</v>
      </c>
      <c r="C898" s="140" t="s">
        <v>344</v>
      </c>
      <c r="D898" s="140" t="s">
        <v>582</v>
      </c>
      <c r="E898" s="140" t="s">
        <v>74</v>
      </c>
      <c r="F898" s="139" t="s">
        <v>1726</v>
      </c>
      <c r="G898" s="139" t="s">
        <v>1771</v>
      </c>
      <c r="H898" s="141">
        <v>40</v>
      </c>
      <c r="I898" s="142"/>
      <c r="J898" s="139">
        <v>5525</v>
      </c>
      <c r="K898" s="140" t="s">
        <v>118</v>
      </c>
      <c r="L898" s="139">
        <v>55</v>
      </c>
      <c r="M898" s="139" t="s">
        <v>2219</v>
      </c>
      <c r="N898" s="140" t="s">
        <v>131</v>
      </c>
      <c r="O898" s="140" t="s">
        <v>549</v>
      </c>
      <c r="P898" s="140" t="s">
        <v>85</v>
      </c>
    </row>
    <row r="899" spans="1:16" x14ac:dyDescent="0.25">
      <c r="A899" s="10" t="s">
        <v>800</v>
      </c>
      <c r="B899" s="10" t="s">
        <v>343</v>
      </c>
      <c r="C899" s="136" t="s">
        <v>344</v>
      </c>
      <c r="D899" s="136" t="s">
        <v>582</v>
      </c>
      <c r="E899" s="136" t="s">
        <v>74</v>
      </c>
      <c r="F899" s="10" t="s">
        <v>1726</v>
      </c>
      <c r="G899" s="10" t="s">
        <v>1772</v>
      </c>
      <c r="H899" s="137">
        <v>75</v>
      </c>
      <c r="I899" s="138"/>
      <c r="J899" s="10">
        <v>5525</v>
      </c>
      <c r="K899" s="136" t="s">
        <v>118</v>
      </c>
      <c r="L899" s="10">
        <v>55</v>
      </c>
      <c r="M899" s="10" t="s">
        <v>2219</v>
      </c>
      <c r="N899" s="136" t="s">
        <v>131</v>
      </c>
      <c r="O899" s="136" t="s">
        <v>549</v>
      </c>
      <c r="P899" s="136" t="s">
        <v>85</v>
      </c>
    </row>
    <row r="900" spans="1:16" x14ac:dyDescent="0.25">
      <c r="A900" s="139" t="s">
        <v>800</v>
      </c>
      <c r="B900" s="139" t="s">
        <v>343</v>
      </c>
      <c r="C900" s="140" t="s">
        <v>344</v>
      </c>
      <c r="D900" s="140" t="s">
        <v>582</v>
      </c>
      <c r="E900" s="140" t="s">
        <v>74</v>
      </c>
      <c r="F900" s="139" t="s">
        <v>1726</v>
      </c>
      <c r="G900" s="139" t="s">
        <v>1773</v>
      </c>
      <c r="H900" s="141">
        <v>50</v>
      </c>
      <c r="I900" s="142"/>
      <c r="J900" s="139">
        <v>5525</v>
      </c>
      <c r="K900" s="140" t="s">
        <v>118</v>
      </c>
      <c r="L900" s="139">
        <v>55</v>
      </c>
      <c r="M900" s="139" t="s">
        <v>2219</v>
      </c>
      <c r="N900" s="140" t="s">
        <v>131</v>
      </c>
      <c r="O900" s="140" t="s">
        <v>549</v>
      </c>
      <c r="P900" s="140" t="s">
        <v>85</v>
      </c>
    </row>
    <row r="901" spans="1:16" x14ac:dyDescent="0.25">
      <c r="A901" s="10" t="s">
        <v>800</v>
      </c>
      <c r="B901" s="10" t="s">
        <v>343</v>
      </c>
      <c r="C901" s="136" t="s">
        <v>344</v>
      </c>
      <c r="D901" s="136" t="s">
        <v>582</v>
      </c>
      <c r="E901" s="136" t="s">
        <v>74</v>
      </c>
      <c r="F901" s="10" t="s">
        <v>1726</v>
      </c>
      <c r="G901" s="10" t="s">
        <v>1774</v>
      </c>
      <c r="H901" s="137">
        <v>500</v>
      </c>
      <c r="I901" s="138"/>
      <c r="J901" s="10">
        <v>5525</v>
      </c>
      <c r="K901" s="136" t="s">
        <v>118</v>
      </c>
      <c r="L901" s="10">
        <v>55</v>
      </c>
      <c r="M901" s="10" t="s">
        <v>2219</v>
      </c>
      <c r="N901" s="136" t="s">
        <v>131</v>
      </c>
      <c r="O901" s="136" t="s">
        <v>549</v>
      </c>
      <c r="P901" s="136" t="s">
        <v>85</v>
      </c>
    </row>
    <row r="902" spans="1:16" x14ac:dyDescent="0.25">
      <c r="A902" s="139" t="s">
        <v>800</v>
      </c>
      <c r="B902" s="139" t="s">
        <v>343</v>
      </c>
      <c r="C902" s="140" t="s">
        <v>344</v>
      </c>
      <c r="D902" s="140" t="s">
        <v>582</v>
      </c>
      <c r="E902" s="140" t="s">
        <v>74</v>
      </c>
      <c r="F902" s="139" t="s">
        <v>1726</v>
      </c>
      <c r="G902" s="139" t="s">
        <v>1775</v>
      </c>
      <c r="H902" s="141">
        <v>30</v>
      </c>
      <c r="I902" s="142"/>
      <c r="J902" s="139">
        <v>5525</v>
      </c>
      <c r="K902" s="140" t="s">
        <v>118</v>
      </c>
      <c r="L902" s="139">
        <v>55</v>
      </c>
      <c r="M902" s="139" t="s">
        <v>2219</v>
      </c>
      <c r="N902" s="140" t="s">
        <v>131</v>
      </c>
      <c r="O902" s="140" t="s">
        <v>549</v>
      </c>
      <c r="P902" s="140" t="s">
        <v>85</v>
      </c>
    </row>
    <row r="903" spans="1:16" x14ac:dyDescent="0.25">
      <c r="A903" s="10" t="s">
        <v>800</v>
      </c>
      <c r="B903" s="10" t="s">
        <v>343</v>
      </c>
      <c r="C903" s="136" t="s">
        <v>344</v>
      </c>
      <c r="D903" s="136" t="s">
        <v>582</v>
      </c>
      <c r="E903" s="136" t="s">
        <v>74</v>
      </c>
      <c r="F903" s="10" t="s">
        <v>1726</v>
      </c>
      <c r="G903" s="10" t="s">
        <v>1776</v>
      </c>
      <c r="H903" s="137">
        <v>20</v>
      </c>
      <c r="I903" s="138"/>
      <c r="J903" s="10">
        <v>5525</v>
      </c>
      <c r="K903" s="136" t="s">
        <v>118</v>
      </c>
      <c r="L903" s="10">
        <v>55</v>
      </c>
      <c r="M903" s="10" t="s">
        <v>2219</v>
      </c>
      <c r="N903" s="136" t="s">
        <v>131</v>
      </c>
      <c r="O903" s="136" t="s">
        <v>549</v>
      </c>
      <c r="P903" s="136" t="s">
        <v>85</v>
      </c>
    </row>
    <row r="904" spans="1:16" x14ac:dyDescent="0.25">
      <c r="A904" s="139" t="s">
        <v>800</v>
      </c>
      <c r="B904" s="139" t="s">
        <v>343</v>
      </c>
      <c r="C904" s="140" t="s">
        <v>344</v>
      </c>
      <c r="D904" s="140" t="s">
        <v>582</v>
      </c>
      <c r="E904" s="140" t="s">
        <v>74</v>
      </c>
      <c r="F904" s="139" t="s">
        <v>1726</v>
      </c>
      <c r="G904" s="139" t="s">
        <v>1777</v>
      </c>
      <c r="H904" s="141">
        <v>200</v>
      </c>
      <c r="I904" s="142"/>
      <c r="J904" s="139">
        <v>5525</v>
      </c>
      <c r="K904" s="140" t="s">
        <v>118</v>
      </c>
      <c r="L904" s="139">
        <v>55</v>
      </c>
      <c r="M904" s="139" t="s">
        <v>2219</v>
      </c>
      <c r="N904" s="140" t="s">
        <v>131</v>
      </c>
      <c r="O904" s="140" t="s">
        <v>549</v>
      </c>
      <c r="P904" s="140" t="s">
        <v>85</v>
      </c>
    </row>
    <row r="905" spans="1:16" x14ac:dyDescent="0.25">
      <c r="A905" s="10" t="s">
        <v>800</v>
      </c>
      <c r="B905" s="10" t="s">
        <v>343</v>
      </c>
      <c r="C905" s="136" t="s">
        <v>344</v>
      </c>
      <c r="D905" s="136" t="s">
        <v>582</v>
      </c>
      <c r="E905" s="136" t="s">
        <v>74</v>
      </c>
      <c r="F905" s="10" t="s">
        <v>1726</v>
      </c>
      <c r="G905" s="10" t="s">
        <v>177</v>
      </c>
      <c r="H905" s="137">
        <v>6500</v>
      </c>
      <c r="I905" s="138"/>
      <c r="J905" s="10">
        <v>5511</v>
      </c>
      <c r="K905" s="136" t="s">
        <v>106</v>
      </c>
      <c r="L905" s="10">
        <v>55</v>
      </c>
      <c r="M905" s="10" t="s">
        <v>2219</v>
      </c>
      <c r="N905" s="136" t="s">
        <v>131</v>
      </c>
      <c r="O905" s="136" t="s">
        <v>549</v>
      </c>
      <c r="P905" s="136" t="s">
        <v>85</v>
      </c>
    </row>
    <row r="906" spans="1:16" x14ac:dyDescent="0.25">
      <c r="A906" s="139" t="s">
        <v>800</v>
      </c>
      <c r="B906" s="139" t="s">
        <v>343</v>
      </c>
      <c r="C906" s="140" t="s">
        <v>344</v>
      </c>
      <c r="D906" s="140" t="s">
        <v>582</v>
      </c>
      <c r="E906" s="140" t="s">
        <v>74</v>
      </c>
      <c r="F906" s="139" t="s">
        <v>1726</v>
      </c>
      <c r="G906" s="139" t="s">
        <v>178</v>
      </c>
      <c r="H906" s="141">
        <v>2700</v>
      </c>
      <c r="I906" s="142"/>
      <c r="J906" s="139">
        <v>5511</v>
      </c>
      <c r="K906" s="140" t="s">
        <v>106</v>
      </c>
      <c r="L906" s="139">
        <v>55</v>
      </c>
      <c r="M906" s="139" t="s">
        <v>2219</v>
      </c>
      <c r="N906" s="140" t="s">
        <v>131</v>
      </c>
      <c r="O906" s="140" t="s">
        <v>549</v>
      </c>
      <c r="P906" s="140" t="s">
        <v>85</v>
      </c>
    </row>
    <row r="907" spans="1:16" x14ac:dyDescent="0.25">
      <c r="A907" s="10" t="s">
        <v>800</v>
      </c>
      <c r="B907" s="10" t="s">
        <v>343</v>
      </c>
      <c r="C907" s="136" t="s">
        <v>344</v>
      </c>
      <c r="D907" s="136" t="s">
        <v>582</v>
      </c>
      <c r="E907" s="136" t="s">
        <v>74</v>
      </c>
      <c r="F907" s="10" t="s">
        <v>1726</v>
      </c>
      <c r="G907" s="10" t="s">
        <v>194</v>
      </c>
      <c r="H907" s="137">
        <v>300</v>
      </c>
      <c r="I907" s="138"/>
      <c r="J907" s="10">
        <v>5511</v>
      </c>
      <c r="K907" s="136" t="s">
        <v>106</v>
      </c>
      <c r="L907" s="10">
        <v>55</v>
      </c>
      <c r="M907" s="10" t="s">
        <v>2219</v>
      </c>
      <c r="N907" s="136" t="s">
        <v>131</v>
      </c>
      <c r="O907" s="136" t="s">
        <v>549</v>
      </c>
      <c r="P907" s="136" t="s">
        <v>85</v>
      </c>
    </row>
    <row r="908" spans="1:16" x14ac:dyDescent="0.25">
      <c r="A908" s="139" t="s">
        <v>800</v>
      </c>
      <c r="B908" s="139" t="s">
        <v>343</v>
      </c>
      <c r="C908" s="140" t="s">
        <v>344</v>
      </c>
      <c r="D908" s="140" t="s">
        <v>582</v>
      </c>
      <c r="E908" s="140" t="s">
        <v>74</v>
      </c>
      <c r="F908" s="139" t="s">
        <v>1726</v>
      </c>
      <c r="G908" s="139" t="s">
        <v>1742</v>
      </c>
      <c r="H908" s="141">
        <v>500</v>
      </c>
      <c r="I908" s="142"/>
      <c r="J908" s="139">
        <v>5511</v>
      </c>
      <c r="K908" s="140" t="s">
        <v>106</v>
      </c>
      <c r="L908" s="139">
        <v>55</v>
      </c>
      <c r="M908" s="139" t="s">
        <v>2219</v>
      </c>
      <c r="N908" s="140" t="s">
        <v>131</v>
      </c>
      <c r="O908" s="140" t="s">
        <v>549</v>
      </c>
      <c r="P908" s="140" t="s">
        <v>85</v>
      </c>
    </row>
    <row r="909" spans="1:16" x14ac:dyDescent="0.25">
      <c r="A909" s="10" t="s">
        <v>800</v>
      </c>
      <c r="B909" s="10" t="s">
        <v>343</v>
      </c>
      <c r="C909" s="136" t="s">
        <v>344</v>
      </c>
      <c r="D909" s="136" t="s">
        <v>582</v>
      </c>
      <c r="E909" s="136" t="s">
        <v>74</v>
      </c>
      <c r="F909" s="10" t="s">
        <v>1726</v>
      </c>
      <c r="G909" s="10" t="s">
        <v>180</v>
      </c>
      <c r="H909" s="137">
        <v>400</v>
      </c>
      <c r="I909" s="138"/>
      <c r="J909" s="10">
        <v>5511</v>
      </c>
      <c r="K909" s="136" t="s">
        <v>106</v>
      </c>
      <c r="L909" s="10">
        <v>55</v>
      </c>
      <c r="M909" s="10" t="s">
        <v>2219</v>
      </c>
      <c r="N909" s="136" t="s">
        <v>131</v>
      </c>
      <c r="O909" s="136" t="s">
        <v>549</v>
      </c>
      <c r="P909" s="136" t="s">
        <v>85</v>
      </c>
    </row>
    <row r="910" spans="1:16" x14ac:dyDescent="0.25">
      <c r="A910" s="139" t="s">
        <v>800</v>
      </c>
      <c r="B910" s="139" t="s">
        <v>343</v>
      </c>
      <c r="C910" s="140" t="s">
        <v>344</v>
      </c>
      <c r="D910" s="140" t="s">
        <v>582</v>
      </c>
      <c r="E910" s="140" t="s">
        <v>74</v>
      </c>
      <c r="F910" s="139" t="s">
        <v>1726</v>
      </c>
      <c r="G910" s="139" t="s">
        <v>1743</v>
      </c>
      <c r="H910" s="141">
        <v>600</v>
      </c>
      <c r="I910" s="142"/>
      <c r="J910" s="139">
        <v>5511</v>
      </c>
      <c r="K910" s="140" t="s">
        <v>106</v>
      </c>
      <c r="L910" s="139">
        <v>55</v>
      </c>
      <c r="M910" s="139" t="s">
        <v>2219</v>
      </c>
      <c r="N910" s="140" t="s">
        <v>131</v>
      </c>
      <c r="O910" s="140" t="s">
        <v>549</v>
      </c>
      <c r="P910" s="140" t="s">
        <v>85</v>
      </c>
    </row>
    <row r="911" spans="1:16" x14ac:dyDescent="0.25">
      <c r="A911" s="10" t="s">
        <v>800</v>
      </c>
      <c r="B911" s="10" t="s">
        <v>343</v>
      </c>
      <c r="C911" s="136" t="s">
        <v>344</v>
      </c>
      <c r="D911" s="136" t="s">
        <v>582</v>
      </c>
      <c r="E911" s="136" t="s">
        <v>74</v>
      </c>
      <c r="F911" s="10" t="s">
        <v>1726</v>
      </c>
      <c r="G911" s="10" t="s">
        <v>1744</v>
      </c>
      <c r="H911" s="137">
        <v>200</v>
      </c>
      <c r="I911" s="138"/>
      <c r="J911" s="10">
        <v>5511</v>
      </c>
      <c r="K911" s="136" t="s">
        <v>106</v>
      </c>
      <c r="L911" s="10">
        <v>55</v>
      </c>
      <c r="M911" s="10" t="s">
        <v>2219</v>
      </c>
      <c r="N911" s="136" t="s">
        <v>131</v>
      </c>
      <c r="O911" s="136" t="s">
        <v>549</v>
      </c>
      <c r="P911" s="136" t="s">
        <v>85</v>
      </c>
    </row>
    <row r="912" spans="1:16" x14ac:dyDescent="0.25">
      <c r="A912" s="139" t="s">
        <v>800</v>
      </c>
      <c r="B912" s="139" t="s">
        <v>343</v>
      </c>
      <c r="C912" s="140" t="s">
        <v>344</v>
      </c>
      <c r="D912" s="140" t="s">
        <v>582</v>
      </c>
      <c r="E912" s="140" t="s">
        <v>74</v>
      </c>
      <c r="F912" s="139" t="s">
        <v>1726</v>
      </c>
      <c r="G912" s="139" t="s">
        <v>1610</v>
      </c>
      <c r="H912" s="141">
        <v>80</v>
      </c>
      <c r="I912" s="142"/>
      <c r="J912" s="139">
        <v>5511</v>
      </c>
      <c r="K912" s="140" t="s">
        <v>106</v>
      </c>
      <c r="L912" s="139">
        <v>55</v>
      </c>
      <c r="M912" s="139" t="s">
        <v>2219</v>
      </c>
      <c r="N912" s="140" t="s">
        <v>131</v>
      </c>
      <c r="O912" s="140" t="s">
        <v>549</v>
      </c>
      <c r="P912" s="140" t="s">
        <v>85</v>
      </c>
    </row>
    <row r="913" spans="1:16" x14ac:dyDescent="0.25">
      <c r="A913" s="10" t="s">
        <v>800</v>
      </c>
      <c r="B913" s="10" t="s">
        <v>343</v>
      </c>
      <c r="C913" s="136" t="s">
        <v>344</v>
      </c>
      <c r="D913" s="136" t="s">
        <v>582</v>
      </c>
      <c r="E913" s="136" t="s">
        <v>74</v>
      </c>
      <c r="F913" s="10" t="s">
        <v>1726</v>
      </c>
      <c r="G913" s="10" t="s">
        <v>1745</v>
      </c>
      <c r="H913" s="137">
        <v>1100</v>
      </c>
      <c r="I913" s="138"/>
      <c r="J913" s="10">
        <v>5511</v>
      </c>
      <c r="K913" s="136" t="s">
        <v>106</v>
      </c>
      <c r="L913" s="10">
        <v>55</v>
      </c>
      <c r="M913" s="10" t="s">
        <v>2219</v>
      </c>
      <c r="N913" s="136" t="s">
        <v>131</v>
      </c>
      <c r="O913" s="136" t="s">
        <v>549</v>
      </c>
      <c r="P913" s="136" t="s">
        <v>85</v>
      </c>
    </row>
    <row r="914" spans="1:16" x14ac:dyDescent="0.25">
      <c r="A914" s="139" t="s">
        <v>800</v>
      </c>
      <c r="B914" s="139" t="s">
        <v>343</v>
      </c>
      <c r="C914" s="140" t="s">
        <v>344</v>
      </c>
      <c r="D914" s="140" t="s">
        <v>582</v>
      </c>
      <c r="E914" s="140" t="s">
        <v>74</v>
      </c>
      <c r="F914" s="139" t="s">
        <v>1726</v>
      </c>
      <c r="G914" s="139" t="s">
        <v>1746</v>
      </c>
      <c r="H914" s="141">
        <v>600</v>
      </c>
      <c r="I914" s="142"/>
      <c r="J914" s="139">
        <v>5511</v>
      </c>
      <c r="K914" s="140" t="s">
        <v>106</v>
      </c>
      <c r="L914" s="139">
        <v>55</v>
      </c>
      <c r="M914" s="139" t="s">
        <v>2219</v>
      </c>
      <c r="N914" s="140" t="s">
        <v>131</v>
      </c>
      <c r="O914" s="140" t="s">
        <v>549</v>
      </c>
      <c r="P914" s="140" t="s">
        <v>85</v>
      </c>
    </row>
    <row r="915" spans="1:16" x14ac:dyDescent="0.25">
      <c r="A915" s="10" t="s">
        <v>800</v>
      </c>
      <c r="B915" s="10" t="s">
        <v>343</v>
      </c>
      <c r="C915" s="136" t="s">
        <v>344</v>
      </c>
      <c r="D915" s="136" t="s">
        <v>582</v>
      </c>
      <c r="E915" s="136" t="s">
        <v>74</v>
      </c>
      <c r="F915" s="10" t="s">
        <v>1726</v>
      </c>
      <c r="G915" s="10" t="s">
        <v>1747</v>
      </c>
      <c r="H915" s="137">
        <v>150</v>
      </c>
      <c r="I915" s="138"/>
      <c r="J915" s="10">
        <v>5511</v>
      </c>
      <c r="K915" s="136" t="s">
        <v>106</v>
      </c>
      <c r="L915" s="10">
        <v>55</v>
      </c>
      <c r="M915" s="10" t="s">
        <v>2219</v>
      </c>
      <c r="N915" s="136" t="s">
        <v>131</v>
      </c>
      <c r="O915" s="136" t="s">
        <v>549</v>
      </c>
      <c r="P915" s="136" t="s">
        <v>85</v>
      </c>
    </row>
    <row r="916" spans="1:16" x14ac:dyDescent="0.25">
      <c r="A916" s="139" t="s">
        <v>800</v>
      </c>
      <c r="B916" s="139" t="s">
        <v>343</v>
      </c>
      <c r="C916" s="140" t="s">
        <v>344</v>
      </c>
      <c r="D916" s="140" t="s">
        <v>582</v>
      </c>
      <c r="E916" s="140" t="s">
        <v>74</v>
      </c>
      <c r="F916" s="139" t="s">
        <v>1726</v>
      </c>
      <c r="G916" s="139" t="s">
        <v>1748</v>
      </c>
      <c r="H916" s="141">
        <v>150</v>
      </c>
      <c r="I916" s="142"/>
      <c r="J916" s="139">
        <v>5511</v>
      </c>
      <c r="K916" s="140" t="s">
        <v>106</v>
      </c>
      <c r="L916" s="139">
        <v>55</v>
      </c>
      <c r="M916" s="139" t="s">
        <v>2219</v>
      </c>
      <c r="N916" s="140" t="s">
        <v>131</v>
      </c>
      <c r="O916" s="140" t="s">
        <v>549</v>
      </c>
      <c r="P916" s="140" t="s">
        <v>85</v>
      </c>
    </row>
    <row r="917" spans="1:16" x14ac:dyDescent="0.25">
      <c r="A917" s="10" t="s">
        <v>800</v>
      </c>
      <c r="B917" s="10" t="s">
        <v>343</v>
      </c>
      <c r="C917" s="136" t="s">
        <v>344</v>
      </c>
      <c r="D917" s="136" t="s">
        <v>582</v>
      </c>
      <c r="E917" s="136" t="s">
        <v>74</v>
      </c>
      <c r="F917" s="10" t="s">
        <v>1726</v>
      </c>
      <c r="G917" s="10" t="s">
        <v>1749</v>
      </c>
      <c r="H917" s="137">
        <v>200</v>
      </c>
      <c r="I917" s="138"/>
      <c r="J917" s="10">
        <v>5511</v>
      </c>
      <c r="K917" s="136" t="s">
        <v>106</v>
      </c>
      <c r="L917" s="10">
        <v>55</v>
      </c>
      <c r="M917" s="10" t="s">
        <v>2219</v>
      </c>
      <c r="N917" s="136" t="s">
        <v>131</v>
      </c>
      <c r="O917" s="136" t="s">
        <v>549</v>
      </c>
      <c r="P917" s="136" t="s">
        <v>85</v>
      </c>
    </row>
    <row r="918" spans="1:16" x14ac:dyDescent="0.25">
      <c r="A918" s="139" t="s">
        <v>800</v>
      </c>
      <c r="B918" s="139" t="s">
        <v>343</v>
      </c>
      <c r="C918" s="140" t="s">
        <v>344</v>
      </c>
      <c r="D918" s="140" t="s">
        <v>582</v>
      </c>
      <c r="E918" s="140" t="s">
        <v>74</v>
      </c>
      <c r="F918" s="139" t="s">
        <v>1726</v>
      </c>
      <c r="G918" s="139" t="s">
        <v>1289</v>
      </c>
      <c r="H918" s="141">
        <v>500</v>
      </c>
      <c r="I918" s="142"/>
      <c r="J918" s="139">
        <v>5511</v>
      </c>
      <c r="K918" s="140" t="s">
        <v>106</v>
      </c>
      <c r="L918" s="139">
        <v>55</v>
      </c>
      <c r="M918" s="139" t="s">
        <v>2219</v>
      </c>
      <c r="N918" s="140" t="s">
        <v>131</v>
      </c>
      <c r="O918" s="140" t="s">
        <v>549</v>
      </c>
      <c r="P918" s="140" t="s">
        <v>85</v>
      </c>
    </row>
    <row r="919" spans="1:16" x14ac:dyDescent="0.25">
      <c r="A919" s="10" t="s">
        <v>800</v>
      </c>
      <c r="B919" s="10" t="s">
        <v>343</v>
      </c>
      <c r="C919" s="136" t="s">
        <v>344</v>
      </c>
      <c r="D919" s="136" t="s">
        <v>582</v>
      </c>
      <c r="E919" s="136" t="s">
        <v>74</v>
      </c>
      <c r="F919" s="10" t="s">
        <v>1726</v>
      </c>
      <c r="G919" s="10" t="s">
        <v>242</v>
      </c>
      <c r="H919" s="137">
        <v>650</v>
      </c>
      <c r="I919" s="138"/>
      <c r="J919" s="10">
        <v>5514</v>
      </c>
      <c r="K919" s="136" t="s">
        <v>110</v>
      </c>
      <c r="L919" s="10">
        <v>55</v>
      </c>
      <c r="M919" s="10" t="s">
        <v>2219</v>
      </c>
      <c r="N919" s="136" t="s">
        <v>131</v>
      </c>
      <c r="O919" s="136" t="s">
        <v>549</v>
      </c>
      <c r="P919" s="136" t="s">
        <v>85</v>
      </c>
    </row>
    <row r="920" spans="1:16" x14ac:dyDescent="0.25">
      <c r="A920" s="139" t="s">
        <v>800</v>
      </c>
      <c r="B920" s="139" t="s">
        <v>343</v>
      </c>
      <c r="C920" s="140" t="s">
        <v>344</v>
      </c>
      <c r="D920" s="140" t="s">
        <v>582</v>
      </c>
      <c r="E920" s="140" t="s">
        <v>74</v>
      </c>
      <c r="F920" s="139" t="s">
        <v>1726</v>
      </c>
      <c r="G920" s="139" t="s">
        <v>1753</v>
      </c>
      <c r="H920" s="141">
        <v>150</v>
      </c>
      <c r="I920" s="142"/>
      <c r="J920" s="139">
        <v>5514</v>
      </c>
      <c r="K920" s="140" t="s">
        <v>110</v>
      </c>
      <c r="L920" s="139">
        <v>55</v>
      </c>
      <c r="M920" s="139" t="s">
        <v>2219</v>
      </c>
      <c r="N920" s="140" t="s">
        <v>131</v>
      </c>
      <c r="O920" s="140" t="s">
        <v>549</v>
      </c>
      <c r="P920" s="140" t="s">
        <v>85</v>
      </c>
    </row>
    <row r="921" spans="1:16" x14ac:dyDescent="0.25">
      <c r="A921" s="10" t="s">
        <v>800</v>
      </c>
      <c r="B921" s="10" t="s">
        <v>343</v>
      </c>
      <c r="C921" s="136" t="s">
        <v>344</v>
      </c>
      <c r="D921" s="136" t="s">
        <v>582</v>
      </c>
      <c r="E921" s="136" t="s">
        <v>74</v>
      </c>
      <c r="F921" s="10" t="s">
        <v>1726</v>
      </c>
      <c r="G921" s="10" t="s">
        <v>1758</v>
      </c>
      <c r="H921" s="137">
        <v>100</v>
      </c>
      <c r="I921" s="138"/>
      <c r="J921" s="10">
        <v>5514</v>
      </c>
      <c r="K921" s="136" t="s">
        <v>110</v>
      </c>
      <c r="L921" s="10">
        <v>55</v>
      </c>
      <c r="M921" s="10" t="s">
        <v>2219</v>
      </c>
      <c r="N921" s="136" t="s">
        <v>131</v>
      </c>
      <c r="O921" s="136" t="s">
        <v>549</v>
      </c>
      <c r="P921" s="136" t="s">
        <v>85</v>
      </c>
    </row>
    <row r="922" spans="1:16" x14ac:dyDescent="0.25">
      <c r="A922" s="163" t="s">
        <v>800</v>
      </c>
      <c r="B922" s="163" t="s">
        <v>343</v>
      </c>
      <c r="C922" s="164" t="s">
        <v>344</v>
      </c>
      <c r="D922" s="164" t="s">
        <v>582</v>
      </c>
      <c r="E922" s="164" t="s">
        <v>74</v>
      </c>
      <c r="F922" s="163" t="s">
        <v>1726</v>
      </c>
      <c r="G922" s="163" t="s">
        <v>2199</v>
      </c>
      <c r="H922" s="165">
        <v>200</v>
      </c>
      <c r="I922" s="166" t="s">
        <v>2203</v>
      </c>
      <c r="J922" s="163">
        <v>5504</v>
      </c>
      <c r="K922" s="164" t="s">
        <v>102</v>
      </c>
      <c r="L922" s="163">
        <v>55</v>
      </c>
      <c r="M922" s="163" t="s">
        <v>2219</v>
      </c>
      <c r="N922" s="164" t="s">
        <v>131</v>
      </c>
      <c r="O922" s="164" t="s">
        <v>549</v>
      </c>
      <c r="P922" s="164" t="s">
        <v>85</v>
      </c>
    </row>
    <row r="923" spans="1:16" x14ac:dyDescent="0.25">
      <c r="A923" s="163" t="s">
        <v>800</v>
      </c>
      <c r="B923" s="163" t="s">
        <v>343</v>
      </c>
      <c r="C923" s="164" t="s">
        <v>344</v>
      </c>
      <c r="D923" s="164" t="s">
        <v>582</v>
      </c>
      <c r="E923" s="164" t="s">
        <v>74</v>
      </c>
      <c r="F923" s="163" t="s">
        <v>1726</v>
      </c>
      <c r="G923" s="163" t="s">
        <v>2200</v>
      </c>
      <c r="H923" s="165">
        <v>741</v>
      </c>
      <c r="I923" s="166" t="s">
        <v>2203</v>
      </c>
      <c r="J923" s="163">
        <v>5524</v>
      </c>
      <c r="K923" s="164" t="s">
        <v>117</v>
      </c>
      <c r="L923" s="163">
        <v>55</v>
      </c>
      <c r="M923" s="163" t="s">
        <v>2219</v>
      </c>
      <c r="N923" s="164" t="s">
        <v>131</v>
      </c>
      <c r="O923" s="164" t="s">
        <v>549</v>
      </c>
      <c r="P923" s="164" t="s">
        <v>85</v>
      </c>
    </row>
    <row r="924" spans="1:16" x14ac:dyDescent="0.25">
      <c r="A924" s="139" t="s">
        <v>800</v>
      </c>
      <c r="B924" s="139" t="s">
        <v>345</v>
      </c>
      <c r="C924" s="140" t="s">
        <v>346</v>
      </c>
      <c r="D924" s="140" t="s">
        <v>582</v>
      </c>
      <c r="E924" s="140" t="s">
        <v>74</v>
      </c>
      <c r="F924" s="139" t="s">
        <v>1449</v>
      </c>
      <c r="G924" s="139" t="s">
        <v>1464</v>
      </c>
      <c r="H924" s="141">
        <v>5940</v>
      </c>
      <c r="I924" s="142" t="s">
        <v>1470</v>
      </c>
      <c r="J924" s="139">
        <v>5500</v>
      </c>
      <c r="K924" s="140" t="s">
        <v>100</v>
      </c>
      <c r="L924" s="139">
        <v>55</v>
      </c>
      <c r="M924" s="139" t="s">
        <v>2219</v>
      </c>
      <c r="N924" s="140" t="s">
        <v>131</v>
      </c>
      <c r="O924" s="140" t="s">
        <v>549</v>
      </c>
      <c r="P924" s="140" t="s">
        <v>85</v>
      </c>
    </row>
    <row r="925" spans="1:16" x14ac:dyDescent="0.25">
      <c r="A925" s="10" t="s">
        <v>800</v>
      </c>
      <c r="B925" s="10" t="s">
        <v>345</v>
      </c>
      <c r="C925" s="136" t="s">
        <v>346</v>
      </c>
      <c r="D925" s="136" t="s">
        <v>582</v>
      </c>
      <c r="E925" s="136" t="s">
        <v>74</v>
      </c>
      <c r="F925" s="10" t="s">
        <v>1449</v>
      </c>
      <c r="G925" s="10" t="s">
        <v>1465</v>
      </c>
      <c r="H925" s="137">
        <v>210</v>
      </c>
      <c r="I925" s="138" t="s">
        <v>1471</v>
      </c>
      <c r="J925" s="10">
        <v>5500</v>
      </c>
      <c r="K925" s="136" t="s">
        <v>100</v>
      </c>
      <c r="L925" s="10">
        <v>55</v>
      </c>
      <c r="M925" s="10" t="s">
        <v>2219</v>
      </c>
      <c r="N925" s="136" t="s">
        <v>131</v>
      </c>
      <c r="O925" s="136" t="s">
        <v>549</v>
      </c>
      <c r="P925" s="136" t="s">
        <v>85</v>
      </c>
    </row>
    <row r="926" spans="1:16" x14ac:dyDescent="0.25">
      <c r="A926" s="139" t="s">
        <v>800</v>
      </c>
      <c r="B926" s="139" t="s">
        <v>345</v>
      </c>
      <c r="C926" s="140" t="s">
        <v>346</v>
      </c>
      <c r="D926" s="140" t="s">
        <v>582</v>
      </c>
      <c r="E926" s="140" t="s">
        <v>74</v>
      </c>
      <c r="F926" s="139" t="s">
        <v>1449</v>
      </c>
      <c r="G926" s="139" t="s">
        <v>832</v>
      </c>
      <c r="H926" s="141">
        <v>250</v>
      </c>
      <c r="I926" s="142" t="s">
        <v>1472</v>
      </c>
      <c r="J926" s="139">
        <v>5500</v>
      </c>
      <c r="K926" s="140" t="s">
        <v>100</v>
      </c>
      <c r="L926" s="139">
        <v>55</v>
      </c>
      <c r="M926" s="139" t="s">
        <v>2219</v>
      </c>
      <c r="N926" s="140" t="s">
        <v>131</v>
      </c>
      <c r="O926" s="140" t="s">
        <v>549</v>
      </c>
      <c r="P926" s="140" t="s">
        <v>85</v>
      </c>
    </row>
    <row r="927" spans="1:16" x14ac:dyDescent="0.25">
      <c r="A927" s="10" t="s">
        <v>800</v>
      </c>
      <c r="B927" s="10" t="s">
        <v>345</v>
      </c>
      <c r="C927" s="136" t="s">
        <v>346</v>
      </c>
      <c r="D927" s="136" t="s">
        <v>582</v>
      </c>
      <c r="E927" s="136" t="s">
        <v>74</v>
      </c>
      <c r="F927" s="10" t="s">
        <v>1449</v>
      </c>
      <c r="G927" s="10" t="s">
        <v>1466</v>
      </c>
      <c r="H927" s="137">
        <v>750</v>
      </c>
      <c r="I927" s="138" t="s">
        <v>1473</v>
      </c>
      <c r="J927" s="10">
        <v>5500</v>
      </c>
      <c r="K927" s="136" t="s">
        <v>100</v>
      </c>
      <c r="L927" s="10">
        <v>55</v>
      </c>
      <c r="M927" s="10" t="s">
        <v>2219</v>
      </c>
      <c r="N927" s="136" t="s">
        <v>131</v>
      </c>
      <c r="O927" s="136" t="s">
        <v>549</v>
      </c>
      <c r="P927" s="136" t="s">
        <v>85</v>
      </c>
    </row>
    <row r="928" spans="1:16" x14ac:dyDescent="0.25">
      <c r="A928" s="139" t="s">
        <v>800</v>
      </c>
      <c r="B928" s="139" t="s">
        <v>345</v>
      </c>
      <c r="C928" s="140" t="s">
        <v>346</v>
      </c>
      <c r="D928" s="140" t="s">
        <v>582</v>
      </c>
      <c r="E928" s="140" t="s">
        <v>74</v>
      </c>
      <c r="F928" s="139" t="s">
        <v>1449</v>
      </c>
      <c r="G928" s="139" t="s">
        <v>1467</v>
      </c>
      <c r="H928" s="141">
        <v>350</v>
      </c>
      <c r="I928" s="142" t="s">
        <v>1474</v>
      </c>
      <c r="J928" s="139">
        <v>5500</v>
      </c>
      <c r="K928" s="140" t="s">
        <v>100</v>
      </c>
      <c r="L928" s="139">
        <v>55</v>
      </c>
      <c r="M928" s="139" t="s">
        <v>2219</v>
      </c>
      <c r="N928" s="140" t="s">
        <v>131</v>
      </c>
      <c r="O928" s="140" t="s">
        <v>549</v>
      </c>
      <c r="P928" s="140" t="s">
        <v>85</v>
      </c>
    </row>
    <row r="929" spans="1:16" x14ac:dyDescent="0.25">
      <c r="A929" s="10" t="s">
        <v>800</v>
      </c>
      <c r="B929" s="10" t="s">
        <v>345</v>
      </c>
      <c r="C929" s="136" t="s">
        <v>346</v>
      </c>
      <c r="D929" s="136" t="s">
        <v>582</v>
      </c>
      <c r="E929" s="136" t="s">
        <v>74</v>
      </c>
      <c r="F929" s="10" t="s">
        <v>1449</v>
      </c>
      <c r="G929" s="10" t="s">
        <v>171</v>
      </c>
      <c r="H929" s="137">
        <v>1320</v>
      </c>
      <c r="I929" s="138" t="s">
        <v>1475</v>
      </c>
      <c r="J929" s="10">
        <v>5500</v>
      </c>
      <c r="K929" s="136" t="s">
        <v>100</v>
      </c>
      <c r="L929" s="10">
        <v>55</v>
      </c>
      <c r="M929" s="10" t="s">
        <v>2219</v>
      </c>
      <c r="N929" s="136" t="s">
        <v>131</v>
      </c>
      <c r="O929" s="136" t="s">
        <v>549</v>
      </c>
      <c r="P929" s="136" t="s">
        <v>85</v>
      </c>
    </row>
    <row r="930" spans="1:16" x14ac:dyDescent="0.25">
      <c r="A930" s="139" t="s">
        <v>800</v>
      </c>
      <c r="B930" s="139" t="s">
        <v>345</v>
      </c>
      <c r="C930" s="140" t="s">
        <v>346</v>
      </c>
      <c r="D930" s="140" t="s">
        <v>582</v>
      </c>
      <c r="E930" s="140" t="s">
        <v>74</v>
      </c>
      <c r="F930" s="139" t="s">
        <v>1449</v>
      </c>
      <c r="G930" s="139" t="s">
        <v>408</v>
      </c>
      <c r="H930" s="141">
        <v>550</v>
      </c>
      <c r="I930" s="142" t="s">
        <v>1476</v>
      </c>
      <c r="J930" s="139">
        <v>5500</v>
      </c>
      <c r="K930" s="140" t="s">
        <v>100</v>
      </c>
      <c r="L930" s="139">
        <v>55</v>
      </c>
      <c r="M930" s="139" t="s">
        <v>2219</v>
      </c>
      <c r="N930" s="140" t="s">
        <v>131</v>
      </c>
      <c r="O930" s="140" t="s">
        <v>549</v>
      </c>
      <c r="P930" s="140" t="s">
        <v>85</v>
      </c>
    </row>
    <row r="931" spans="1:16" x14ac:dyDescent="0.25">
      <c r="A931" s="10" t="s">
        <v>800</v>
      </c>
      <c r="B931" s="10" t="s">
        <v>345</v>
      </c>
      <c r="C931" s="136" t="s">
        <v>346</v>
      </c>
      <c r="D931" s="136" t="s">
        <v>582</v>
      </c>
      <c r="E931" s="136" t="s">
        <v>74</v>
      </c>
      <c r="F931" s="10" t="s">
        <v>1449</v>
      </c>
      <c r="G931" s="10" t="s">
        <v>1091</v>
      </c>
      <c r="H931" s="137">
        <v>4000</v>
      </c>
      <c r="I931" s="138" t="s">
        <v>1477</v>
      </c>
      <c r="J931" s="10">
        <v>5500</v>
      </c>
      <c r="K931" s="136" t="s">
        <v>100</v>
      </c>
      <c r="L931" s="10">
        <v>55</v>
      </c>
      <c r="M931" s="10" t="s">
        <v>2219</v>
      </c>
      <c r="N931" s="136" t="s">
        <v>131</v>
      </c>
      <c r="O931" s="136" t="s">
        <v>549</v>
      </c>
      <c r="P931" s="136" t="s">
        <v>85</v>
      </c>
    </row>
    <row r="932" spans="1:16" x14ac:dyDescent="0.25">
      <c r="A932" s="139" t="s">
        <v>800</v>
      </c>
      <c r="B932" s="139" t="s">
        <v>345</v>
      </c>
      <c r="C932" s="140" t="s">
        <v>346</v>
      </c>
      <c r="D932" s="140" t="s">
        <v>582</v>
      </c>
      <c r="E932" s="140" t="s">
        <v>74</v>
      </c>
      <c r="F932" s="139" t="s">
        <v>1449</v>
      </c>
      <c r="G932" s="139" t="s">
        <v>1468</v>
      </c>
      <c r="H932" s="141">
        <v>960</v>
      </c>
      <c r="I932" s="142" t="s">
        <v>1478</v>
      </c>
      <c r="J932" s="139">
        <v>5500</v>
      </c>
      <c r="K932" s="140" t="s">
        <v>100</v>
      </c>
      <c r="L932" s="139">
        <v>55</v>
      </c>
      <c r="M932" s="139" t="s">
        <v>2219</v>
      </c>
      <c r="N932" s="140" t="s">
        <v>131</v>
      </c>
      <c r="O932" s="140" t="s">
        <v>549</v>
      </c>
      <c r="P932" s="140" t="s">
        <v>85</v>
      </c>
    </row>
    <row r="933" spans="1:16" x14ac:dyDescent="0.25">
      <c r="A933" s="10" t="s">
        <v>800</v>
      </c>
      <c r="B933" s="10" t="s">
        <v>345</v>
      </c>
      <c r="C933" s="136" t="s">
        <v>346</v>
      </c>
      <c r="D933" s="136" t="s">
        <v>582</v>
      </c>
      <c r="E933" s="136" t="s">
        <v>74</v>
      </c>
      <c r="F933" s="10" t="s">
        <v>1449</v>
      </c>
      <c r="G933" s="10" t="s">
        <v>1469</v>
      </c>
      <c r="H933" s="137">
        <v>150</v>
      </c>
      <c r="I933" s="138" t="s">
        <v>1479</v>
      </c>
      <c r="J933" s="10">
        <v>5500</v>
      </c>
      <c r="K933" s="136" t="s">
        <v>100</v>
      </c>
      <c r="L933" s="10">
        <v>55</v>
      </c>
      <c r="M933" s="10" t="s">
        <v>2219</v>
      </c>
      <c r="N933" s="136" t="s">
        <v>131</v>
      </c>
      <c r="O933" s="136" t="s">
        <v>549</v>
      </c>
      <c r="P933" s="136" t="s">
        <v>85</v>
      </c>
    </row>
    <row r="934" spans="1:16" x14ac:dyDescent="0.25">
      <c r="A934" s="139" t="s">
        <v>800</v>
      </c>
      <c r="B934" s="139" t="s">
        <v>345</v>
      </c>
      <c r="C934" s="140" t="s">
        <v>346</v>
      </c>
      <c r="D934" s="140" t="s">
        <v>582</v>
      </c>
      <c r="E934" s="140" t="s">
        <v>74</v>
      </c>
      <c r="F934" s="139" t="s">
        <v>1449</v>
      </c>
      <c r="G934" s="139" t="s">
        <v>176</v>
      </c>
      <c r="H934" s="141">
        <v>800</v>
      </c>
      <c r="I934" s="142" t="s">
        <v>1480</v>
      </c>
      <c r="J934" s="139">
        <v>5504</v>
      </c>
      <c r="K934" s="140" t="s">
        <v>102</v>
      </c>
      <c r="L934" s="139">
        <v>55</v>
      </c>
      <c r="M934" s="139" t="s">
        <v>2219</v>
      </c>
      <c r="N934" s="140" t="s">
        <v>131</v>
      </c>
      <c r="O934" s="140" t="s">
        <v>549</v>
      </c>
      <c r="P934" s="140" t="s">
        <v>85</v>
      </c>
    </row>
    <row r="935" spans="1:16" x14ac:dyDescent="0.25">
      <c r="A935" s="10" t="s">
        <v>800</v>
      </c>
      <c r="B935" s="10" t="s">
        <v>345</v>
      </c>
      <c r="C935" s="136" t="s">
        <v>346</v>
      </c>
      <c r="D935" s="136" t="s">
        <v>582</v>
      </c>
      <c r="E935" s="136" t="s">
        <v>74</v>
      </c>
      <c r="F935" s="10" t="s">
        <v>1449</v>
      </c>
      <c r="G935" s="10" t="s">
        <v>1505</v>
      </c>
      <c r="H935" s="137">
        <v>7000</v>
      </c>
      <c r="I935" s="138" t="s">
        <v>1500</v>
      </c>
      <c r="J935" s="10">
        <v>5513</v>
      </c>
      <c r="K935" s="136" t="s">
        <v>111</v>
      </c>
      <c r="L935" s="10">
        <v>55</v>
      </c>
      <c r="M935" s="10" t="s">
        <v>2219</v>
      </c>
      <c r="N935" s="136" t="s">
        <v>131</v>
      </c>
      <c r="O935" s="136" t="s">
        <v>549</v>
      </c>
      <c r="P935" s="136" t="s">
        <v>85</v>
      </c>
    </row>
    <row r="936" spans="1:16" x14ac:dyDescent="0.25">
      <c r="A936" s="139" t="s">
        <v>800</v>
      </c>
      <c r="B936" s="139" t="s">
        <v>345</v>
      </c>
      <c r="C936" s="140" t="s">
        <v>346</v>
      </c>
      <c r="D936" s="140" t="s">
        <v>582</v>
      </c>
      <c r="E936" s="140" t="s">
        <v>74</v>
      </c>
      <c r="F936" s="139" t="s">
        <v>1449</v>
      </c>
      <c r="G936" s="139" t="s">
        <v>1497</v>
      </c>
      <c r="H936" s="141">
        <v>11000</v>
      </c>
      <c r="I936" s="142" t="s">
        <v>1501</v>
      </c>
      <c r="J936" s="139">
        <v>5513</v>
      </c>
      <c r="K936" s="140" t="s">
        <v>111</v>
      </c>
      <c r="L936" s="139">
        <v>55</v>
      </c>
      <c r="M936" s="139" t="s">
        <v>2219</v>
      </c>
      <c r="N936" s="140" t="s">
        <v>131</v>
      </c>
      <c r="O936" s="140" t="s">
        <v>549</v>
      </c>
      <c r="P936" s="140" t="s">
        <v>85</v>
      </c>
    </row>
    <row r="937" spans="1:16" x14ac:dyDescent="0.25">
      <c r="A937" s="10" t="s">
        <v>800</v>
      </c>
      <c r="B937" s="10" t="s">
        <v>345</v>
      </c>
      <c r="C937" s="136" t="s">
        <v>346</v>
      </c>
      <c r="D937" s="136" t="s">
        <v>582</v>
      </c>
      <c r="E937" s="136" t="s">
        <v>74</v>
      </c>
      <c r="F937" s="10" t="s">
        <v>1449</v>
      </c>
      <c r="G937" s="10" t="s">
        <v>415</v>
      </c>
      <c r="H937" s="137">
        <v>1750</v>
      </c>
      <c r="I937" s="138" t="s">
        <v>1502</v>
      </c>
      <c r="J937" s="10">
        <v>5513</v>
      </c>
      <c r="K937" s="136" t="s">
        <v>111</v>
      </c>
      <c r="L937" s="10">
        <v>55</v>
      </c>
      <c r="M937" s="10" t="s">
        <v>2219</v>
      </c>
      <c r="N937" s="136" t="s">
        <v>131</v>
      </c>
      <c r="O937" s="136" t="s">
        <v>549</v>
      </c>
      <c r="P937" s="136" t="s">
        <v>85</v>
      </c>
    </row>
    <row r="938" spans="1:16" x14ac:dyDescent="0.25">
      <c r="A938" s="139" t="s">
        <v>800</v>
      </c>
      <c r="B938" s="139" t="s">
        <v>345</v>
      </c>
      <c r="C938" s="140" t="s">
        <v>346</v>
      </c>
      <c r="D938" s="140" t="s">
        <v>582</v>
      </c>
      <c r="E938" s="140" t="s">
        <v>74</v>
      </c>
      <c r="F938" s="139" t="s">
        <v>1449</v>
      </c>
      <c r="G938" s="139" t="s">
        <v>1498</v>
      </c>
      <c r="H938" s="141">
        <v>1900</v>
      </c>
      <c r="I938" s="142" t="s">
        <v>1503</v>
      </c>
      <c r="J938" s="139">
        <v>5513</v>
      </c>
      <c r="K938" s="140" t="s">
        <v>111</v>
      </c>
      <c r="L938" s="139">
        <v>55</v>
      </c>
      <c r="M938" s="139" t="s">
        <v>2219</v>
      </c>
      <c r="N938" s="140" t="s">
        <v>131</v>
      </c>
      <c r="O938" s="140" t="s">
        <v>549</v>
      </c>
      <c r="P938" s="140" t="s">
        <v>85</v>
      </c>
    </row>
    <row r="939" spans="1:16" x14ac:dyDescent="0.25">
      <c r="A939" s="10" t="s">
        <v>800</v>
      </c>
      <c r="B939" s="10" t="s">
        <v>345</v>
      </c>
      <c r="C939" s="136" t="s">
        <v>346</v>
      </c>
      <c r="D939" s="136" t="s">
        <v>582</v>
      </c>
      <c r="E939" s="136" t="s">
        <v>74</v>
      </c>
      <c r="F939" s="10" t="s">
        <v>1449</v>
      </c>
      <c r="G939" s="10" t="s">
        <v>1499</v>
      </c>
      <c r="H939" s="137">
        <v>850</v>
      </c>
      <c r="I939" s="138" t="s">
        <v>1504</v>
      </c>
      <c r="J939" s="10">
        <v>5513</v>
      </c>
      <c r="K939" s="136" t="s">
        <v>111</v>
      </c>
      <c r="L939" s="10">
        <v>55</v>
      </c>
      <c r="M939" s="10" t="s">
        <v>2219</v>
      </c>
      <c r="N939" s="136" t="s">
        <v>131</v>
      </c>
      <c r="O939" s="136" t="s">
        <v>549</v>
      </c>
      <c r="P939" s="136" t="s">
        <v>85</v>
      </c>
    </row>
    <row r="940" spans="1:16" x14ac:dyDescent="0.25">
      <c r="A940" s="139" t="s">
        <v>800</v>
      </c>
      <c r="B940" s="139" t="s">
        <v>345</v>
      </c>
      <c r="C940" s="140" t="s">
        <v>346</v>
      </c>
      <c r="D940" s="140" t="s">
        <v>582</v>
      </c>
      <c r="E940" s="140" t="s">
        <v>74</v>
      </c>
      <c r="F940" s="139" t="s">
        <v>1449</v>
      </c>
      <c r="G940" s="139" t="s">
        <v>1508</v>
      </c>
      <c r="H940" s="141">
        <v>5000</v>
      </c>
      <c r="I940" s="142"/>
      <c r="J940" s="139">
        <v>5515</v>
      </c>
      <c r="K940" s="140" t="s">
        <v>112</v>
      </c>
      <c r="L940" s="139">
        <v>55</v>
      </c>
      <c r="M940" s="139" t="s">
        <v>2219</v>
      </c>
      <c r="N940" s="140" t="s">
        <v>131</v>
      </c>
      <c r="O940" s="140" t="s">
        <v>549</v>
      </c>
      <c r="P940" s="140" t="s">
        <v>85</v>
      </c>
    </row>
    <row r="941" spans="1:16" x14ac:dyDescent="0.25">
      <c r="A941" s="10" t="s">
        <v>800</v>
      </c>
      <c r="B941" s="10" t="s">
        <v>345</v>
      </c>
      <c r="C941" s="136" t="s">
        <v>346</v>
      </c>
      <c r="D941" s="136" t="s">
        <v>582</v>
      </c>
      <c r="E941" s="136" t="s">
        <v>74</v>
      </c>
      <c r="F941" s="10" t="s">
        <v>1449</v>
      </c>
      <c r="G941" s="10" t="s">
        <v>1509</v>
      </c>
      <c r="H941" s="137">
        <v>1500</v>
      </c>
      <c r="I941" s="138" t="s">
        <v>1513</v>
      </c>
      <c r="J941" s="10">
        <v>5522</v>
      </c>
      <c r="K941" s="136" t="s">
        <v>115</v>
      </c>
      <c r="L941" s="10">
        <v>55</v>
      </c>
      <c r="M941" s="10" t="s">
        <v>2219</v>
      </c>
      <c r="N941" s="136" t="s">
        <v>131</v>
      </c>
      <c r="O941" s="136" t="s">
        <v>549</v>
      </c>
      <c r="P941" s="136" t="s">
        <v>85</v>
      </c>
    </row>
    <row r="942" spans="1:16" x14ac:dyDescent="0.25">
      <c r="A942" s="139" t="s">
        <v>800</v>
      </c>
      <c r="B942" s="139" t="s">
        <v>345</v>
      </c>
      <c r="C942" s="140" t="s">
        <v>346</v>
      </c>
      <c r="D942" s="140" t="s">
        <v>582</v>
      </c>
      <c r="E942" s="140" t="s">
        <v>74</v>
      </c>
      <c r="F942" s="139" t="s">
        <v>1449</v>
      </c>
      <c r="G942" s="139" t="s">
        <v>1510</v>
      </c>
      <c r="H942" s="141">
        <v>35000</v>
      </c>
      <c r="I942" s="142"/>
      <c r="J942" s="139">
        <v>5524</v>
      </c>
      <c r="K942" s="140" t="s">
        <v>117</v>
      </c>
      <c r="L942" s="139">
        <v>55</v>
      </c>
      <c r="M942" s="139" t="s">
        <v>2219</v>
      </c>
      <c r="N942" s="140" t="s">
        <v>131</v>
      </c>
      <c r="O942" s="140" t="s">
        <v>549</v>
      </c>
      <c r="P942" s="140" t="s">
        <v>85</v>
      </c>
    </row>
    <row r="943" spans="1:16" x14ac:dyDescent="0.25">
      <c r="A943" s="10" t="s">
        <v>800</v>
      </c>
      <c r="B943" s="10" t="s">
        <v>345</v>
      </c>
      <c r="C943" s="136" t="s">
        <v>346</v>
      </c>
      <c r="D943" s="136" t="s">
        <v>582</v>
      </c>
      <c r="E943" s="136" t="s">
        <v>74</v>
      </c>
      <c r="F943" s="10" t="s">
        <v>1449</v>
      </c>
      <c r="G943" s="10" t="s">
        <v>1511</v>
      </c>
      <c r="H943" s="137">
        <v>1700</v>
      </c>
      <c r="I943" s="138"/>
      <c r="J943" s="10">
        <v>5524</v>
      </c>
      <c r="K943" s="136" t="s">
        <v>117</v>
      </c>
      <c r="L943" s="10">
        <v>55</v>
      </c>
      <c r="M943" s="10" t="s">
        <v>2219</v>
      </c>
      <c r="N943" s="136" t="s">
        <v>131</v>
      </c>
      <c r="O943" s="136" t="s">
        <v>549</v>
      </c>
      <c r="P943" s="136" t="s">
        <v>85</v>
      </c>
    </row>
    <row r="944" spans="1:16" x14ac:dyDescent="0.25">
      <c r="A944" s="139" t="s">
        <v>800</v>
      </c>
      <c r="B944" s="139" t="s">
        <v>345</v>
      </c>
      <c r="C944" s="140" t="s">
        <v>346</v>
      </c>
      <c r="D944" s="140" t="s">
        <v>582</v>
      </c>
      <c r="E944" s="140" t="s">
        <v>74</v>
      </c>
      <c r="F944" s="139" t="s">
        <v>1449</v>
      </c>
      <c r="G944" s="139" t="s">
        <v>1512</v>
      </c>
      <c r="H944" s="141">
        <v>20000</v>
      </c>
      <c r="I944" s="142"/>
      <c r="J944" s="139">
        <v>5524</v>
      </c>
      <c r="K944" s="140" t="s">
        <v>117</v>
      </c>
      <c r="L944" s="139">
        <v>55</v>
      </c>
      <c r="M944" s="139" t="s">
        <v>2219</v>
      </c>
      <c r="N944" s="140" t="s">
        <v>131</v>
      </c>
      <c r="O944" s="140" t="s">
        <v>549</v>
      </c>
      <c r="P944" s="140" t="s">
        <v>85</v>
      </c>
    </row>
    <row r="945" spans="1:16" x14ac:dyDescent="0.25">
      <c r="A945" s="10" t="s">
        <v>800</v>
      </c>
      <c r="B945" s="10" t="s">
        <v>345</v>
      </c>
      <c r="C945" s="136" t="s">
        <v>346</v>
      </c>
      <c r="D945" s="136" t="s">
        <v>582</v>
      </c>
      <c r="E945" s="136" t="s">
        <v>74</v>
      </c>
      <c r="F945" s="10" t="s">
        <v>1449</v>
      </c>
      <c r="G945" s="10" t="s">
        <v>1514</v>
      </c>
      <c r="H945" s="137">
        <v>13000</v>
      </c>
      <c r="I945" s="138"/>
      <c r="J945" s="10">
        <v>5525</v>
      </c>
      <c r="K945" s="136" t="s">
        <v>118</v>
      </c>
      <c r="L945" s="10">
        <v>55</v>
      </c>
      <c r="M945" s="10" t="s">
        <v>2219</v>
      </c>
      <c r="N945" s="136" t="s">
        <v>131</v>
      </c>
      <c r="O945" s="136" t="s">
        <v>549</v>
      </c>
      <c r="P945" s="136" t="s">
        <v>85</v>
      </c>
    </row>
    <row r="946" spans="1:16" x14ac:dyDescent="0.25">
      <c r="A946" s="139" t="s">
        <v>800</v>
      </c>
      <c r="B946" s="139" t="s">
        <v>345</v>
      </c>
      <c r="C946" s="140" t="s">
        <v>346</v>
      </c>
      <c r="D946" s="140" t="s">
        <v>582</v>
      </c>
      <c r="E946" s="140" t="s">
        <v>74</v>
      </c>
      <c r="F946" s="139" t="s">
        <v>1449</v>
      </c>
      <c r="G946" s="139" t="s">
        <v>1515</v>
      </c>
      <c r="H946" s="141">
        <v>3500</v>
      </c>
      <c r="I946" s="142"/>
      <c r="J946" s="139">
        <v>5525</v>
      </c>
      <c r="K946" s="140" t="s">
        <v>118</v>
      </c>
      <c r="L946" s="139">
        <v>55</v>
      </c>
      <c r="M946" s="139" t="s">
        <v>2219</v>
      </c>
      <c r="N946" s="140" t="s">
        <v>131</v>
      </c>
      <c r="O946" s="140" t="s">
        <v>549</v>
      </c>
      <c r="P946" s="140" t="s">
        <v>85</v>
      </c>
    </row>
    <row r="947" spans="1:16" x14ac:dyDescent="0.25">
      <c r="A947" s="10" t="s">
        <v>800</v>
      </c>
      <c r="B947" s="10" t="s">
        <v>345</v>
      </c>
      <c r="C947" s="136" t="s">
        <v>346</v>
      </c>
      <c r="D947" s="136" t="s">
        <v>582</v>
      </c>
      <c r="E947" s="136" t="s">
        <v>74</v>
      </c>
      <c r="F947" s="10" t="s">
        <v>1449</v>
      </c>
      <c r="G947" s="10" t="s">
        <v>177</v>
      </c>
      <c r="H947" s="137">
        <v>115000</v>
      </c>
      <c r="I947" s="138" t="s">
        <v>1490</v>
      </c>
      <c r="J947" s="10">
        <v>5511</v>
      </c>
      <c r="K947" s="136" t="s">
        <v>106</v>
      </c>
      <c r="L947" s="10">
        <v>55</v>
      </c>
      <c r="M947" s="10" t="s">
        <v>2219</v>
      </c>
      <c r="N947" s="136" t="s">
        <v>131</v>
      </c>
      <c r="O947" s="136" t="s">
        <v>549</v>
      </c>
      <c r="P947" s="136" t="s">
        <v>85</v>
      </c>
    </row>
    <row r="948" spans="1:16" x14ac:dyDescent="0.25">
      <c r="A948" s="139" t="s">
        <v>800</v>
      </c>
      <c r="B948" s="139" t="s">
        <v>345</v>
      </c>
      <c r="C948" s="140" t="s">
        <v>346</v>
      </c>
      <c r="D948" s="140" t="s">
        <v>582</v>
      </c>
      <c r="E948" s="140" t="s">
        <v>74</v>
      </c>
      <c r="F948" s="139" t="s">
        <v>1449</v>
      </c>
      <c r="G948" s="139" t="s">
        <v>178</v>
      </c>
      <c r="H948" s="141">
        <v>37894</v>
      </c>
      <c r="I948" s="142" t="s">
        <v>1491</v>
      </c>
      <c r="J948" s="139">
        <v>5511</v>
      </c>
      <c r="K948" s="140" t="s">
        <v>106</v>
      </c>
      <c r="L948" s="139">
        <v>55</v>
      </c>
      <c r="M948" s="139" t="s">
        <v>2219</v>
      </c>
      <c r="N948" s="140" t="s">
        <v>131</v>
      </c>
      <c r="O948" s="140" t="s">
        <v>549</v>
      </c>
      <c r="P948" s="140" t="s">
        <v>85</v>
      </c>
    </row>
    <row r="949" spans="1:16" x14ac:dyDescent="0.25">
      <c r="A949" s="10" t="s">
        <v>800</v>
      </c>
      <c r="B949" s="10" t="s">
        <v>345</v>
      </c>
      <c r="C949" s="136" t="s">
        <v>346</v>
      </c>
      <c r="D949" s="136" t="s">
        <v>582</v>
      </c>
      <c r="E949" s="136" t="s">
        <v>74</v>
      </c>
      <c r="F949" s="10" t="s">
        <v>1449</v>
      </c>
      <c r="G949" s="10" t="s">
        <v>1481</v>
      </c>
      <c r="H949" s="137">
        <v>11000</v>
      </c>
      <c r="I949" s="138" t="s">
        <v>1492</v>
      </c>
      <c r="J949" s="10">
        <v>5511</v>
      </c>
      <c r="K949" s="136" t="s">
        <v>106</v>
      </c>
      <c r="L949" s="10">
        <v>55</v>
      </c>
      <c r="M949" s="10" t="s">
        <v>2219</v>
      </c>
      <c r="N949" s="136" t="s">
        <v>131</v>
      </c>
      <c r="O949" s="136" t="s">
        <v>549</v>
      </c>
      <c r="P949" s="136" t="s">
        <v>85</v>
      </c>
    </row>
    <row r="950" spans="1:16" x14ac:dyDescent="0.25">
      <c r="A950" s="139" t="s">
        <v>800</v>
      </c>
      <c r="B950" s="139" t="s">
        <v>345</v>
      </c>
      <c r="C950" s="140" t="s">
        <v>346</v>
      </c>
      <c r="D950" s="140" t="s">
        <v>582</v>
      </c>
      <c r="E950" s="140" t="s">
        <v>74</v>
      </c>
      <c r="F950" s="139" t="s">
        <v>1449</v>
      </c>
      <c r="G950" s="139" t="s">
        <v>194</v>
      </c>
      <c r="H950" s="141">
        <v>10000</v>
      </c>
      <c r="I950" s="142" t="s">
        <v>1493</v>
      </c>
      <c r="J950" s="139">
        <v>5511</v>
      </c>
      <c r="K950" s="140" t="s">
        <v>106</v>
      </c>
      <c r="L950" s="139">
        <v>55</v>
      </c>
      <c r="M950" s="139" t="s">
        <v>2219</v>
      </c>
      <c r="N950" s="140" t="s">
        <v>131</v>
      </c>
      <c r="O950" s="140" t="s">
        <v>549</v>
      </c>
      <c r="P950" s="140" t="s">
        <v>85</v>
      </c>
    </row>
    <row r="951" spans="1:16" x14ac:dyDescent="0.25">
      <c r="A951" s="10" t="s">
        <v>800</v>
      </c>
      <c r="B951" s="10" t="s">
        <v>345</v>
      </c>
      <c r="C951" s="136" t="s">
        <v>346</v>
      </c>
      <c r="D951" s="136" t="s">
        <v>582</v>
      </c>
      <c r="E951" s="136" t="s">
        <v>74</v>
      </c>
      <c r="F951" s="10" t="s">
        <v>1449</v>
      </c>
      <c r="G951" s="10" t="s">
        <v>1482</v>
      </c>
      <c r="H951" s="137">
        <v>850</v>
      </c>
      <c r="I951" s="138"/>
      <c r="J951" s="10">
        <v>5511</v>
      </c>
      <c r="K951" s="136" t="s">
        <v>106</v>
      </c>
      <c r="L951" s="10">
        <v>55</v>
      </c>
      <c r="M951" s="10" t="s">
        <v>2219</v>
      </c>
      <c r="N951" s="136" t="s">
        <v>131</v>
      </c>
      <c r="O951" s="136" t="s">
        <v>549</v>
      </c>
      <c r="P951" s="136" t="s">
        <v>85</v>
      </c>
    </row>
    <row r="952" spans="1:16" x14ac:dyDescent="0.25">
      <c r="A952" s="139" t="s">
        <v>800</v>
      </c>
      <c r="B952" s="139" t="s">
        <v>345</v>
      </c>
      <c r="C952" s="140" t="s">
        <v>346</v>
      </c>
      <c r="D952" s="140" t="s">
        <v>582</v>
      </c>
      <c r="E952" s="140" t="s">
        <v>74</v>
      </c>
      <c r="F952" s="139" t="s">
        <v>1449</v>
      </c>
      <c r="G952" s="139" t="s">
        <v>1483</v>
      </c>
      <c r="H952" s="141">
        <v>986</v>
      </c>
      <c r="I952" s="142"/>
      <c r="J952" s="139">
        <v>5511</v>
      </c>
      <c r="K952" s="140" t="s">
        <v>106</v>
      </c>
      <c r="L952" s="139">
        <v>55</v>
      </c>
      <c r="M952" s="139" t="s">
        <v>2219</v>
      </c>
      <c r="N952" s="140" t="s">
        <v>131</v>
      </c>
      <c r="O952" s="140" t="s">
        <v>549</v>
      </c>
      <c r="P952" s="140" t="s">
        <v>85</v>
      </c>
    </row>
    <row r="953" spans="1:16" x14ac:dyDescent="0.25">
      <c r="A953" s="10" t="s">
        <v>800</v>
      </c>
      <c r="B953" s="10" t="s">
        <v>345</v>
      </c>
      <c r="C953" s="136" t="s">
        <v>346</v>
      </c>
      <c r="D953" s="136" t="s">
        <v>582</v>
      </c>
      <c r="E953" s="136" t="s">
        <v>74</v>
      </c>
      <c r="F953" s="10" t="s">
        <v>1449</v>
      </c>
      <c r="G953" s="10" t="s">
        <v>1289</v>
      </c>
      <c r="H953" s="137">
        <v>1420</v>
      </c>
      <c r="I953" s="138" t="s">
        <v>1494</v>
      </c>
      <c r="J953" s="10">
        <v>5511</v>
      </c>
      <c r="K953" s="136" t="s">
        <v>106</v>
      </c>
      <c r="L953" s="10">
        <v>55</v>
      </c>
      <c r="M953" s="10" t="s">
        <v>2219</v>
      </c>
      <c r="N953" s="136" t="s">
        <v>131</v>
      </c>
      <c r="O953" s="136" t="s">
        <v>549</v>
      </c>
      <c r="P953" s="136" t="s">
        <v>85</v>
      </c>
    </row>
    <row r="954" spans="1:16" x14ac:dyDescent="0.25">
      <c r="A954" s="139" t="s">
        <v>800</v>
      </c>
      <c r="B954" s="139" t="s">
        <v>345</v>
      </c>
      <c r="C954" s="140" t="s">
        <v>346</v>
      </c>
      <c r="D954" s="140" t="s">
        <v>582</v>
      </c>
      <c r="E954" s="140" t="s">
        <v>74</v>
      </c>
      <c r="F954" s="139" t="s">
        <v>1449</v>
      </c>
      <c r="G954" s="139" t="s">
        <v>1484</v>
      </c>
      <c r="H954" s="141">
        <v>922</v>
      </c>
      <c r="I954" s="142"/>
      <c r="J954" s="139">
        <v>5511</v>
      </c>
      <c r="K954" s="140" t="s">
        <v>106</v>
      </c>
      <c r="L954" s="139">
        <v>55</v>
      </c>
      <c r="M954" s="139" t="s">
        <v>2219</v>
      </c>
      <c r="N954" s="140" t="s">
        <v>131</v>
      </c>
      <c r="O954" s="140" t="s">
        <v>549</v>
      </c>
      <c r="P954" s="140" t="s">
        <v>85</v>
      </c>
    </row>
    <row r="955" spans="1:16" x14ac:dyDescent="0.25">
      <c r="A955" s="10" t="s">
        <v>800</v>
      </c>
      <c r="B955" s="10" t="s">
        <v>345</v>
      </c>
      <c r="C955" s="136" t="s">
        <v>346</v>
      </c>
      <c r="D955" s="136" t="s">
        <v>582</v>
      </c>
      <c r="E955" s="136" t="s">
        <v>74</v>
      </c>
      <c r="F955" s="10" t="s">
        <v>1449</v>
      </c>
      <c r="G955" s="10" t="s">
        <v>1485</v>
      </c>
      <c r="H955" s="137">
        <v>940</v>
      </c>
      <c r="I955" s="138"/>
      <c r="J955" s="10">
        <v>5511</v>
      </c>
      <c r="K955" s="136" t="s">
        <v>106</v>
      </c>
      <c r="L955" s="10">
        <v>55</v>
      </c>
      <c r="M955" s="10" t="s">
        <v>2219</v>
      </c>
      <c r="N955" s="136" t="s">
        <v>131</v>
      </c>
      <c r="O955" s="136" t="s">
        <v>549</v>
      </c>
      <c r="P955" s="136" t="s">
        <v>85</v>
      </c>
    </row>
    <row r="956" spans="1:16" x14ac:dyDescent="0.25">
      <c r="A956" s="139" t="s">
        <v>800</v>
      </c>
      <c r="B956" s="139" t="s">
        <v>345</v>
      </c>
      <c r="C956" s="140" t="s">
        <v>346</v>
      </c>
      <c r="D956" s="140" t="s">
        <v>582</v>
      </c>
      <c r="E956" s="140" t="s">
        <v>74</v>
      </c>
      <c r="F956" s="139" t="s">
        <v>1449</v>
      </c>
      <c r="G956" s="139" t="s">
        <v>1486</v>
      </c>
      <c r="H956" s="141">
        <v>385</v>
      </c>
      <c r="I956" s="142"/>
      <c r="J956" s="139">
        <v>5511</v>
      </c>
      <c r="K956" s="140" t="s">
        <v>106</v>
      </c>
      <c r="L956" s="139">
        <v>55</v>
      </c>
      <c r="M956" s="139" t="s">
        <v>2219</v>
      </c>
      <c r="N956" s="140" t="s">
        <v>131</v>
      </c>
      <c r="O956" s="140" t="s">
        <v>549</v>
      </c>
      <c r="P956" s="140" t="s">
        <v>85</v>
      </c>
    </row>
    <row r="957" spans="1:16" x14ac:dyDescent="0.25">
      <c r="A957" s="10" t="s">
        <v>800</v>
      </c>
      <c r="B957" s="10" t="s">
        <v>345</v>
      </c>
      <c r="C957" s="136" t="s">
        <v>346</v>
      </c>
      <c r="D957" s="136" t="s">
        <v>582</v>
      </c>
      <c r="E957" s="136" t="s">
        <v>74</v>
      </c>
      <c r="F957" s="10" t="s">
        <v>1449</v>
      </c>
      <c r="G957" s="10" t="s">
        <v>1487</v>
      </c>
      <c r="H957" s="137">
        <v>260</v>
      </c>
      <c r="I957" s="138"/>
      <c r="J957" s="10">
        <v>5511</v>
      </c>
      <c r="K957" s="136" t="s">
        <v>106</v>
      </c>
      <c r="L957" s="10">
        <v>55</v>
      </c>
      <c r="M957" s="10" t="s">
        <v>2219</v>
      </c>
      <c r="N957" s="136" t="s">
        <v>131</v>
      </c>
      <c r="O957" s="136" t="s">
        <v>549</v>
      </c>
      <c r="P957" s="136" t="s">
        <v>85</v>
      </c>
    </row>
    <row r="958" spans="1:16" x14ac:dyDescent="0.25">
      <c r="A958" s="139" t="s">
        <v>800</v>
      </c>
      <c r="B958" s="139" t="s">
        <v>345</v>
      </c>
      <c r="C958" s="140" t="s">
        <v>346</v>
      </c>
      <c r="D958" s="140" t="s">
        <v>582</v>
      </c>
      <c r="E958" s="140" t="s">
        <v>74</v>
      </c>
      <c r="F958" s="139" t="s">
        <v>1449</v>
      </c>
      <c r="G958" s="139" t="s">
        <v>1488</v>
      </c>
      <c r="H958" s="141">
        <v>2500</v>
      </c>
      <c r="I958" s="142" t="s">
        <v>1495</v>
      </c>
      <c r="J958" s="139">
        <v>5511</v>
      </c>
      <c r="K958" s="140" t="s">
        <v>106</v>
      </c>
      <c r="L958" s="139">
        <v>55</v>
      </c>
      <c r="M958" s="139" t="s">
        <v>2219</v>
      </c>
      <c r="N958" s="140" t="s">
        <v>131</v>
      </c>
      <c r="O958" s="140" t="s">
        <v>549</v>
      </c>
      <c r="P958" s="140" t="s">
        <v>85</v>
      </c>
    </row>
    <row r="959" spans="1:16" x14ac:dyDescent="0.25">
      <c r="A959" s="10" t="s">
        <v>800</v>
      </c>
      <c r="B959" s="10" t="s">
        <v>345</v>
      </c>
      <c r="C959" s="136" t="s">
        <v>346</v>
      </c>
      <c r="D959" s="136" t="s">
        <v>582</v>
      </c>
      <c r="E959" s="136" t="s">
        <v>74</v>
      </c>
      <c r="F959" s="10" t="s">
        <v>1449</v>
      </c>
      <c r="G959" s="10" t="s">
        <v>1489</v>
      </c>
      <c r="H959" s="137">
        <v>10000</v>
      </c>
      <c r="I959" s="138" t="s">
        <v>1496</v>
      </c>
      <c r="J959" s="10">
        <v>5511</v>
      </c>
      <c r="K959" s="136" t="s">
        <v>106</v>
      </c>
      <c r="L959" s="10">
        <v>55</v>
      </c>
      <c r="M959" s="10" t="s">
        <v>2219</v>
      </c>
      <c r="N959" s="136" t="s">
        <v>131</v>
      </c>
      <c r="O959" s="136" t="s">
        <v>549</v>
      </c>
      <c r="P959" s="136" t="s">
        <v>85</v>
      </c>
    </row>
    <row r="960" spans="1:16" x14ac:dyDescent="0.25">
      <c r="A960" s="139" t="s">
        <v>800</v>
      </c>
      <c r="B960" s="139" t="s">
        <v>345</v>
      </c>
      <c r="C960" s="140" t="s">
        <v>346</v>
      </c>
      <c r="D960" s="140" t="s">
        <v>582</v>
      </c>
      <c r="E960" s="140" t="s">
        <v>74</v>
      </c>
      <c r="F960" s="139" t="s">
        <v>1449</v>
      </c>
      <c r="G960" s="139" t="s">
        <v>1506</v>
      </c>
      <c r="H960" s="141">
        <v>2000</v>
      </c>
      <c r="I960" s="142"/>
      <c r="J960" s="139">
        <v>5514</v>
      </c>
      <c r="K960" s="140" t="s">
        <v>110</v>
      </c>
      <c r="L960" s="139">
        <v>55</v>
      </c>
      <c r="M960" s="139" t="s">
        <v>2219</v>
      </c>
      <c r="N960" s="140" t="s">
        <v>131</v>
      </c>
      <c r="O960" s="140" t="s">
        <v>549</v>
      </c>
      <c r="P960" s="140" t="s">
        <v>85</v>
      </c>
    </row>
    <row r="961" spans="1:16" x14ac:dyDescent="0.25">
      <c r="A961" s="10" t="s">
        <v>800</v>
      </c>
      <c r="B961" s="10" t="s">
        <v>345</v>
      </c>
      <c r="C961" s="136" t="s">
        <v>346</v>
      </c>
      <c r="D961" s="136" t="s">
        <v>582</v>
      </c>
      <c r="E961" s="136" t="s">
        <v>74</v>
      </c>
      <c r="F961" s="10" t="s">
        <v>1449</v>
      </c>
      <c r="G961" s="10" t="s">
        <v>1507</v>
      </c>
      <c r="H961" s="137">
        <v>2500</v>
      </c>
      <c r="I961" s="138"/>
      <c r="J961" s="10">
        <v>5514</v>
      </c>
      <c r="K961" s="136" t="s">
        <v>110</v>
      </c>
      <c r="L961" s="10">
        <v>55</v>
      </c>
      <c r="M961" s="10" t="s">
        <v>2219</v>
      </c>
      <c r="N961" s="136" t="s">
        <v>131</v>
      </c>
      <c r="O961" s="136" t="s">
        <v>549</v>
      </c>
      <c r="P961" s="136" t="s">
        <v>85</v>
      </c>
    </row>
    <row r="962" spans="1:16" x14ac:dyDescent="0.25">
      <c r="A962" s="143" t="s">
        <v>800</v>
      </c>
      <c r="B962" s="143" t="s">
        <v>345</v>
      </c>
      <c r="C962" s="144" t="s">
        <v>346</v>
      </c>
      <c r="D962" s="144" t="s">
        <v>582</v>
      </c>
      <c r="E962" s="144" t="s">
        <v>74</v>
      </c>
      <c r="F962" s="143" t="s">
        <v>1449</v>
      </c>
      <c r="G962" s="143" t="s">
        <v>1138</v>
      </c>
      <c r="H962" s="145">
        <v>70525</v>
      </c>
      <c r="I962" s="146" t="s">
        <v>2203</v>
      </c>
      <c r="J962" s="143">
        <v>5521</v>
      </c>
      <c r="K962" s="144" t="s">
        <v>114</v>
      </c>
      <c r="L962" s="143">
        <v>55</v>
      </c>
      <c r="M962" s="143" t="s">
        <v>2219</v>
      </c>
      <c r="N962" s="144" t="s">
        <v>131</v>
      </c>
      <c r="O962" s="144" t="s">
        <v>549</v>
      </c>
      <c r="P962" s="144" t="s">
        <v>85</v>
      </c>
    </row>
    <row r="963" spans="1:16" x14ac:dyDescent="0.25">
      <c r="A963" s="147" t="s">
        <v>800</v>
      </c>
      <c r="B963" s="147" t="s">
        <v>345</v>
      </c>
      <c r="C963" s="148" t="s">
        <v>346</v>
      </c>
      <c r="D963" s="148" t="s">
        <v>582</v>
      </c>
      <c r="E963" s="148" t="s">
        <v>74</v>
      </c>
      <c r="F963" s="147" t="s">
        <v>1449</v>
      </c>
      <c r="G963" s="147" t="s">
        <v>1450</v>
      </c>
      <c r="H963" s="149">
        <v>10000</v>
      </c>
      <c r="I963" s="150" t="s">
        <v>1451</v>
      </c>
      <c r="J963" s="147">
        <v>5515</v>
      </c>
      <c r="K963" s="148" t="s">
        <v>112</v>
      </c>
      <c r="L963" s="147">
        <v>55</v>
      </c>
      <c r="M963" s="147" t="s">
        <v>2219</v>
      </c>
      <c r="N963" s="148" t="s">
        <v>131</v>
      </c>
      <c r="O963" s="148" t="s">
        <v>549</v>
      </c>
      <c r="P963" s="148" t="s">
        <v>85</v>
      </c>
    </row>
    <row r="964" spans="1:16" x14ac:dyDescent="0.25">
      <c r="A964" s="147" t="s">
        <v>800</v>
      </c>
      <c r="B964" s="147" t="s">
        <v>345</v>
      </c>
      <c r="C964" s="148" t="s">
        <v>346</v>
      </c>
      <c r="D964" s="148" t="s">
        <v>582</v>
      </c>
      <c r="E964" s="148" t="s">
        <v>74</v>
      </c>
      <c r="F964" s="147" t="s">
        <v>1449</v>
      </c>
      <c r="G964" s="147" t="s">
        <v>1452</v>
      </c>
      <c r="H964" s="149">
        <v>2500</v>
      </c>
      <c r="I964" s="150" t="s">
        <v>1453</v>
      </c>
      <c r="J964" s="147">
        <v>5515</v>
      </c>
      <c r="K964" s="148" t="s">
        <v>112</v>
      </c>
      <c r="L964" s="147">
        <v>55</v>
      </c>
      <c r="M964" s="147" t="s">
        <v>2219</v>
      </c>
      <c r="N964" s="148" t="s">
        <v>131</v>
      </c>
      <c r="O964" s="148" t="s">
        <v>549</v>
      </c>
      <c r="P964" s="148" t="s">
        <v>85</v>
      </c>
    </row>
    <row r="965" spans="1:16" x14ac:dyDescent="0.25">
      <c r="A965" s="147" t="s">
        <v>800</v>
      </c>
      <c r="B965" s="147" t="s">
        <v>345</v>
      </c>
      <c r="C965" s="148" t="s">
        <v>346</v>
      </c>
      <c r="D965" s="148" t="s">
        <v>582</v>
      </c>
      <c r="E965" s="148" t="s">
        <v>74</v>
      </c>
      <c r="F965" s="147" t="s">
        <v>1449</v>
      </c>
      <c r="G965" s="147" t="s">
        <v>1454</v>
      </c>
      <c r="H965" s="149">
        <v>1000</v>
      </c>
      <c r="I965" s="150" t="s">
        <v>1455</v>
      </c>
      <c r="J965" s="147">
        <v>5514</v>
      </c>
      <c r="K965" s="148" t="s">
        <v>110</v>
      </c>
      <c r="L965" s="147">
        <v>55</v>
      </c>
      <c r="M965" s="147" t="s">
        <v>2219</v>
      </c>
      <c r="N965" s="148" t="s">
        <v>131</v>
      </c>
      <c r="O965" s="148" t="s">
        <v>549</v>
      </c>
      <c r="P965" s="148" t="s">
        <v>85</v>
      </c>
    </row>
    <row r="966" spans="1:16" x14ac:dyDescent="0.25">
      <c r="A966" s="147" t="s">
        <v>800</v>
      </c>
      <c r="B966" s="147" t="s">
        <v>345</v>
      </c>
      <c r="C966" s="148" t="s">
        <v>346</v>
      </c>
      <c r="D966" s="148" t="s">
        <v>582</v>
      </c>
      <c r="E966" s="148" t="s">
        <v>74</v>
      </c>
      <c r="F966" s="147" t="s">
        <v>1449</v>
      </c>
      <c r="G966" s="147" t="s">
        <v>1456</v>
      </c>
      <c r="H966" s="149">
        <v>8500</v>
      </c>
      <c r="I966" s="150" t="s">
        <v>1457</v>
      </c>
      <c r="J966" s="147">
        <v>5515</v>
      </c>
      <c r="K966" s="148" t="s">
        <v>112</v>
      </c>
      <c r="L966" s="147">
        <v>55</v>
      </c>
      <c r="M966" s="147" t="s">
        <v>2219</v>
      </c>
      <c r="N966" s="148" t="s">
        <v>131</v>
      </c>
      <c r="O966" s="148" t="s">
        <v>549</v>
      </c>
      <c r="P966" s="148" t="s">
        <v>85</v>
      </c>
    </row>
    <row r="967" spans="1:16" x14ac:dyDescent="0.25">
      <c r="A967" s="147" t="s">
        <v>800</v>
      </c>
      <c r="B967" s="147" t="s">
        <v>345</v>
      </c>
      <c r="C967" s="148" t="s">
        <v>346</v>
      </c>
      <c r="D967" s="148" t="s">
        <v>582</v>
      </c>
      <c r="E967" s="148" t="s">
        <v>74</v>
      </c>
      <c r="F967" s="147" t="s">
        <v>1449</v>
      </c>
      <c r="G967" s="147" t="s">
        <v>1458</v>
      </c>
      <c r="H967" s="149">
        <v>2500</v>
      </c>
      <c r="I967" s="150" t="s">
        <v>1459</v>
      </c>
      <c r="J967" s="147">
        <v>5514</v>
      </c>
      <c r="K967" s="148" t="s">
        <v>110</v>
      </c>
      <c r="L967" s="147">
        <v>55</v>
      </c>
      <c r="M967" s="147" t="s">
        <v>2219</v>
      </c>
      <c r="N967" s="148" t="s">
        <v>131</v>
      </c>
      <c r="O967" s="148" t="s">
        <v>549</v>
      </c>
      <c r="P967" s="148" t="s">
        <v>85</v>
      </c>
    </row>
    <row r="968" spans="1:16" x14ac:dyDescent="0.25">
      <c r="A968" s="147" t="s">
        <v>800</v>
      </c>
      <c r="B968" s="147" t="s">
        <v>345</v>
      </c>
      <c r="C968" s="148" t="s">
        <v>346</v>
      </c>
      <c r="D968" s="148" t="s">
        <v>582</v>
      </c>
      <c r="E968" s="148" t="s">
        <v>74</v>
      </c>
      <c r="F968" s="147" t="s">
        <v>1449</v>
      </c>
      <c r="G968" s="147" t="s">
        <v>1460</v>
      </c>
      <c r="H968" s="149">
        <v>1000</v>
      </c>
      <c r="I968" s="150" t="s">
        <v>1461</v>
      </c>
      <c r="J968" s="147">
        <v>5511</v>
      </c>
      <c r="K968" s="148" t="s">
        <v>106</v>
      </c>
      <c r="L968" s="147">
        <v>55</v>
      </c>
      <c r="M968" s="147" t="s">
        <v>2219</v>
      </c>
      <c r="N968" s="148" t="s">
        <v>131</v>
      </c>
      <c r="O968" s="148" t="s">
        <v>549</v>
      </c>
      <c r="P968" s="148" t="s">
        <v>85</v>
      </c>
    </row>
    <row r="969" spans="1:16" x14ac:dyDescent="0.25">
      <c r="A969" s="147" t="s">
        <v>800</v>
      </c>
      <c r="B969" s="147" t="s">
        <v>345</v>
      </c>
      <c r="C969" s="148" t="s">
        <v>346</v>
      </c>
      <c r="D969" s="148" t="s">
        <v>582</v>
      </c>
      <c r="E969" s="148" t="s">
        <v>74</v>
      </c>
      <c r="F969" s="147" t="s">
        <v>1449</v>
      </c>
      <c r="G969" s="147" t="s">
        <v>1462</v>
      </c>
      <c r="H969" s="149">
        <v>8000</v>
      </c>
      <c r="I969" s="150" t="s">
        <v>1463</v>
      </c>
      <c r="J969" s="147">
        <v>5515</v>
      </c>
      <c r="K969" s="148" t="s">
        <v>112</v>
      </c>
      <c r="L969" s="147">
        <v>55</v>
      </c>
      <c r="M969" s="147" t="s">
        <v>2219</v>
      </c>
      <c r="N969" s="148" t="s">
        <v>131</v>
      </c>
      <c r="O969" s="148" t="s">
        <v>549</v>
      </c>
      <c r="P969" s="148" t="s">
        <v>85</v>
      </c>
    </row>
    <row r="970" spans="1:16" x14ac:dyDescent="0.25">
      <c r="A970" s="143" t="s">
        <v>800</v>
      </c>
      <c r="B970" s="143" t="s">
        <v>345</v>
      </c>
      <c r="C970" s="144" t="s">
        <v>346</v>
      </c>
      <c r="D970" s="144" t="s">
        <v>582</v>
      </c>
      <c r="E970" s="144" t="s">
        <v>74</v>
      </c>
      <c r="F970" s="143" t="s">
        <v>1449</v>
      </c>
      <c r="G970" s="143" t="s">
        <v>2199</v>
      </c>
      <c r="H970" s="145">
        <v>7036</v>
      </c>
      <c r="I970" s="146" t="s">
        <v>2203</v>
      </c>
      <c r="J970" s="143">
        <v>5504</v>
      </c>
      <c r="K970" s="144" t="s">
        <v>102</v>
      </c>
      <c r="L970" s="143">
        <v>55</v>
      </c>
      <c r="M970" s="143" t="s">
        <v>2219</v>
      </c>
      <c r="N970" s="144" t="s">
        <v>131</v>
      </c>
      <c r="O970" s="144" t="s">
        <v>549</v>
      </c>
      <c r="P970" s="144" t="s">
        <v>85</v>
      </c>
    </row>
    <row r="971" spans="1:16" x14ac:dyDescent="0.25">
      <c r="A971" s="143" t="s">
        <v>800</v>
      </c>
      <c r="B971" s="143" t="s">
        <v>345</v>
      </c>
      <c r="C971" s="144" t="s">
        <v>346</v>
      </c>
      <c r="D971" s="144" t="s">
        <v>582</v>
      </c>
      <c r="E971" s="144" t="s">
        <v>74</v>
      </c>
      <c r="F971" s="143" t="s">
        <v>1449</v>
      </c>
      <c r="G971" s="143" t="s">
        <v>2200</v>
      </c>
      <c r="H971" s="145">
        <v>22971</v>
      </c>
      <c r="I971" s="146" t="s">
        <v>2203</v>
      </c>
      <c r="J971" s="143">
        <v>5524</v>
      </c>
      <c r="K971" s="144" t="s">
        <v>117</v>
      </c>
      <c r="L971" s="143">
        <v>55</v>
      </c>
      <c r="M971" s="143" t="s">
        <v>2219</v>
      </c>
      <c r="N971" s="144" t="s">
        <v>131</v>
      </c>
      <c r="O971" s="144" t="s">
        <v>549</v>
      </c>
      <c r="P971" s="144" t="s">
        <v>85</v>
      </c>
    </row>
    <row r="972" spans="1:16" x14ac:dyDescent="0.25">
      <c r="A972" s="139" t="s">
        <v>800</v>
      </c>
      <c r="B972" s="139" t="s">
        <v>347</v>
      </c>
      <c r="C972" s="140" t="s">
        <v>339</v>
      </c>
      <c r="D972" s="140" t="s">
        <v>582</v>
      </c>
      <c r="E972" s="140" t="s">
        <v>74</v>
      </c>
      <c r="F972" s="139" t="s">
        <v>1548</v>
      </c>
      <c r="G972" s="139" t="s">
        <v>1554</v>
      </c>
      <c r="H972" s="141">
        <v>87579</v>
      </c>
      <c r="I972" s="142" t="s">
        <v>1555</v>
      </c>
      <c r="J972" s="139">
        <v>5524</v>
      </c>
      <c r="K972" s="140" t="s">
        <v>117</v>
      </c>
      <c r="L972" s="139">
        <v>55</v>
      </c>
      <c r="M972" s="139" t="s">
        <v>2219</v>
      </c>
      <c r="N972" s="140" t="s">
        <v>131</v>
      </c>
      <c r="O972" s="140" t="s">
        <v>549</v>
      </c>
      <c r="P972" s="140" t="s">
        <v>85</v>
      </c>
    </row>
    <row r="973" spans="1:16" x14ac:dyDescent="0.25">
      <c r="A973" s="10" t="s">
        <v>800</v>
      </c>
      <c r="B973" s="10" t="s">
        <v>348</v>
      </c>
      <c r="C973" s="136" t="s">
        <v>349</v>
      </c>
      <c r="D973" s="136" t="s">
        <v>582</v>
      </c>
      <c r="E973" s="136" t="s">
        <v>74</v>
      </c>
      <c r="F973" s="10" t="s">
        <v>1518</v>
      </c>
      <c r="G973" s="10" t="s">
        <v>1520</v>
      </c>
      <c r="H973" s="137">
        <v>500</v>
      </c>
      <c r="I973" s="138"/>
      <c r="J973" s="10">
        <v>5500</v>
      </c>
      <c r="K973" s="136" t="s">
        <v>100</v>
      </c>
      <c r="L973" s="10">
        <v>55</v>
      </c>
      <c r="M973" s="10" t="s">
        <v>2219</v>
      </c>
      <c r="N973" s="136" t="s">
        <v>131</v>
      </c>
      <c r="O973" s="136" t="s">
        <v>549</v>
      </c>
      <c r="P973" s="136" t="s">
        <v>85</v>
      </c>
    </row>
    <row r="974" spans="1:16" x14ac:dyDescent="0.25">
      <c r="A974" s="139" t="s">
        <v>800</v>
      </c>
      <c r="B974" s="139" t="s">
        <v>348</v>
      </c>
      <c r="C974" s="140" t="s">
        <v>349</v>
      </c>
      <c r="D974" s="140" t="s">
        <v>582</v>
      </c>
      <c r="E974" s="140" t="s">
        <v>74</v>
      </c>
      <c r="F974" s="139" t="s">
        <v>1518</v>
      </c>
      <c r="G974" s="139" t="s">
        <v>1521</v>
      </c>
      <c r="H974" s="141">
        <v>1300</v>
      </c>
      <c r="I974" s="142"/>
      <c r="J974" s="139">
        <v>5504</v>
      </c>
      <c r="K974" s="140" t="s">
        <v>102</v>
      </c>
      <c r="L974" s="139">
        <v>55</v>
      </c>
      <c r="M974" s="139" t="s">
        <v>2219</v>
      </c>
      <c r="N974" s="140" t="s">
        <v>131</v>
      </c>
      <c r="O974" s="140" t="s">
        <v>549</v>
      </c>
      <c r="P974" s="140" t="s">
        <v>85</v>
      </c>
    </row>
    <row r="975" spans="1:16" x14ac:dyDescent="0.25">
      <c r="A975" s="10" t="s">
        <v>800</v>
      </c>
      <c r="B975" s="10" t="s">
        <v>348</v>
      </c>
      <c r="C975" s="136" t="s">
        <v>349</v>
      </c>
      <c r="D975" s="136" t="s">
        <v>582</v>
      </c>
      <c r="E975" s="136" t="s">
        <v>74</v>
      </c>
      <c r="F975" s="10" t="s">
        <v>1518</v>
      </c>
      <c r="G975" s="10" t="s">
        <v>2199</v>
      </c>
      <c r="H975" s="137">
        <v>200</v>
      </c>
      <c r="I975" s="138" t="s">
        <v>2203</v>
      </c>
      <c r="J975" s="10">
        <v>5504</v>
      </c>
      <c r="K975" s="136" t="s">
        <v>102</v>
      </c>
      <c r="L975" s="10">
        <v>55</v>
      </c>
      <c r="M975" s="10" t="s">
        <v>2219</v>
      </c>
      <c r="N975" s="136" t="s">
        <v>131</v>
      </c>
      <c r="O975" s="136" t="s">
        <v>549</v>
      </c>
      <c r="P975" s="136" t="s">
        <v>85</v>
      </c>
    </row>
    <row r="976" spans="1:16" x14ac:dyDescent="0.25">
      <c r="A976" s="139" t="s">
        <v>800</v>
      </c>
      <c r="B976" s="139" t="s">
        <v>348</v>
      </c>
      <c r="C976" s="140" t="s">
        <v>349</v>
      </c>
      <c r="D976" s="140" t="s">
        <v>582</v>
      </c>
      <c r="E976" s="140" t="s">
        <v>74</v>
      </c>
      <c r="F976" s="139" t="s">
        <v>1518</v>
      </c>
      <c r="G976" s="139" t="s">
        <v>947</v>
      </c>
      <c r="H976" s="141">
        <v>2750</v>
      </c>
      <c r="I976" s="142"/>
      <c r="J976" s="139">
        <v>5513</v>
      </c>
      <c r="K976" s="140" t="s">
        <v>111</v>
      </c>
      <c r="L976" s="139">
        <v>55</v>
      </c>
      <c r="M976" s="139" t="s">
        <v>2219</v>
      </c>
      <c r="N976" s="140" t="s">
        <v>131</v>
      </c>
      <c r="O976" s="140" t="s">
        <v>549</v>
      </c>
      <c r="P976" s="140" t="s">
        <v>85</v>
      </c>
    </row>
    <row r="977" spans="1:16" x14ac:dyDescent="0.25">
      <c r="A977" s="10" t="s">
        <v>800</v>
      </c>
      <c r="B977" s="10" t="s">
        <v>348</v>
      </c>
      <c r="C977" s="136" t="s">
        <v>349</v>
      </c>
      <c r="D977" s="136" t="s">
        <v>582</v>
      </c>
      <c r="E977" s="136" t="s">
        <v>74</v>
      </c>
      <c r="F977" s="10" t="s">
        <v>1518</v>
      </c>
      <c r="G977" s="10" t="s">
        <v>1527</v>
      </c>
      <c r="H977" s="137">
        <v>100</v>
      </c>
      <c r="I977" s="138"/>
      <c r="J977" s="10">
        <v>5513</v>
      </c>
      <c r="K977" s="136" t="s">
        <v>111</v>
      </c>
      <c r="L977" s="10">
        <v>55</v>
      </c>
      <c r="M977" s="10" t="s">
        <v>2219</v>
      </c>
      <c r="N977" s="136" t="s">
        <v>131</v>
      </c>
      <c r="O977" s="136" t="s">
        <v>549</v>
      </c>
      <c r="P977" s="136" t="s">
        <v>85</v>
      </c>
    </row>
    <row r="978" spans="1:16" x14ac:dyDescent="0.25">
      <c r="A978" s="139" t="s">
        <v>800</v>
      </c>
      <c r="B978" s="139" t="s">
        <v>348</v>
      </c>
      <c r="C978" s="140" t="s">
        <v>349</v>
      </c>
      <c r="D978" s="140" t="s">
        <v>582</v>
      </c>
      <c r="E978" s="140" t="s">
        <v>74</v>
      </c>
      <c r="F978" s="139" t="s">
        <v>1518</v>
      </c>
      <c r="G978" s="139" t="s">
        <v>1529</v>
      </c>
      <c r="H978" s="141">
        <v>200</v>
      </c>
      <c r="I978" s="142"/>
      <c r="J978" s="139">
        <v>5515</v>
      </c>
      <c r="K978" s="140" t="s">
        <v>112</v>
      </c>
      <c r="L978" s="139">
        <v>55</v>
      </c>
      <c r="M978" s="139" t="s">
        <v>2219</v>
      </c>
      <c r="N978" s="140" t="s">
        <v>131</v>
      </c>
      <c r="O978" s="140" t="s">
        <v>549</v>
      </c>
      <c r="P978" s="140" t="s">
        <v>85</v>
      </c>
    </row>
    <row r="979" spans="1:16" x14ac:dyDescent="0.25">
      <c r="A979" s="10" t="s">
        <v>800</v>
      </c>
      <c r="B979" s="10" t="s">
        <v>348</v>
      </c>
      <c r="C979" s="136" t="s">
        <v>349</v>
      </c>
      <c r="D979" s="136" t="s">
        <v>582</v>
      </c>
      <c r="E979" s="136" t="s">
        <v>74</v>
      </c>
      <c r="F979" s="10" t="s">
        <v>1518</v>
      </c>
      <c r="G979" s="10" t="s">
        <v>1530</v>
      </c>
      <c r="H979" s="137">
        <v>200</v>
      </c>
      <c r="I979" s="138"/>
      <c r="J979" s="10">
        <v>5515</v>
      </c>
      <c r="K979" s="136" t="s">
        <v>112</v>
      </c>
      <c r="L979" s="10">
        <v>55</v>
      </c>
      <c r="M979" s="10" t="s">
        <v>2219</v>
      </c>
      <c r="N979" s="136" t="s">
        <v>131</v>
      </c>
      <c r="O979" s="136" t="s">
        <v>549</v>
      </c>
      <c r="P979" s="136" t="s">
        <v>85</v>
      </c>
    </row>
    <row r="980" spans="1:16" x14ac:dyDescent="0.25">
      <c r="A980" s="139" t="s">
        <v>800</v>
      </c>
      <c r="B980" s="139" t="s">
        <v>348</v>
      </c>
      <c r="C980" s="140" t="s">
        <v>349</v>
      </c>
      <c r="D980" s="140" t="s">
        <v>582</v>
      </c>
      <c r="E980" s="140" t="s">
        <v>74</v>
      </c>
      <c r="F980" s="139" t="s">
        <v>1518</v>
      </c>
      <c r="G980" s="139" t="s">
        <v>1531</v>
      </c>
      <c r="H980" s="141">
        <v>100</v>
      </c>
      <c r="I980" s="142"/>
      <c r="J980" s="139">
        <v>5515</v>
      </c>
      <c r="K980" s="140" t="s">
        <v>112</v>
      </c>
      <c r="L980" s="139">
        <v>55</v>
      </c>
      <c r="M980" s="139" t="s">
        <v>2219</v>
      </c>
      <c r="N980" s="140" t="s">
        <v>131</v>
      </c>
      <c r="O980" s="140" t="s">
        <v>549</v>
      </c>
      <c r="P980" s="140" t="s">
        <v>85</v>
      </c>
    </row>
    <row r="981" spans="1:16" x14ac:dyDescent="0.25">
      <c r="A981" s="10" t="s">
        <v>800</v>
      </c>
      <c r="B981" s="10" t="s">
        <v>348</v>
      </c>
      <c r="C981" s="136" t="s">
        <v>349</v>
      </c>
      <c r="D981" s="136" t="s">
        <v>582</v>
      </c>
      <c r="E981" s="136" t="s">
        <v>74</v>
      </c>
      <c r="F981" s="10" t="s">
        <v>1518</v>
      </c>
      <c r="G981" s="10" t="s">
        <v>1532</v>
      </c>
      <c r="H981" s="137">
        <v>100</v>
      </c>
      <c r="I981" s="138"/>
      <c r="J981" s="10">
        <v>5515</v>
      </c>
      <c r="K981" s="136" t="s">
        <v>112</v>
      </c>
      <c r="L981" s="10">
        <v>55</v>
      </c>
      <c r="M981" s="10" t="s">
        <v>2219</v>
      </c>
      <c r="N981" s="136" t="s">
        <v>131</v>
      </c>
      <c r="O981" s="136" t="s">
        <v>549</v>
      </c>
      <c r="P981" s="136" t="s">
        <v>85</v>
      </c>
    </row>
    <row r="982" spans="1:16" x14ac:dyDescent="0.25">
      <c r="A982" s="139" t="s">
        <v>800</v>
      </c>
      <c r="B982" s="139" t="s">
        <v>348</v>
      </c>
      <c r="C982" s="140" t="s">
        <v>349</v>
      </c>
      <c r="D982" s="140" t="s">
        <v>582</v>
      </c>
      <c r="E982" s="140" t="s">
        <v>74</v>
      </c>
      <c r="F982" s="139" t="s">
        <v>1518</v>
      </c>
      <c r="G982" s="139" t="s">
        <v>1138</v>
      </c>
      <c r="H982" s="141">
        <v>3075</v>
      </c>
      <c r="I982" s="142"/>
      <c r="J982" s="139">
        <v>5521</v>
      </c>
      <c r="K982" s="140" t="s">
        <v>114</v>
      </c>
      <c r="L982" s="139">
        <v>55</v>
      </c>
      <c r="M982" s="139" t="s">
        <v>2219</v>
      </c>
      <c r="N982" s="140" t="s">
        <v>131</v>
      </c>
      <c r="O982" s="140" t="s">
        <v>549</v>
      </c>
      <c r="P982" s="140" t="s">
        <v>85</v>
      </c>
    </row>
    <row r="983" spans="1:16" x14ac:dyDescent="0.25">
      <c r="A983" s="10" t="s">
        <v>800</v>
      </c>
      <c r="B983" s="10" t="s">
        <v>348</v>
      </c>
      <c r="C983" s="136" t="s">
        <v>349</v>
      </c>
      <c r="D983" s="136" t="s">
        <v>582</v>
      </c>
      <c r="E983" s="136" t="s">
        <v>74</v>
      </c>
      <c r="F983" s="10" t="s">
        <v>1518</v>
      </c>
      <c r="G983" s="10" t="s">
        <v>1138</v>
      </c>
      <c r="H983" s="137">
        <v>1925</v>
      </c>
      <c r="I983" s="138" t="s">
        <v>2203</v>
      </c>
      <c r="J983" s="10">
        <v>5521</v>
      </c>
      <c r="K983" s="136" t="s">
        <v>114</v>
      </c>
      <c r="L983" s="10">
        <v>55</v>
      </c>
      <c r="M983" s="10" t="s">
        <v>2219</v>
      </c>
      <c r="N983" s="136" t="s">
        <v>131</v>
      </c>
      <c r="O983" s="136" t="s">
        <v>549</v>
      </c>
      <c r="P983" s="136" t="s">
        <v>85</v>
      </c>
    </row>
    <row r="984" spans="1:16" x14ac:dyDescent="0.25">
      <c r="A984" s="139" t="s">
        <v>800</v>
      </c>
      <c r="B984" s="139" t="s">
        <v>348</v>
      </c>
      <c r="C984" s="140" t="s">
        <v>349</v>
      </c>
      <c r="D984" s="140" t="s">
        <v>582</v>
      </c>
      <c r="E984" s="140" t="s">
        <v>74</v>
      </c>
      <c r="F984" s="139" t="s">
        <v>1518</v>
      </c>
      <c r="G984" s="139" t="s">
        <v>1533</v>
      </c>
      <c r="H984" s="141">
        <v>100</v>
      </c>
      <c r="I984" s="142"/>
      <c r="J984" s="139">
        <v>5522</v>
      </c>
      <c r="K984" s="140" t="s">
        <v>115</v>
      </c>
      <c r="L984" s="139">
        <v>55</v>
      </c>
      <c r="M984" s="139" t="s">
        <v>2219</v>
      </c>
      <c r="N984" s="140" t="s">
        <v>131</v>
      </c>
      <c r="O984" s="140" t="s">
        <v>549</v>
      </c>
      <c r="P984" s="140" t="s">
        <v>85</v>
      </c>
    </row>
    <row r="985" spans="1:16" x14ac:dyDescent="0.25">
      <c r="A985" s="10" t="s">
        <v>800</v>
      </c>
      <c r="B985" s="10" t="s">
        <v>348</v>
      </c>
      <c r="C985" s="136" t="s">
        <v>349</v>
      </c>
      <c r="D985" s="136" t="s">
        <v>582</v>
      </c>
      <c r="E985" s="136" t="s">
        <v>74</v>
      </c>
      <c r="F985" s="10" t="s">
        <v>1518</v>
      </c>
      <c r="G985" s="10" t="s">
        <v>1534</v>
      </c>
      <c r="H985" s="137">
        <v>300</v>
      </c>
      <c r="I985" s="138"/>
      <c r="J985" s="10">
        <v>5524</v>
      </c>
      <c r="K985" s="136" t="s">
        <v>117</v>
      </c>
      <c r="L985" s="10">
        <v>55</v>
      </c>
      <c r="M985" s="10" t="s">
        <v>2219</v>
      </c>
      <c r="N985" s="136" t="s">
        <v>131</v>
      </c>
      <c r="O985" s="136" t="s">
        <v>549</v>
      </c>
      <c r="P985" s="136" t="s">
        <v>85</v>
      </c>
    </row>
    <row r="986" spans="1:16" x14ac:dyDescent="0.25">
      <c r="A986" s="139" t="s">
        <v>800</v>
      </c>
      <c r="B986" s="139" t="s">
        <v>348</v>
      </c>
      <c r="C986" s="140" t="s">
        <v>349</v>
      </c>
      <c r="D986" s="140" t="s">
        <v>582</v>
      </c>
      <c r="E986" s="140" t="s">
        <v>74</v>
      </c>
      <c r="F986" s="139" t="s">
        <v>1518</v>
      </c>
      <c r="G986" s="139" t="s">
        <v>1535</v>
      </c>
      <c r="H986" s="141">
        <v>300</v>
      </c>
      <c r="I986" s="142"/>
      <c r="J986" s="139">
        <v>5500</v>
      </c>
      <c r="K986" s="140" t="s">
        <v>100</v>
      </c>
      <c r="L986" s="139">
        <v>55</v>
      </c>
      <c r="M986" s="139" t="s">
        <v>2219</v>
      </c>
      <c r="N986" s="140" t="s">
        <v>131</v>
      </c>
      <c r="O986" s="140" t="s">
        <v>549</v>
      </c>
      <c r="P986" s="140" t="s">
        <v>85</v>
      </c>
    </row>
    <row r="987" spans="1:16" x14ac:dyDescent="0.25">
      <c r="A987" s="10" t="s">
        <v>800</v>
      </c>
      <c r="B987" s="10" t="s">
        <v>348</v>
      </c>
      <c r="C987" s="136" t="s">
        <v>349</v>
      </c>
      <c r="D987" s="136" t="s">
        <v>582</v>
      </c>
      <c r="E987" s="136" t="s">
        <v>74</v>
      </c>
      <c r="F987" s="10" t="s">
        <v>1518</v>
      </c>
      <c r="G987" s="10" t="s">
        <v>1536</v>
      </c>
      <c r="H987" s="137">
        <v>400</v>
      </c>
      <c r="I987" s="138"/>
      <c r="J987" s="10">
        <v>5500</v>
      </c>
      <c r="K987" s="136" t="s">
        <v>100</v>
      </c>
      <c r="L987" s="10">
        <v>55</v>
      </c>
      <c r="M987" s="10" t="s">
        <v>2219</v>
      </c>
      <c r="N987" s="136" t="s">
        <v>131</v>
      </c>
      <c r="O987" s="136" t="s">
        <v>549</v>
      </c>
      <c r="P987" s="136" t="s">
        <v>85</v>
      </c>
    </row>
    <row r="988" spans="1:16" x14ac:dyDescent="0.25">
      <c r="A988" s="139" t="s">
        <v>800</v>
      </c>
      <c r="B988" s="139" t="s">
        <v>348</v>
      </c>
      <c r="C988" s="140" t="s">
        <v>349</v>
      </c>
      <c r="D988" s="140" t="s">
        <v>582</v>
      </c>
      <c r="E988" s="140" t="s">
        <v>74</v>
      </c>
      <c r="F988" s="139" t="s">
        <v>1518</v>
      </c>
      <c r="G988" s="139" t="s">
        <v>1537</v>
      </c>
      <c r="H988" s="141">
        <v>500</v>
      </c>
      <c r="I988" s="142"/>
      <c r="J988" s="139">
        <v>5524</v>
      </c>
      <c r="K988" s="140" t="s">
        <v>117</v>
      </c>
      <c r="L988" s="139">
        <v>55</v>
      </c>
      <c r="M988" s="139" t="s">
        <v>2219</v>
      </c>
      <c r="N988" s="140" t="s">
        <v>131</v>
      </c>
      <c r="O988" s="140" t="s">
        <v>549</v>
      </c>
      <c r="P988" s="140" t="s">
        <v>85</v>
      </c>
    </row>
    <row r="989" spans="1:16" x14ac:dyDescent="0.25">
      <c r="A989" s="10" t="s">
        <v>800</v>
      </c>
      <c r="B989" s="10" t="s">
        <v>348</v>
      </c>
      <c r="C989" s="136" t="s">
        <v>349</v>
      </c>
      <c r="D989" s="136" t="s">
        <v>582</v>
      </c>
      <c r="E989" s="136" t="s">
        <v>74</v>
      </c>
      <c r="F989" s="10" t="s">
        <v>1518</v>
      </c>
      <c r="G989" s="10" t="s">
        <v>1538</v>
      </c>
      <c r="H989" s="137">
        <v>300</v>
      </c>
      <c r="I989" s="138"/>
      <c r="J989" s="10">
        <v>5524</v>
      </c>
      <c r="K989" s="136" t="s">
        <v>117</v>
      </c>
      <c r="L989" s="10">
        <v>55</v>
      </c>
      <c r="M989" s="10" t="s">
        <v>2219</v>
      </c>
      <c r="N989" s="136" t="s">
        <v>131</v>
      </c>
      <c r="O989" s="136" t="s">
        <v>549</v>
      </c>
      <c r="P989" s="136" t="s">
        <v>85</v>
      </c>
    </row>
    <row r="990" spans="1:16" x14ac:dyDescent="0.25">
      <c r="A990" s="139" t="s">
        <v>800</v>
      </c>
      <c r="B990" s="139" t="s">
        <v>348</v>
      </c>
      <c r="C990" s="140" t="s">
        <v>349</v>
      </c>
      <c r="D990" s="140" t="s">
        <v>582</v>
      </c>
      <c r="E990" s="140" t="s">
        <v>74</v>
      </c>
      <c r="F990" s="139" t="s">
        <v>1518</v>
      </c>
      <c r="G990" s="139" t="s">
        <v>1539</v>
      </c>
      <c r="H990" s="141">
        <v>800</v>
      </c>
      <c r="I990" s="142"/>
      <c r="J990" s="139">
        <v>5524</v>
      </c>
      <c r="K990" s="140" t="s">
        <v>117</v>
      </c>
      <c r="L990" s="139">
        <v>55</v>
      </c>
      <c r="M990" s="139" t="s">
        <v>2219</v>
      </c>
      <c r="N990" s="140" t="s">
        <v>131</v>
      </c>
      <c r="O990" s="140" t="s">
        <v>549</v>
      </c>
      <c r="P990" s="140" t="s">
        <v>85</v>
      </c>
    </row>
    <row r="991" spans="1:16" x14ac:dyDescent="0.25">
      <c r="A991" s="10" t="s">
        <v>800</v>
      </c>
      <c r="B991" s="10" t="s">
        <v>348</v>
      </c>
      <c r="C991" s="136" t="s">
        <v>349</v>
      </c>
      <c r="D991" s="136" t="s">
        <v>582</v>
      </c>
      <c r="E991" s="136" t="s">
        <v>74</v>
      </c>
      <c r="F991" s="10" t="s">
        <v>1518</v>
      </c>
      <c r="G991" s="10" t="s">
        <v>1394</v>
      </c>
      <c r="H991" s="137">
        <v>1000</v>
      </c>
      <c r="I991" s="138"/>
      <c r="J991" s="10">
        <v>5525</v>
      </c>
      <c r="K991" s="136" t="s">
        <v>118</v>
      </c>
      <c r="L991" s="10">
        <v>55</v>
      </c>
      <c r="M991" s="10" t="s">
        <v>2219</v>
      </c>
      <c r="N991" s="136" t="s">
        <v>131</v>
      </c>
      <c r="O991" s="136" t="s">
        <v>549</v>
      </c>
      <c r="P991" s="136" t="s">
        <v>85</v>
      </c>
    </row>
    <row r="992" spans="1:16" x14ac:dyDescent="0.25">
      <c r="A992" s="139" t="s">
        <v>800</v>
      </c>
      <c r="B992" s="139" t="s">
        <v>348</v>
      </c>
      <c r="C992" s="140" t="s">
        <v>349</v>
      </c>
      <c r="D992" s="140" t="s">
        <v>582</v>
      </c>
      <c r="E992" s="140" t="s">
        <v>74</v>
      </c>
      <c r="F992" s="139" t="s">
        <v>1518</v>
      </c>
      <c r="G992" s="139" t="s">
        <v>1522</v>
      </c>
      <c r="H992" s="141">
        <v>600</v>
      </c>
      <c r="I992" s="142"/>
      <c r="J992" s="139">
        <v>5511</v>
      </c>
      <c r="K992" s="140" t="s">
        <v>106</v>
      </c>
      <c r="L992" s="139">
        <v>55</v>
      </c>
      <c r="M992" s="139" t="s">
        <v>2219</v>
      </c>
      <c r="N992" s="140" t="s">
        <v>131</v>
      </c>
      <c r="O992" s="140" t="s">
        <v>549</v>
      </c>
      <c r="P992" s="140" t="s">
        <v>85</v>
      </c>
    </row>
    <row r="993" spans="1:16" x14ac:dyDescent="0.25">
      <c r="A993" s="10" t="s">
        <v>800</v>
      </c>
      <c r="B993" s="10" t="s">
        <v>348</v>
      </c>
      <c r="C993" s="136" t="s">
        <v>349</v>
      </c>
      <c r="D993" s="136" t="s">
        <v>582</v>
      </c>
      <c r="E993" s="136" t="s">
        <v>74</v>
      </c>
      <c r="F993" s="10" t="s">
        <v>1518</v>
      </c>
      <c r="G993" s="10" t="s">
        <v>1523</v>
      </c>
      <c r="H993" s="137">
        <v>3000</v>
      </c>
      <c r="I993" s="138"/>
      <c r="J993" s="10">
        <v>5511</v>
      </c>
      <c r="K993" s="136" t="s">
        <v>106</v>
      </c>
      <c r="L993" s="10">
        <v>55</v>
      </c>
      <c r="M993" s="10" t="s">
        <v>2219</v>
      </c>
      <c r="N993" s="136" t="s">
        <v>131</v>
      </c>
      <c r="O993" s="136" t="s">
        <v>549</v>
      </c>
      <c r="P993" s="136" t="s">
        <v>85</v>
      </c>
    </row>
    <row r="994" spans="1:16" x14ac:dyDescent="0.25">
      <c r="A994" s="139" t="s">
        <v>800</v>
      </c>
      <c r="B994" s="139" t="s">
        <v>348</v>
      </c>
      <c r="C994" s="140" t="s">
        <v>349</v>
      </c>
      <c r="D994" s="140" t="s">
        <v>582</v>
      </c>
      <c r="E994" s="140" t="s">
        <v>74</v>
      </c>
      <c r="F994" s="139" t="s">
        <v>1518</v>
      </c>
      <c r="G994" s="139" t="s">
        <v>178</v>
      </c>
      <c r="H994" s="141">
        <v>17000</v>
      </c>
      <c r="I994" s="142"/>
      <c r="J994" s="139">
        <v>5511</v>
      </c>
      <c r="K994" s="140" t="s">
        <v>106</v>
      </c>
      <c r="L994" s="139">
        <v>55</v>
      </c>
      <c r="M994" s="139" t="s">
        <v>2219</v>
      </c>
      <c r="N994" s="140" t="s">
        <v>131</v>
      </c>
      <c r="O994" s="140" t="s">
        <v>549</v>
      </c>
      <c r="P994" s="140" t="s">
        <v>85</v>
      </c>
    </row>
    <row r="995" spans="1:16" x14ac:dyDescent="0.25">
      <c r="A995" s="10" t="s">
        <v>800</v>
      </c>
      <c r="B995" s="10" t="s">
        <v>348</v>
      </c>
      <c r="C995" s="136" t="s">
        <v>349</v>
      </c>
      <c r="D995" s="136" t="s">
        <v>582</v>
      </c>
      <c r="E995" s="136" t="s">
        <v>74</v>
      </c>
      <c r="F995" s="10" t="s">
        <v>1518</v>
      </c>
      <c r="G995" s="10" t="s">
        <v>182</v>
      </c>
      <c r="H995" s="137">
        <v>1500</v>
      </c>
      <c r="I995" s="138"/>
      <c r="J995" s="10">
        <v>5511</v>
      </c>
      <c r="K995" s="136" t="s">
        <v>106</v>
      </c>
      <c r="L995" s="10">
        <v>55</v>
      </c>
      <c r="M995" s="10" t="s">
        <v>2219</v>
      </c>
      <c r="N995" s="136" t="s">
        <v>131</v>
      </c>
      <c r="O995" s="136" t="s">
        <v>549</v>
      </c>
      <c r="P995" s="136" t="s">
        <v>85</v>
      </c>
    </row>
    <row r="996" spans="1:16" x14ac:dyDescent="0.25">
      <c r="A996" s="139" t="s">
        <v>800</v>
      </c>
      <c r="B996" s="139" t="s">
        <v>348</v>
      </c>
      <c r="C996" s="140" t="s">
        <v>349</v>
      </c>
      <c r="D996" s="140" t="s">
        <v>582</v>
      </c>
      <c r="E996" s="140" t="s">
        <v>74</v>
      </c>
      <c r="F996" s="139" t="s">
        <v>1518</v>
      </c>
      <c r="G996" s="139" t="s">
        <v>1524</v>
      </c>
      <c r="H996" s="141">
        <v>600</v>
      </c>
      <c r="I996" s="142"/>
      <c r="J996" s="139">
        <v>5511</v>
      </c>
      <c r="K996" s="140" t="s">
        <v>106</v>
      </c>
      <c r="L996" s="139">
        <v>55</v>
      </c>
      <c r="M996" s="139" t="s">
        <v>2219</v>
      </c>
      <c r="N996" s="140" t="s">
        <v>131</v>
      </c>
      <c r="O996" s="140" t="s">
        <v>549</v>
      </c>
      <c r="P996" s="140" t="s">
        <v>85</v>
      </c>
    </row>
    <row r="997" spans="1:16" x14ac:dyDescent="0.25">
      <c r="A997" s="10" t="s">
        <v>800</v>
      </c>
      <c r="B997" s="10" t="s">
        <v>348</v>
      </c>
      <c r="C997" s="136" t="s">
        <v>349</v>
      </c>
      <c r="D997" s="136" t="s">
        <v>582</v>
      </c>
      <c r="E997" s="136" t="s">
        <v>74</v>
      </c>
      <c r="F997" s="10" t="s">
        <v>1518</v>
      </c>
      <c r="G997" s="10" t="s">
        <v>1525</v>
      </c>
      <c r="H997" s="137">
        <v>500</v>
      </c>
      <c r="I997" s="138"/>
      <c r="J997" s="10">
        <v>5511</v>
      </c>
      <c r="K997" s="136" t="s">
        <v>106</v>
      </c>
      <c r="L997" s="10">
        <v>55</v>
      </c>
      <c r="M997" s="10" t="s">
        <v>2219</v>
      </c>
      <c r="N997" s="136" t="s">
        <v>131</v>
      </c>
      <c r="O997" s="136" t="s">
        <v>549</v>
      </c>
      <c r="P997" s="136" t="s">
        <v>85</v>
      </c>
    </row>
    <row r="998" spans="1:16" x14ac:dyDescent="0.25">
      <c r="A998" s="139" t="s">
        <v>800</v>
      </c>
      <c r="B998" s="139" t="s">
        <v>348</v>
      </c>
      <c r="C998" s="140" t="s">
        <v>349</v>
      </c>
      <c r="D998" s="140" t="s">
        <v>582</v>
      </c>
      <c r="E998" s="140" t="s">
        <v>74</v>
      </c>
      <c r="F998" s="139" t="s">
        <v>1518</v>
      </c>
      <c r="G998" s="139" t="s">
        <v>1526</v>
      </c>
      <c r="H998" s="141">
        <v>500</v>
      </c>
      <c r="I998" s="142"/>
      <c r="J998" s="139">
        <v>5511</v>
      </c>
      <c r="K998" s="140" t="s">
        <v>106</v>
      </c>
      <c r="L998" s="139">
        <v>55</v>
      </c>
      <c r="M998" s="139" t="s">
        <v>2219</v>
      </c>
      <c r="N998" s="140" t="s">
        <v>131</v>
      </c>
      <c r="O998" s="140" t="s">
        <v>549</v>
      </c>
      <c r="P998" s="140" t="s">
        <v>85</v>
      </c>
    </row>
    <row r="999" spans="1:16" x14ac:dyDescent="0.25">
      <c r="A999" s="10" t="s">
        <v>800</v>
      </c>
      <c r="B999" s="10" t="s">
        <v>348</v>
      </c>
      <c r="C999" s="136" t="s">
        <v>349</v>
      </c>
      <c r="D999" s="136" t="s">
        <v>582</v>
      </c>
      <c r="E999" s="136" t="s">
        <v>74</v>
      </c>
      <c r="F999" s="10" t="s">
        <v>1518</v>
      </c>
      <c r="G999" s="10" t="s">
        <v>1528</v>
      </c>
      <c r="H999" s="137">
        <v>2500</v>
      </c>
      <c r="I999" s="138"/>
      <c r="J999" s="10">
        <v>5514</v>
      </c>
      <c r="K999" s="136" t="s">
        <v>110</v>
      </c>
      <c r="L999" s="10">
        <v>55</v>
      </c>
      <c r="M999" s="10" t="s">
        <v>2219</v>
      </c>
      <c r="N999" s="136" t="s">
        <v>131</v>
      </c>
      <c r="O999" s="136" t="s">
        <v>549</v>
      </c>
      <c r="P999" s="136" t="s">
        <v>85</v>
      </c>
    </row>
    <row r="1000" spans="1:16" x14ac:dyDescent="0.25">
      <c r="A1000" s="139" t="s">
        <v>800</v>
      </c>
      <c r="B1000" s="139" t="s">
        <v>348</v>
      </c>
      <c r="C1000" s="140" t="s">
        <v>349</v>
      </c>
      <c r="D1000" s="140" t="s">
        <v>582</v>
      </c>
      <c r="E1000" s="140" t="s">
        <v>74</v>
      </c>
      <c r="F1000" s="139" t="s">
        <v>1518</v>
      </c>
      <c r="G1000" s="139" t="s">
        <v>2200</v>
      </c>
      <c r="H1000" s="141">
        <v>627</v>
      </c>
      <c r="I1000" s="142" t="s">
        <v>2203</v>
      </c>
      <c r="J1000" s="139">
        <v>5524</v>
      </c>
      <c r="K1000" s="140" t="s">
        <v>117</v>
      </c>
      <c r="L1000" s="139">
        <v>55</v>
      </c>
      <c r="M1000" s="139" t="s">
        <v>2219</v>
      </c>
      <c r="N1000" s="140" t="s">
        <v>131</v>
      </c>
      <c r="O1000" s="140" t="s">
        <v>549</v>
      </c>
      <c r="P1000" s="140" t="s">
        <v>85</v>
      </c>
    </row>
    <row r="1001" spans="1:16" x14ac:dyDescent="0.25">
      <c r="A1001" s="10" t="s">
        <v>800</v>
      </c>
      <c r="B1001" s="10" t="s">
        <v>351</v>
      </c>
      <c r="C1001" s="136" t="s">
        <v>339</v>
      </c>
      <c r="D1001" s="136" t="s">
        <v>583</v>
      </c>
      <c r="E1001" s="136" t="s">
        <v>74</v>
      </c>
      <c r="F1001" s="10" t="s">
        <v>1548</v>
      </c>
      <c r="G1001" s="10" t="s">
        <v>1554</v>
      </c>
      <c r="H1001" s="137">
        <v>64104.399999999994</v>
      </c>
      <c r="I1001" s="138" t="s">
        <v>1556</v>
      </c>
      <c r="J1001" s="10">
        <v>5524</v>
      </c>
      <c r="K1001" s="136" t="s">
        <v>117</v>
      </c>
      <c r="L1001" s="10">
        <v>55</v>
      </c>
      <c r="M1001" s="10" t="s">
        <v>2219</v>
      </c>
      <c r="N1001" s="136" t="s">
        <v>131</v>
      </c>
      <c r="O1001" s="136" t="s">
        <v>549</v>
      </c>
      <c r="P1001" s="136" t="s">
        <v>85</v>
      </c>
    </row>
    <row r="1002" spans="1:16" x14ac:dyDescent="0.25">
      <c r="A1002" s="139" t="s">
        <v>800</v>
      </c>
      <c r="B1002" s="139" t="s">
        <v>51</v>
      </c>
      <c r="C1002" s="140" t="s">
        <v>52</v>
      </c>
      <c r="D1002" s="140" t="s">
        <v>584</v>
      </c>
      <c r="E1002" s="140" t="s">
        <v>74</v>
      </c>
      <c r="F1002" s="139" t="s">
        <v>1548</v>
      </c>
      <c r="G1002" s="139" t="s">
        <v>2111</v>
      </c>
      <c r="H1002" s="141">
        <v>0</v>
      </c>
      <c r="I1002" s="142"/>
      <c r="J1002" s="139">
        <v>5524</v>
      </c>
      <c r="K1002" s="140" t="s">
        <v>117</v>
      </c>
      <c r="L1002" s="139">
        <v>55</v>
      </c>
      <c r="M1002" s="139" t="s">
        <v>2219</v>
      </c>
      <c r="N1002" s="140" t="s">
        <v>131</v>
      </c>
      <c r="O1002" s="140" t="s">
        <v>549</v>
      </c>
      <c r="P1002" s="140" t="s">
        <v>85</v>
      </c>
    </row>
    <row r="1003" spans="1:16" x14ac:dyDescent="0.25">
      <c r="A1003" s="10" t="s">
        <v>800</v>
      </c>
      <c r="B1003" s="10" t="s">
        <v>51</v>
      </c>
      <c r="C1003" s="136" t="s">
        <v>52</v>
      </c>
      <c r="D1003" s="136" t="s">
        <v>584</v>
      </c>
      <c r="E1003" s="136" t="s">
        <v>74</v>
      </c>
      <c r="F1003" s="10" t="s">
        <v>1548</v>
      </c>
      <c r="G1003" s="10" t="s">
        <v>1558</v>
      </c>
      <c r="H1003" s="137">
        <v>35000</v>
      </c>
      <c r="I1003" s="138"/>
      <c r="J1003" s="10">
        <v>5524</v>
      </c>
      <c r="K1003" s="136" t="s">
        <v>117</v>
      </c>
      <c r="L1003" s="10">
        <v>55</v>
      </c>
      <c r="M1003" s="10" t="s">
        <v>2219</v>
      </c>
      <c r="N1003" s="136" t="s">
        <v>131</v>
      </c>
      <c r="O1003" s="136" t="s">
        <v>549</v>
      </c>
      <c r="P1003" s="136" t="s">
        <v>85</v>
      </c>
    </row>
    <row r="1004" spans="1:16" x14ac:dyDescent="0.25">
      <c r="A1004" s="139" t="s">
        <v>800</v>
      </c>
      <c r="B1004" s="139" t="s">
        <v>51</v>
      </c>
      <c r="C1004" s="140" t="s">
        <v>52</v>
      </c>
      <c r="D1004" s="140" t="s">
        <v>584</v>
      </c>
      <c r="E1004" s="140" t="s">
        <v>74</v>
      </c>
      <c r="F1004" s="139" t="s">
        <v>1548</v>
      </c>
      <c r="G1004" s="139" t="s">
        <v>1559</v>
      </c>
      <c r="H1004" s="141">
        <v>20000</v>
      </c>
      <c r="I1004" s="142"/>
      <c r="J1004" s="139">
        <v>5540</v>
      </c>
      <c r="K1004" s="140" t="s">
        <v>121</v>
      </c>
      <c r="L1004" s="139">
        <v>55</v>
      </c>
      <c r="M1004" s="139" t="s">
        <v>2219</v>
      </c>
      <c r="N1004" s="140" t="s">
        <v>131</v>
      </c>
      <c r="O1004" s="140" t="s">
        <v>549</v>
      </c>
      <c r="P1004" s="140" t="s">
        <v>85</v>
      </c>
    </row>
    <row r="1005" spans="1:16" x14ac:dyDescent="0.25">
      <c r="A1005" s="10" t="s">
        <v>800</v>
      </c>
      <c r="B1005" s="10" t="s">
        <v>51</v>
      </c>
      <c r="C1005" s="136" t="s">
        <v>52</v>
      </c>
      <c r="D1005" s="136" t="s">
        <v>584</v>
      </c>
      <c r="E1005" s="136" t="s">
        <v>74</v>
      </c>
      <c r="F1005" s="10" t="s">
        <v>770</v>
      </c>
      <c r="G1005" s="10" t="s">
        <v>2163</v>
      </c>
      <c r="H1005" s="137">
        <v>4020</v>
      </c>
      <c r="I1005" s="138" t="s">
        <v>2162</v>
      </c>
      <c r="J1005" s="10">
        <v>5540</v>
      </c>
      <c r="K1005" s="136" t="s">
        <v>121</v>
      </c>
      <c r="L1005" s="10">
        <v>55</v>
      </c>
      <c r="M1005" s="10" t="s">
        <v>2219</v>
      </c>
      <c r="N1005" s="136" t="s">
        <v>131</v>
      </c>
      <c r="O1005" s="136" t="s">
        <v>549</v>
      </c>
      <c r="P1005" s="136" t="s">
        <v>85</v>
      </c>
    </row>
    <row r="1006" spans="1:16" x14ac:dyDescent="0.25">
      <c r="A1006" s="139" t="s">
        <v>800</v>
      </c>
      <c r="B1006" s="139" t="s">
        <v>51</v>
      </c>
      <c r="C1006" s="140" t="s">
        <v>52</v>
      </c>
      <c r="D1006" s="140" t="s">
        <v>584</v>
      </c>
      <c r="E1006" s="140" t="s">
        <v>74</v>
      </c>
      <c r="F1006" s="139" t="s">
        <v>770</v>
      </c>
      <c r="G1006" s="139" t="s">
        <v>2164</v>
      </c>
      <c r="H1006" s="141">
        <v>4540</v>
      </c>
      <c r="I1006" s="142" t="s">
        <v>2162</v>
      </c>
      <c r="J1006" s="139">
        <v>5540</v>
      </c>
      <c r="K1006" s="140" t="s">
        <v>121</v>
      </c>
      <c r="L1006" s="139">
        <v>55</v>
      </c>
      <c r="M1006" s="139" t="s">
        <v>2219</v>
      </c>
      <c r="N1006" s="140" t="s">
        <v>131</v>
      </c>
      <c r="O1006" s="140" t="s">
        <v>549</v>
      </c>
      <c r="P1006" s="140" t="s">
        <v>85</v>
      </c>
    </row>
    <row r="1007" spans="1:16" x14ac:dyDescent="0.25">
      <c r="A1007" s="10" t="s">
        <v>800</v>
      </c>
      <c r="B1007" s="10" t="s">
        <v>51</v>
      </c>
      <c r="C1007" s="136" t="s">
        <v>52</v>
      </c>
      <c r="D1007" s="136" t="s">
        <v>584</v>
      </c>
      <c r="E1007" s="136" t="s">
        <v>74</v>
      </c>
      <c r="F1007" s="10" t="s">
        <v>770</v>
      </c>
      <c r="G1007" s="10" t="s">
        <v>2163</v>
      </c>
      <c r="H1007" s="137">
        <v>2450</v>
      </c>
      <c r="I1007" s="138" t="s">
        <v>2165</v>
      </c>
      <c r="J1007" s="10">
        <v>5540</v>
      </c>
      <c r="K1007" s="136" t="s">
        <v>121</v>
      </c>
      <c r="L1007" s="10">
        <v>55</v>
      </c>
      <c r="M1007" s="10" t="s">
        <v>2219</v>
      </c>
      <c r="N1007" s="136" t="s">
        <v>131</v>
      </c>
      <c r="O1007" s="136" t="s">
        <v>549</v>
      </c>
      <c r="P1007" s="136" t="s">
        <v>85</v>
      </c>
    </row>
    <row r="1008" spans="1:16" x14ac:dyDescent="0.25">
      <c r="A1008" s="139" t="s">
        <v>800</v>
      </c>
      <c r="B1008" s="139" t="s">
        <v>51</v>
      </c>
      <c r="C1008" s="140" t="s">
        <v>52</v>
      </c>
      <c r="D1008" s="140" t="s">
        <v>584</v>
      </c>
      <c r="E1008" s="140" t="s">
        <v>74</v>
      </c>
      <c r="F1008" s="139" t="s">
        <v>770</v>
      </c>
      <c r="G1008" s="139" t="s">
        <v>2164</v>
      </c>
      <c r="H1008" s="141">
        <v>2110</v>
      </c>
      <c r="I1008" s="142" t="s">
        <v>2165</v>
      </c>
      <c r="J1008" s="139">
        <v>5540</v>
      </c>
      <c r="K1008" s="140" t="s">
        <v>121</v>
      </c>
      <c r="L1008" s="139">
        <v>55</v>
      </c>
      <c r="M1008" s="139" t="s">
        <v>2219</v>
      </c>
      <c r="N1008" s="140" t="s">
        <v>131</v>
      </c>
      <c r="O1008" s="140" t="s">
        <v>549</v>
      </c>
      <c r="P1008" s="140" t="s">
        <v>85</v>
      </c>
    </row>
    <row r="1009" spans="1:16" x14ac:dyDescent="0.25">
      <c r="A1009" s="10" t="s">
        <v>800</v>
      </c>
      <c r="B1009" s="10" t="s">
        <v>53</v>
      </c>
      <c r="C1009" s="136" t="s">
        <v>54</v>
      </c>
      <c r="D1009" s="136" t="s">
        <v>585</v>
      </c>
      <c r="E1009" s="136" t="s">
        <v>74</v>
      </c>
      <c r="F1009" s="10" t="s">
        <v>805</v>
      </c>
      <c r="G1009" s="10" t="s">
        <v>809</v>
      </c>
      <c r="H1009" s="137">
        <v>37152</v>
      </c>
      <c r="I1009" s="138" t="s">
        <v>810</v>
      </c>
      <c r="J1009" s="10">
        <v>5513</v>
      </c>
      <c r="K1009" s="136" t="s">
        <v>111</v>
      </c>
      <c r="L1009" s="10">
        <v>55</v>
      </c>
      <c r="M1009" s="10" t="s">
        <v>2219</v>
      </c>
      <c r="N1009" s="136" t="s">
        <v>131</v>
      </c>
      <c r="O1009" s="136" t="s">
        <v>549</v>
      </c>
      <c r="P1009" s="136" t="s">
        <v>85</v>
      </c>
    </row>
    <row r="1010" spans="1:16" x14ac:dyDescent="0.25">
      <c r="A1010" s="139" t="s">
        <v>800</v>
      </c>
      <c r="B1010" s="139" t="s">
        <v>53</v>
      </c>
      <c r="C1010" s="140" t="s">
        <v>54</v>
      </c>
      <c r="D1010" s="140" t="s">
        <v>585</v>
      </c>
      <c r="E1010" s="140" t="s">
        <v>74</v>
      </c>
      <c r="F1010" s="139" t="s">
        <v>805</v>
      </c>
      <c r="G1010" s="139" t="s">
        <v>811</v>
      </c>
      <c r="H1010" s="141">
        <v>3100</v>
      </c>
      <c r="I1010" s="142" t="s">
        <v>812</v>
      </c>
      <c r="J1010" s="139">
        <v>5513</v>
      </c>
      <c r="K1010" s="140" t="s">
        <v>111</v>
      </c>
      <c r="L1010" s="139">
        <v>55</v>
      </c>
      <c r="M1010" s="139" t="s">
        <v>2219</v>
      </c>
      <c r="N1010" s="140" t="s">
        <v>131</v>
      </c>
      <c r="O1010" s="140" t="s">
        <v>549</v>
      </c>
      <c r="P1010" s="140" t="s">
        <v>85</v>
      </c>
    </row>
    <row r="1011" spans="1:16" x14ac:dyDescent="0.25">
      <c r="A1011" s="10" t="s">
        <v>800</v>
      </c>
      <c r="B1011" s="10" t="s">
        <v>53</v>
      </c>
      <c r="C1011" s="136" t="s">
        <v>54</v>
      </c>
      <c r="D1011" s="136" t="s">
        <v>585</v>
      </c>
      <c r="E1011" s="136" t="s">
        <v>74</v>
      </c>
      <c r="F1011" s="10" t="s">
        <v>805</v>
      </c>
      <c r="G1011" s="10" t="s">
        <v>813</v>
      </c>
      <c r="H1011" s="137">
        <v>3000</v>
      </c>
      <c r="I1011" s="138"/>
      <c r="J1011" s="10">
        <v>5513</v>
      </c>
      <c r="K1011" s="136" t="s">
        <v>111</v>
      </c>
      <c r="L1011" s="10">
        <v>55</v>
      </c>
      <c r="M1011" s="10" t="s">
        <v>2219</v>
      </c>
      <c r="N1011" s="136" t="s">
        <v>131</v>
      </c>
      <c r="O1011" s="136" t="s">
        <v>549</v>
      </c>
      <c r="P1011" s="136" t="s">
        <v>85</v>
      </c>
    </row>
    <row r="1012" spans="1:16" x14ac:dyDescent="0.25">
      <c r="A1012" s="139" t="s">
        <v>800</v>
      </c>
      <c r="B1012" s="139" t="s">
        <v>53</v>
      </c>
      <c r="C1012" s="140" t="s">
        <v>54</v>
      </c>
      <c r="D1012" s="140" t="s">
        <v>585</v>
      </c>
      <c r="E1012" s="140" t="s">
        <v>74</v>
      </c>
      <c r="F1012" s="139" t="s">
        <v>805</v>
      </c>
      <c r="G1012" s="139" t="s">
        <v>814</v>
      </c>
      <c r="H1012" s="141">
        <v>300</v>
      </c>
      <c r="I1012" s="142" t="s">
        <v>815</v>
      </c>
      <c r="J1012" s="139">
        <v>5515</v>
      </c>
      <c r="K1012" s="140" t="s">
        <v>112</v>
      </c>
      <c r="L1012" s="139">
        <v>55</v>
      </c>
      <c r="M1012" s="139" t="s">
        <v>2219</v>
      </c>
      <c r="N1012" s="140" t="s">
        <v>131</v>
      </c>
      <c r="O1012" s="140" t="s">
        <v>549</v>
      </c>
      <c r="P1012" s="140" t="s">
        <v>85</v>
      </c>
    </row>
    <row r="1013" spans="1:16" x14ac:dyDescent="0.25">
      <c r="A1013" s="10" t="s">
        <v>800</v>
      </c>
      <c r="B1013" s="10" t="s">
        <v>53</v>
      </c>
      <c r="C1013" s="136" t="s">
        <v>54</v>
      </c>
      <c r="D1013" s="136" t="s">
        <v>585</v>
      </c>
      <c r="E1013" s="136" t="s">
        <v>74</v>
      </c>
      <c r="F1013" s="10" t="s">
        <v>805</v>
      </c>
      <c r="G1013" s="10" t="s">
        <v>816</v>
      </c>
      <c r="H1013" s="137">
        <v>400</v>
      </c>
      <c r="I1013" s="138"/>
      <c r="J1013" s="10">
        <v>5540</v>
      </c>
      <c r="K1013" s="136" t="s">
        <v>121</v>
      </c>
      <c r="L1013" s="10">
        <v>55</v>
      </c>
      <c r="M1013" s="10" t="s">
        <v>2219</v>
      </c>
      <c r="N1013" s="136" t="s">
        <v>131</v>
      </c>
      <c r="O1013" s="136" t="s">
        <v>549</v>
      </c>
      <c r="P1013" s="136" t="s">
        <v>85</v>
      </c>
    </row>
    <row r="1014" spans="1:16" x14ac:dyDescent="0.25">
      <c r="A1014" s="139" t="s">
        <v>800</v>
      </c>
      <c r="B1014" s="139" t="s">
        <v>53</v>
      </c>
      <c r="C1014" s="140" t="s">
        <v>54</v>
      </c>
      <c r="D1014" s="140" t="s">
        <v>585</v>
      </c>
      <c r="E1014" s="140" t="s">
        <v>74</v>
      </c>
      <c r="F1014" s="139" t="s">
        <v>805</v>
      </c>
      <c r="G1014" s="139" t="s">
        <v>794</v>
      </c>
      <c r="H1014" s="141">
        <v>120</v>
      </c>
      <c r="I1014" s="142" t="s">
        <v>817</v>
      </c>
      <c r="J1014" s="139">
        <v>5500</v>
      </c>
      <c r="K1014" s="140" t="s">
        <v>100</v>
      </c>
      <c r="L1014" s="139">
        <v>55</v>
      </c>
      <c r="M1014" s="139" t="s">
        <v>2219</v>
      </c>
      <c r="N1014" s="140" t="s">
        <v>131</v>
      </c>
      <c r="O1014" s="140" t="s">
        <v>549</v>
      </c>
      <c r="P1014" s="140" t="s">
        <v>85</v>
      </c>
    </row>
    <row r="1015" spans="1:16" x14ac:dyDescent="0.25">
      <c r="A1015" s="10" t="s">
        <v>800</v>
      </c>
      <c r="B1015" s="10" t="s">
        <v>53</v>
      </c>
      <c r="C1015" s="136" t="s">
        <v>54</v>
      </c>
      <c r="D1015" s="136" t="s">
        <v>585</v>
      </c>
      <c r="E1015" s="136" t="s">
        <v>74</v>
      </c>
      <c r="F1015" s="10" t="s">
        <v>805</v>
      </c>
      <c r="G1015" s="10" t="s">
        <v>825</v>
      </c>
      <c r="H1015" s="137">
        <v>25000</v>
      </c>
      <c r="I1015" s="138"/>
      <c r="J1015" s="10">
        <v>4134</v>
      </c>
      <c r="K1015" s="136" t="s">
        <v>141</v>
      </c>
      <c r="L1015" s="10">
        <v>413</v>
      </c>
      <c r="M1015" s="10" t="s">
        <v>2246</v>
      </c>
      <c r="N1015" s="136" t="s">
        <v>164</v>
      </c>
      <c r="O1015" s="136" t="s">
        <v>545</v>
      </c>
      <c r="P1015" s="136" t="s">
        <v>85</v>
      </c>
    </row>
    <row r="1016" spans="1:16" x14ac:dyDescent="0.25">
      <c r="A1016" s="139" t="s">
        <v>800</v>
      </c>
      <c r="B1016" s="139" t="s">
        <v>53</v>
      </c>
      <c r="C1016" s="140" t="s">
        <v>54</v>
      </c>
      <c r="D1016" s="140" t="s">
        <v>585</v>
      </c>
      <c r="E1016" s="140" t="s">
        <v>74</v>
      </c>
      <c r="F1016" s="139" t="s">
        <v>805</v>
      </c>
      <c r="G1016" s="139" t="s">
        <v>826</v>
      </c>
      <c r="H1016" s="141">
        <v>56000</v>
      </c>
      <c r="I1016" s="142"/>
      <c r="J1016" s="139">
        <v>4134</v>
      </c>
      <c r="K1016" s="140" t="s">
        <v>141</v>
      </c>
      <c r="L1016" s="139">
        <v>413</v>
      </c>
      <c r="M1016" s="139" t="s">
        <v>2246</v>
      </c>
      <c r="N1016" s="140" t="s">
        <v>164</v>
      </c>
      <c r="O1016" s="140" t="s">
        <v>545</v>
      </c>
      <c r="P1016" s="140" t="s">
        <v>85</v>
      </c>
    </row>
    <row r="1017" spans="1:16" x14ac:dyDescent="0.25">
      <c r="A1017" s="10" t="s">
        <v>800</v>
      </c>
      <c r="B1017" s="10" t="s">
        <v>53</v>
      </c>
      <c r="C1017" s="136" t="s">
        <v>54</v>
      </c>
      <c r="D1017" s="136" t="s">
        <v>585</v>
      </c>
      <c r="E1017" s="136" t="s">
        <v>74</v>
      </c>
      <c r="F1017" s="10" t="s">
        <v>805</v>
      </c>
      <c r="G1017" s="10" t="s">
        <v>827</v>
      </c>
      <c r="H1017" s="137">
        <v>42000</v>
      </c>
      <c r="I1017" s="138"/>
      <c r="J1017" s="10">
        <v>4134</v>
      </c>
      <c r="K1017" s="136" t="s">
        <v>141</v>
      </c>
      <c r="L1017" s="10">
        <v>413</v>
      </c>
      <c r="M1017" s="10" t="s">
        <v>2246</v>
      </c>
      <c r="N1017" s="136" t="s">
        <v>164</v>
      </c>
      <c r="O1017" s="136" t="s">
        <v>545</v>
      </c>
      <c r="P1017" s="136" t="s">
        <v>85</v>
      </c>
    </row>
    <row r="1018" spans="1:16" x14ac:dyDescent="0.25">
      <c r="A1018" s="139" t="s">
        <v>800</v>
      </c>
      <c r="B1018" s="139" t="s">
        <v>53</v>
      </c>
      <c r="C1018" s="140" t="s">
        <v>54</v>
      </c>
      <c r="D1018" s="140" t="s">
        <v>585</v>
      </c>
      <c r="E1018" s="140" t="s">
        <v>74</v>
      </c>
      <c r="F1018" s="139" t="s">
        <v>805</v>
      </c>
      <c r="G1018" s="139" t="s">
        <v>2074</v>
      </c>
      <c r="H1018" s="141">
        <v>27000</v>
      </c>
      <c r="I1018" s="142" t="s">
        <v>2075</v>
      </c>
      <c r="J1018" s="139">
        <v>5513</v>
      </c>
      <c r="K1018" s="140" t="s">
        <v>111</v>
      </c>
      <c r="L1018" s="139">
        <v>55</v>
      </c>
      <c r="M1018" s="139" t="s">
        <v>2219</v>
      </c>
      <c r="N1018" s="140" t="s">
        <v>131</v>
      </c>
      <c r="O1018" s="140" t="s">
        <v>549</v>
      </c>
      <c r="P1018" s="140" t="s">
        <v>85</v>
      </c>
    </row>
    <row r="1019" spans="1:16" x14ac:dyDescent="0.25">
      <c r="A1019" s="10" t="s">
        <v>800</v>
      </c>
      <c r="B1019" s="10" t="s">
        <v>353</v>
      </c>
      <c r="C1019" s="136" t="s">
        <v>354</v>
      </c>
      <c r="D1019" s="136" t="s">
        <v>586</v>
      </c>
      <c r="E1019" s="136" t="s">
        <v>74</v>
      </c>
      <c r="F1019" s="10" t="s">
        <v>1851</v>
      </c>
      <c r="G1019" s="10" t="s">
        <v>1802</v>
      </c>
      <c r="H1019" s="137">
        <v>576</v>
      </c>
      <c r="I1019" s="138" t="s">
        <v>1855</v>
      </c>
      <c r="J1019" s="10">
        <v>5500</v>
      </c>
      <c r="K1019" s="136" t="s">
        <v>100</v>
      </c>
      <c r="L1019" s="10">
        <v>55</v>
      </c>
      <c r="M1019" s="10" t="s">
        <v>2219</v>
      </c>
      <c r="N1019" s="136" t="s">
        <v>131</v>
      </c>
      <c r="O1019" s="136" t="s">
        <v>549</v>
      </c>
      <c r="P1019" s="136" t="s">
        <v>85</v>
      </c>
    </row>
    <row r="1020" spans="1:16" x14ac:dyDescent="0.25">
      <c r="A1020" s="139" t="s">
        <v>800</v>
      </c>
      <c r="B1020" s="139" t="s">
        <v>353</v>
      </c>
      <c r="C1020" s="140" t="s">
        <v>354</v>
      </c>
      <c r="D1020" s="140" t="s">
        <v>586</v>
      </c>
      <c r="E1020" s="140" t="s">
        <v>74</v>
      </c>
      <c r="F1020" s="139" t="s">
        <v>1851</v>
      </c>
      <c r="G1020" s="139" t="s">
        <v>1852</v>
      </c>
      <c r="H1020" s="141">
        <v>60</v>
      </c>
      <c r="I1020" s="142" t="s">
        <v>1856</v>
      </c>
      <c r="J1020" s="139">
        <v>5500</v>
      </c>
      <c r="K1020" s="140" t="s">
        <v>100</v>
      </c>
      <c r="L1020" s="139">
        <v>55</v>
      </c>
      <c r="M1020" s="139" t="s">
        <v>2219</v>
      </c>
      <c r="N1020" s="140" t="s">
        <v>131</v>
      </c>
      <c r="O1020" s="140" t="s">
        <v>549</v>
      </c>
      <c r="P1020" s="140" t="s">
        <v>85</v>
      </c>
    </row>
    <row r="1021" spans="1:16" x14ac:dyDescent="0.25">
      <c r="A1021" s="10" t="s">
        <v>800</v>
      </c>
      <c r="B1021" s="10" t="s">
        <v>353</v>
      </c>
      <c r="C1021" s="136" t="s">
        <v>354</v>
      </c>
      <c r="D1021" s="136" t="s">
        <v>586</v>
      </c>
      <c r="E1021" s="136" t="s">
        <v>74</v>
      </c>
      <c r="F1021" s="10" t="s">
        <v>1851</v>
      </c>
      <c r="G1021" s="10" t="s">
        <v>1853</v>
      </c>
      <c r="H1021" s="137">
        <v>50</v>
      </c>
      <c r="I1021" s="138"/>
      <c r="J1021" s="10">
        <v>5500</v>
      </c>
      <c r="K1021" s="136" t="s">
        <v>100</v>
      </c>
      <c r="L1021" s="10">
        <v>55</v>
      </c>
      <c r="M1021" s="10" t="s">
        <v>2219</v>
      </c>
      <c r="N1021" s="136" t="s">
        <v>131</v>
      </c>
      <c r="O1021" s="136" t="s">
        <v>549</v>
      </c>
      <c r="P1021" s="136" t="s">
        <v>85</v>
      </c>
    </row>
    <row r="1022" spans="1:16" x14ac:dyDescent="0.25">
      <c r="A1022" s="139" t="s">
        <v>800</v>
      </c>
      <c r="B1022" s="139" t="s">
        <v>353</v>
      </c>
      <c r="C1022" s="140" t="s">
        <v>354</v>
      </c>
      <c r="D1022" s="140" t="s">
        <v>586</v>
      </c>
      <c r="E1022" s="140" t="s">
        <v>74</v>
      </c>
      <c r="F1022" s="139" t="s">
        <v>1851</v>
      </c>
      <c r="G1022" s="139" t="s">
        <v>1854</v>
      </c>
      <c r="H1022" s="141">
        <v>50</v>
      </c>
      <c r="I1022" s="142"/>
      <c r="J1022" s="139">
        <v>5500</v>
      </c>
      <c r="K1022" s="140" t="s">
        <v>100</v>
      </c>
      <c r="L1022" s="139">
        <v>55</v>
      </c>
      <c r="M1022" s="139" t="s">
        <v>2219</v>
      </c>
      <c r="N1022" s="140" t="s">
        <v>131</v>
      </c>
      <c r="O1022" s="140" t="s">
        <v>549</v>
      </c>
      <c r="P1022" s="140" t="s">
        <v>85</v>
      </c>
    </row>
    <row r="1023" spans="1:16" x14ac:dyDescent="0.25">
      <c r="A1023" s="10" t="s">
        <v>800</v>
      </c>
      <c r="B1023" s="10" t="s">
        <v>353</v>
      </c>
      <c r="C1023" s="136" t="s">
        <v>354</v>
      </c>
      <c r="D1023" s="136" t="s">
        <v>586</v>
      </c>
      <c r="E1023" s="136" t="s">
        <v>74</v>
      </c>
      <c r="F1023" s="10" t="s">
        <v>1851</v>
      </c>
      <c r="G1023" s="10" t="s">
        <v>1857</v>
      </c>
      <c r="H1023" s="137">
        <v>200</v>
      </c>
      <c r="I1023" s="138" t="s">
        <v>1858</v>
      </c>
      <c r="J1023" s="10">
        <v>5515</v>
      </c>
      <c r="K1023" s="136" t="s">
        <v>112</v>
      </c>
      <c r="L1023" s="10">
        <v>55</v>
      </c>
      <c r="M1023" s="10" t="s">
        <v>2219</v>
      </c>
      <c r="N1023" s="136" t="s">
        <v>131</v>
      </c>
      <c r="O1023" s="136" t="s">
        <v>549</v>
      </c>
      <c r="P1023" s="136" t="s">
        <v>85</v>
      </c>
    </row>
    <row r="1024" spans="1:16" x14ac:dyDescent="0.25">
      <c r="A1024" s="139" t="s">
        <v>800</v>
      </c>
      <c r="B1024" s="139" t="s">
        <v>353</v>
      </c>
      <c r="C1024" s="140" t="s">
        <v>354</v>
      </c>
      <c r="D1024" s="140" t="s">
        <v>586</v>
      </c>
      <c r="E1024" s="140" t="s">
        <v>74</v>
      </c>
      <c r="F1024" s="139" t="s">
        <v>1851</v>
      </c>
      <c r="G1024" s="139" t="s">
        <v>1297</v>
      </c>
      <c r="H1024" s="141">
        <v>352</v>
      </c>
      <c r="I1024" s="142" t="s">
        <v>1859</v>
      </c>
      <c r="J1024" s="139">
        <v>5513</v>
      </c>
      <c r="K1024" s="140" t="s">
        <v>111</v>
      </c>
      <c r="L1024" s="139">
        <v>55</v>
      </c>
      <c r="M1024" s="139" t="s">
        <v>2219</v>
      </c>
      <c r="N1024" s="140" t="s">
        <v>131</v>
      </c>
      <c r="O1024" s="140" t="s">
        <v>549</v>
      </c>
      <c r="P1024" s="140" t="s">
        <v>85</v>
      </c>
    </row>
    <row r="1025" spans="1:16" x14ac:dyDescent="0.25">
      <c r="A1025" s="10" t="s">
        <v>800</v>
      </c>
      <c r="B1025" s="10" t="s">
        <v>353</v>
      </c>
      <c r="C1025" s="136" t="s">
        <v>354</v>
      </c>
      <c r="D1025" s="136" t="s">
        <v>586</v>
      </c>
      <c r="E1025" s="136" t="s">
        <v>74</v>
      </c>
      <c r="F1025" s="10" t="s">
        <v>1851</v>
      </c>
      <c r="G1025" s="10" t="s">
        <v>1860</v>
      </c>
      <c r="H1025" s="137">
        <v>500</v>
      </c>
      <c r="I1025" s="138"/>
      <c r="J1025" s="10">
        <v>5515</v>
      </c>
      <c r="K1025" s="136" t="s">
        <v>112</v>
      </c>
      <c r="L1025" s="10">
        <v>55</v>
      </c>
      <c r="M1025" s="10" t="s">
        <v>2219</v>
      </c>
      <c r="N1025" s="136" t="s">
        <v>131</v>
      </c>
      <c r="O1025" s="136" t="s">
        <v>549</v>
      </c>
      <c r="P1025" s="136" t="s">
        <v>85</v>
      </c>
    </row>
    <row r="1026" spans="1:16" x14ac:dyDescent="0.25">
      <c r="A1026" s="139" t="s">
        <v>800</v>
      </c>
      <c r="B1026" s="139" t="s">
        <v>353</v>
      </c>
      <c r="C1026" s="140" t="s">
        <v>354</v>
      </c>
      <c r="D1026" s="140" t="s">
        <v>586</v>
      </c>
      <c r="E1026" s="140" t="s">
        <v>74</v>
      </c>
      <c r="F1026" s="139" t="s">
        <v>1851</v>
      </c>
      <c r="G1026" s="139" t="s">
        <v>1861</v>
      </c>
      <c r="H1026" s="141">
        <v>250</v>
      </c>
      <c r="I1026" s="142"/>
      <c r="J1026" s="139">
        <v>5515</v>
      </c>
      <c r="K1026" s="140" t="s">
        <v>112</v>
      </c>
      <c r="L1026" s="139">
        <v>55</v>
      </c>
      <c r="M1026" s="139" t="s">
        <v>2219</v>
      </c>
      <c r="N1026" s="140" t="s">
        <v>131</v>
      </c>
      <c r="O1026" s="140" t="s">
        <v>549</v>
      </c>
      <c r="P1026" s="140" t="s">
        <v>85</v>
      </c>
    </row>
    <row r="1027" spans="1:16" x14ac:dyDescent="0.25">
      <c r="A1027" s="10" t="s">
        <v>800</v>
      </c>
      <c r="B1027" s="10" t="s">
        <v>353</v>
      </c>
      <c r="C1027" s="136" t="s">
        <v>354</v>
      </c>
      <c r="D1027" s="136" t="s">
        <v>586</v>
      </c>
      <c r="E1027" s="136" t="s">
        <v>74</v>
      </c>
      <c r="F1027" s="10" t="s">
        <v>1851</v>
      </c>
      <c r="G1027" s="10" t="s">
        <v>1862</v>
      </c>
      <c r="H1027" s="137">
        <v>600</v>
      </c>
      <c r="I1027" s="138"/>
      <c r="J1027" s="10">
        <v>5515</v>
      </c>
      <c r="K1027" s="136" t="s">
        <v>112</v>
      </c>
      <c r="L1027" s="10">
        <v>55</v>
      </c>
      <c r="M1027" s="10" t="s">
        <v>2219</v>
      </c>
      <c r="N1027" s="136" t="s">
        <v>131</v>
      </c>
      <c r="O1027" s="136" t="s">
        <v>549</v>
      </c>
      <c r="P1027" s="136" t="s">
        <v>85</v>
      </c>
    </row>
    <row r="1028" spans="1:16" x14ac:dyDescent="0.25">
      <c r="A1028" s="139" t="s">
        <v>800</v>
      </c>
      <c r="B1028" s="139" t="s">
        <v>353</v>
      </c>
      <c r="C1028" s="140" t="s">
        <v>354</v>
      </c>
      <c r="D1028" s="140" t="s">
        <v>586</v>
      </c>
      <c r="E1028" s="140" t="s">
        <v>74</v>
      </c>
      <c r="F1028" s="139" t="s">
        <v>1851</v>
      </c>
      <c r="G1028" s="139" t="s">
        <v>1863</v>
      </c>
      <c r="H1028" s="141">
        <v>3600</v>
      </c>
      <c r="I1028" s="142"/>
      <c r="J1028" s="139">
        <v>5521</v>
      </c>
      <c r="K1028" s="140" t="s">
        <v>114</v>
      </c>
      <c r="L1028" s="139">
        <v>55</v>
      </c>
      <c r="M1028" s="139" t="s">
        <v>2219</v>
      </c>
      <c r="N1028" s="140" t="s">
        <v>131</v>
      </c>
      <c r="O1028" s="140" t="s">
        <v>549</v>
      </c>
      <c r="P1028" s="140" t="s">
        <v>85</v>
      </c>
    </row>
    <row r="1029" spans="1:16" x14ac:dyDescent="0.25">
      <c r="A1029" s="10" t="s">
        <v>800</v>
      </c>
      <c r="B1029" s="10" t="s">
        <v>353</v>
      </c>
      <c r="C1029" s="136" t="s">
        <v>354</v>
      </c>
      <c r="D1029" s="136" t="s">
        <v>586</v>
      </c>
      <c r="E1029" s="136" t="s">
        <v>74</v>
      </c>
      <c r="F1029" s="10" t="s">
        <v>1851</v>
      </c>
      <c r="G1029" s="10" t="s">
        <v>1864</v>
      </c>
      <c r="H1029" s="137">
        <v>150</v>
      </c>
      <c r="I1029" s="138"/>
      <c r="J1029" s="10">
        <v>5522</v>
      </c>
      <c r="K1029" s="136" t="s">
        <v>115</v>
      </c>
      <c r="L1029" s="10">
        <v>55</v>
      </c>
      <c r="M1029" s="10" t="s">
        <v>2219</v>
      </c>
      <c r="N1029" s="136" t="s">
        <v>131</v>
      </c>
      <c r="O1029" s="136" t="s">
        <v>549</v>
      </c>
      <c r="P1029" s="136" t="s">
        <v>85</v>
      </c>
    </row>
    <row r="1030" spans="1:16" x14ac:dyDescent="0.25">
      <c r="A1030" s="139" t="s">
        <v>800</v>
      </c>
      <c r="B1030" s="139" t="s">
        <v>353</v>
      </c>
      <c r="C1030" s="140" t="s">
        <v>354</v>
      </c>
      <c r="D1030" s="140" t="s">
        <v>586</v>
      </c>
      <c r="E1030" s="140" t="s">
        <v>74</v>
      </c>
      <c r="F1030" s="139" t="s">
        <v>1851</v>
      </c>
      <c r="G1030" s="139" t="s">
        <v>1865</v>
      </c>
      <c r="H1030" s="141">
        <v>150</v>
      </c>
      <c r="I1030" s="142"/>
      <c r="J1030" s="139">
        <v>5524</v>
      </c>
      <c r="K1030" s="140" t="s">
        <v>117</v>
      </c>
      <c r="L1030" s="139">
        <v>55</v>
      </c>
      <c r="M1030" s="139" t="s">
        <v>2219</v>
      </c>
      <c r="N1030" s="140" t="s">
        <v>131</v>
      </c>
      <c r="O1030" s="140" t="s">
        <v>549</v>
      </c>
      <c r="P1030" s="140" t="s">
        <v>85</v>
      </c>
    </row>
    <row r="1031" spans="1:16" x14ac:dyDescent="0.25">
      <c r="A1031" s="10" t="s">
        <v>800</v>
      </c>
      <c r="B1031" s="10" t="s">
        <v>353</v>
      </c>
      <c r="C1031" s="136" t="s">
        <v>354</v>
      </c>
      <c r="D1031" s="136" t="s">
        <v>586</v>
      </c>
      <c r="E1031" s="136" t="s">
        <v>74</v>
      </c>
      <c r="F1031" s="10" t="s">
        <v>1851</v>
      </c>
      <c r="G1031" s="10" t="s">
        <v>1866</v>
      </c>
      <c r="H1031" s="137">
        <v>150</v>
      </c>
      <c r="I1031" s="138"/>
      <c r="J1031" s="10">
        <v>5524</v>
      </c>
      <c r="K1031" s="136" t="s">
        <v>117</v>
      </c>
      <c r="L1031" s="10">
        <v>55</v>
      </c>
      <c r="M1031" s="10" t="s">
        <v>2219</v>
      </c>
      <c r="N1031" s="136" t="s">
        <v>131</v>
      </c>
      <c r="O1031" s="136" t="s">
        <v>549</v>
      </c>
      <c r="P1031" s="136" t="s">
        <v>85</v>
      </c>
    </row>
    <row r="1032" spans="1:16" x14ac:dyDescent="0.25">
      <c r="A1032" s="139" t="s">
        <v>800</v>
      </c>
      <c r="B1032" s="139" t="s">
        <v>353</v>
      </c>
      <c r="C1032" s="140" t="s">
        <v>354</v>
      </c>
      <c r="D1032" s="140" t="s">
        <v>586</v>
      </c>
      <c r="E1032" s="140" t="s">
        <v>74</v>
      </c>
      <c r="F1032" s="139" t="s">
        <v>1851</v>
      </c>
      <c r="G1032" s="139" t="s">
        <v>1821</v>
      </c>
      <c r="H1032" s="141">
        <v>200</v>
      </c>
      <c r="I1032" s="142"/>
      <c r="J1032" s="139">
        <v>5525</v>
      </c>
      <c r="K1032" s="140" t="s">
        <v>118</v>
      </c>
      <c r="L1032" s="139">
        <v>55</v>
      </c>
      <c r="M1032" s="139" t="s">
        <v>2219</v>
      </c>
      <c r="N1032" s="140" t="s">
        <v>131</v>
      </c>
      <c r="O1032" s="140" t="s">
        <v>549</v>
      </c>
      <c r="P1032" s="140" t="s">
        <v>85</v>
      </c>
    </row>
    <row r="1033" spans="1:16" x14ac:dyDescent="0.25">
      <c r="A1033" s="10" t="s">
        <v>800</v>
      </c>
      <c r="B1033" s="10" t="s">
        <v>353</v>
      </c>
      <c r="C1033" s="136" t="s">
        <v>354</v>
      </c>
      <c r="D1033" s="136" t="s">
        <v>586</v>
      </c>
      <c r="E1033" s="136" t="s">
        <v>74</v>
      </c>
      <c r="F1033" s="10" t="s">
        <v>1851</v>
      </c>
      <c r="G1033" s="10" t="s">
        <v>1306</v>
      </c>
      <c r="H1033" s="137">
        <v>200</v>
      </c>
      <c r="I1033" s="138"/>
      <c r="J1033" s="10">
        <v>5525</v>
      </c>
      <c r="K1033" s="136" t="s">
        <v>118</v>
      </c>
      <c r="L1033" s="10">
        <v>55</v>
      </c>
      <c r="M1033" s="10" t="s">
        <v>2219</v>
      </c>
      <c r="N1033" s="136" t="s">
        <v>131</v>
      </c>
      <c r="O1033" s="136" t="s">
        <v>549</v>
      </c>
      <c r="P1033" s="136" t="s">
        <v>85</v>
      </c>
    </row>
    <row r="1034" spans="1:16" x14ac:dyDescent="0.25">
      <c r="A1034" s="139" t="s">
        <v>800</v>
      </c>
      <c r="B1034" s="139" t="s">
        <v>353</v>
      </c>
      <c r="C1034" s="140" t="s">
        <v>354</v>
      </c>
      <c r="D1034" s="140" t="s">
        <v>586</v>
      </c>
      <c r="E1034" s="140" t="s">
        <v>74</v>
      </c>
      <c r="F1034" s="139" t="s">
        <v>1851</v>
      </c>
      <c r="G1034" s="139" t="s">
        <v>177</v>
      </c>
      <c r="H1034" s="141">
        <v>2300</v>
      </c>
      <c r="I1034" s="142"/>
      <c r="J1034" s="139">
        <v>5511</v>
      </c>
      <c r="K1034" s="140" t="s">
        <v>106</v>
      </c>
      <c r="L1034" s="139">
        <v>55</v>
      </c>
      <c r="M1034" s="139" t="s">
        <v>2219</v>
      </c>
      <c r="N1034" s="140" t="s">
        <v>131</v>
      </c>
      <c r="O1034" s="140" t="s">
        <v>549</v>
      </c>
      <c r="P1034" s="140" t="s">
        <v>85</v>
      </c>
    </row>
    <row r="1035" spans="1:16" x14ac:dyDescent="0.25">
      <c r="A1035" s="10" t="s">
        <v>800</v>
      </c>
      <c r="B1035" s="10" t="s">
        <v>353</v>
      </c>
      <c r="C1035" s="136" t="s">
        <v>354</v>
      </c>
      <c r="D1035" s="136" t="s">
        <v>586</v>
      </c>
      <c r="E1035" s="136" t="s">
        <v>74</v>
      </c>
      <c r="F1035" s="10" t="s">
        <v>1851</v>
      </c>
      <c r="G1035" s="10" t="s">
        <v>178</v>
      </c>
      <c r="H1035" s="137">
        <v>1000</v>
      </c>
      <c r="I1035" s="138"/>
      <c r="J1035" s="10">
        <v>5511</v>
      </c>
      <c r="K1035" s="136" t="s">
        <v>106</v>
      </c>
      <c r="L1035" s="10">
        <v>55</v>
      </c>
      <c r="M1035" s="10" t="s">
        <v>2219</v>
      </c>
      <c r="N1035" s="136" t="s">
        <v>131</v>
      </c>
      <c r="O1035" s="136" t="s">
        <v>549</v>
      </c>
      <c r="P1035" s="136" t="s">
        <v>85</v>
      </c>
    </row>
    <row r="1036" spans="1:16" x14ac:dyDescent="0.25">
      <c r="A1036" s="139" t="s">
        <v>800</v>
      </c>
      <c r="B1036" s="139" t="s">
        <v>353</v>
      </c>
      <c r="C1036" s="140" t="s">
        <v>354</v>
      </c>
      <c r="D1036" s="140" t="s">
        <v>586</v>
      </c>
      <c r="E1036" s="140" t="s">
        <v>74</v>
      </c>
      <c r="F1036" s="139" t="s">
        <v>1851</v>
      </c>
      <c r="G1036" s="139" t="s">
        <v>1481</v>
      </c>
      <c r="H1036" s="141">
        <v>400</v>
      </c>
      <c r="I1036" s="142"/>
      <c r="J1036" s="139">
        <v>5511</v>
      </c>
      <c r="K1036" s="140" t="s">
        <v>106</v>
      </c>
      <c r="L1036" s="139">
        <v>55</v>
      </c>
      <c r="M1036" s="139" t="s">
        <v>2219</v>
      </c>
      <c r="N1036" s="140" t="s">
        <v>131</v>
      </c>
      <c r="O1036" s="140" t="s">
        <v>549</v>
      </c>
      <c r="P1036" s="140" t="s">
        <v>85</v>
      </c>
    </row>
    <row r="1037" spans="1:16" x14ac:dyDescent="0.25">
      <c r="A1037" s="10" t="s">
        <v>800</v>
      </c>
      <c r="B1037" s="10" t="s">
        <v>353</v>
      </c>
      <c r="C1037" s="136" t="s">
        <v>354</v>
      </c>
      <c r="D1037" s="136" t="s">
        <v>586</v>
      </c>
      <c r="E1037" s="136" t="s">
        <v>74</v>
      </c>
      <c r="F1037" s="10" t="s">
        <v>1851</v>
      </c>
      <c r="G1037" s="10" t="s">
        <v>180</v>
      </c>
      <c r="H1037" s="137">
        <v>216</v>
      </c>
      <c r="I1037" s="138"/>
      <c r="J1037" s="10">
        <v>5511</v>
      </c>
      <c r="K1037" s="136" t="s">
        <v>106</v>
      </c>
      <c r="L1037" s="10">
        <v>55</v>
      </c>
      <c r="M1037" s="10" t="s">
        <v>2219</v>
      </c>
      <c r="N1037" s="136" t="s">
        <v>131</v>
      </c>
      <c r="O1037" s="136" t="s">
        <v>549</v>
      </c>
      <c r="P1037" s="136" t="s">
        <v>85</v>
      </c>
    </row>
    <row r="1038" spans="1:16" x14ac:dyDescent="0.25">
      <c r="A1038" s="139" t="s">
        <v>800</v>
      </c>
      <c r="B1038" s="139" t="s">
        <v>353</v>
      </c>
      <c r="C1038" s="140" t="s">
        <v>354</v>
      </c>
      <c r="D1038" s="140" t="s">
        <v>586</v>
      </c>
      <c r="E1038" s="140" t="s">
        <v>74</v>
      </c>
      <c r="F1038" s="139" t="s">
        <v>1851</v>
      </c>
      <c r="G1038" s="139" t="s">
        <v>194</v>
      </c>
      <c r="H1038" s="141">
        <v>400</v>
      </c>
      <c r="I1038" s="142"/>
      <c r="J1038" s="139">
        <v>5511</v>
      </c>
      <c r="K1038" s="140" t="s">
        <v>106</v>
      </c>
      <c r="L1038" s="139">
        <v>55</v>
      </c>
      <c r="M1038" s="139" t="s">
        <v>2219</v>
      </c>
      <c r="N1038" s="140" t="s">
        <v>131</v>
      </c>
      <c r="O1038" s="140" t="s">
        <v>549</v>
      </c>
      <c r="P1038" s="140" t="s">
        <v>85</v>
      </c>
    </row>
    <row r="1039" spans="1:16" x14ac:dyDescent="0.25">
      <c r="A1039" s="10" t="s">
        <v>800</v>
      </c>
      <c r="B1039" s="10" t="s">
        <v>357</v>
      </c>
      <c r="C1039" s="136" t="s">
        <v>358</v>
      </c>
      <c r="D1039" s="136" t="s">
        <v>1543</v>
      </c>
      <c r="E1039" s="136" t="s">
        <v>76</v>
      </c>
      <c r="F1039" s="10" t="s">
        <v>1548</v>
      </c>
      <c r="G1039" s="10" t="s">
        <v>1563</v>
      </c>
      <c r="H1039" s="137">
        <v>1100</v>
      </c>
      <c r="I1039" s="138" t="s">
        <v>1568</v>
      </c>
      <c r="J1039" s="10">
        <v>5525</v>
      </c>
      <c r="K1039" s="136" t="s">
        <v>118</v>
      </c>
      <c r="L1039" s="10">
        <v>55</v>
      </c>
      <c r="M1039" s="10" t="s">
        <v>2219</v>
      </c>
      <c r="N1039" s="136" t="s">
        <v>131</v>
      </c>
      <c r="O1039" s="136" t="s">
        <v>549</v>
      </c>
      <c r="P1039" s="136" t="s">
        <v>85</v>
      </c>
    </row>
    <row r="1040" spans="1:16" x14ac:dyDescent="0.25">
      <c r="A1040" s="139" t="s">
        <v>800</v>
      </c>
      <c r="B1040" s="139" t="s">
        <v>357</v>
      </c>
      <c r="C1040" s="140" t="s">
        <v>358</v>
      </c>
      <c r="D1040" s="140" t="s">
        <v>1543</v>
      </c>
      <c r="E1040" s="140" t="s">
        <v>76</v>
      </c>
      <c r="F1040" s="139" t="s">
        <v>1548</v>
      </c>
      <c r="G1040" s="139" t="s">
        <v>1564</v>
      </c>
      <c r="H1040" s="141">
        <v>5000</v>
      </c>
      <c r="I1040" s="142" t="s">
        <v>1569</v>
      </c>
      <c r="J1040" s="139">
        <v>5525</v>
      </c>
      <c r="K1040" s="140" t="s">
        <v>118</v>
      </c>
      <c r="L1040" s="139">
        <v>55</v>
      </c>
      <c r="M1040" s="139" t="s">
        <v>2219</v>
      </c>
      <c r="N1040" s="140" t="s">
        <v>131</v>
      </c>
      <c r="O1040" s="140" t="s">
        <v>549</v>
      </c>
      <c r="P1040" s="140" t="s">
        <v>85</v>
      </c>
    </row>
    <row r="1041" spans="1:16" x14ac:dyDescent="0.25">
      <c r="A1041" s="10" t="s">
        <v>800</v>
      </c>
      <c r="B1041" s="10" t="s">
        <v>357</v>
      </c>
      <c r="C1041" s="136" t="s">
        <v>358</v>
      </c>
      <c r="D1041" s="136" t="s">
        <v>1543</v>
      </c>
      <c r="E1041" s="136" t="s">
        <v>76</v>
      </c>
      <c r="F1041" s="10" t="s">
        <v>1548</v>
      </c>
      <c r="G1041" s="10" t="s">
        <v>1565</v>
      </c>
      <c r="H1041" s="137">
        <v>3500</v>
      </c>
      <c r="I1041" s="138" t="s">
        <v>1570</v>
      </c>
      <c r="J1041" s="10">
        <v>5525</v>
      </c>
      <c r="K1041" s="136" t="s">
        <v>118</v>
      </c>
      <c r="L1041" s="10">
        <v>55</v>
      </c>
      <c r="M1041" s="10" t="s">
        <v>2219</v>
      </c>
      <c r="N1041" s="136" t="s">
        <v>131</v>
      </c>
      <c r="O1041" s="136" t="s">
        <v>549</v>
      </c>
      <c r="P1041" s="136" t="s">
        <v>85</v>
      </c>
    </row>
    <row r="1042" spans="1:16" x14ac:dyDescent="0.25">
      <c r="A1042" s="139" t="s">
        <v>800</v>
      </c>
      <c r="B1042" s="139" t="s">
        <v>357</v>
      </c>
      <c r="C1042" s="140" t="s">
        <v>358</v>
      </c>
      <c r="D1042" s="140" t="s">
        <v>1543</v>
      </c>
      <c r="E1042" s="140" t="s">
        <v>76</v>
      </c>
      <c r="F1042" s="139" t="s">
        <v>1548</v>
      </c>
      <c r="G1042" s="139" t="s">
        <v>1566</v>
      </c>
      <c r="H1042" s="141">
        <v>1000</v>
      </c>
      <c r="I1042" s="142" t="s">
        <v>1571</v>
      </c>
      <c r="J1042" s="139">
        <v>5525</v>
      </c>
      <c r="K1042" s="140" t="s">
        <v>118</v>
      </c>
      <c r="L1042" s="139">
        <v>55</v>
      </c>
      <c r="M1042" s="139" t="s">
        <v>2219</v>
      </c>
      <c r="N1042" s="140" t="s">
        <v>131</v>
      </c>
      <c r="O1042" s="140" t="s">
        <v>549</v>
      </c>
      <c r="P1042" s="140" t="s">
        <v>85</v>
      </c>
    </row>
    <row r="1043" spans="1:16" x14ac:dyDescent="0.25">
      <c r="A1043" s="10" t="s">
        <v>800</v>
      </c>
      <c r="B1043" s="10" t="s">
        <v>357</v>
      </c>
      <c r="C1043" s="136" t="s">
        <v>358</v>
      </c>
      <c r="D1043" s="136" t="s">
        <v>1543</v>
      </c>
      <c r="E1043" s="136" t="s">
        <v>76</v>
      </c>
      <c r="F1043" s="10" t="s">
        <v>1548</v>
      </c>
      <c r="G1043" s="10" t="s">
        <v>1567</v>
      </c>
      <c r="H1043" s="137">
        <v>7000</v>
      </c>
      <c r="I1043" s="138" t="s">
        <v>1572</v>
      </c>
      <c r="J1043" s="10">
        <v>5525</v>
      </c>
      <c r="K1043" s="136" t="s">
        <v>118</v>
      </c>
      <c r="L1043" s="10">
        <v>55</v>
      </c>
      <c r="M1043" s="10" t="s">
        <v>2219</v>
      </c>
      <c r="N1043" s="136" t="s">
        <v>131</v>
      </c>
      <c r="O1043" s="136" t="s">
        <v>549</v>
      </c>
      <c r="P1043" s="136" t="s">
        <v>85</v>
      </c>
    </row>
    <row r="1044" spans="1:16" x14ac:dyDescent="0.25">
      <c r="A1044" s="139" t="s">
        <v>800</v>
      </c>
      <c r="B1044" s="139" t="s">
        <v>357</v>
      </c>
      <c r="C1044" s="140" t="s">
        <v>358</v>
      </c>
      <c r="D1044" s="140" t="s">
        <v>1543</v>
      </c>
      <c r="E1044" s="140" t="s">
        <v>76</v>
      </c>
      <c r="F1044" s="139" t="s">
        <v>1548</v>
      </c>
      <c r="G1044" s="139" t="s">
        <v>1573</v>
      </c>
      <c r="H1044" s="141">
        <v>25000</v>
      </c>
      <c r="I1044" s="142" t="s">
        <v>1574</v>
      </c>
      <c r="J1044" s="139">
        <v>5525</v>
      </c>
      <c r="K1044" s="140" t="s">
        <v>118</v>
      </c>
      <c r="L1044" s="139">
        <v>55</v>
      </c>
      <c r="M1044" s="139" t="s">
        <v>2219</v>
      </c>
      <c r="N1044" s="140" t="s">
        <v>131</v>
      </c>
      <c r="O1044" s="140" t="s">
        <v>549</v>
      </c>
      <c r="P1044" s="140" t="s">
        <v>85</v>
      </c>
    </row>
    <row r="1045" spans="1:16" x14ac:dyDescent="0.25">
      <c r="A1045" s="10" t="s">
        <v>800</v>
      </c>
      <c r="B1045" s="10" t="s">
        <v>359</v>
      </c>
      <c r="C1045" s="136" t="s">
        <v>360</v>
      </c>
      <c r="D1045" s="136" t="s">
        <v>1543</v>
      </c>
      <c r="E1045" s="136" t="s">
        <v>74</v>
      </c>
      <c r="F1045" s="10" t="s">
        <v>1548</v>
      </c>
      <c r="G1045" s="10" t="s">
        <v>1544</v>
      </c>
      <c r="H1045" s="137">
        <v>3000</v>
      </c>
      <c r="I1045" s="138"/>
      <c r="J1045" s="10">
        <v>5504</v>
      </c>
      <c r="K1045" s="136" t="s">
        <v>102</v>
      </c>
      <c r="L1045" s="10">
        <v>55</v>
      </c>
      <c r="M1045" s="10" t="s">
        <v>2219</v>
      </c>
      <c r="N1045" s="136" t="s">
        <v>131</v>
      </c>
      <c r="O1045" s="136" t="s">
        <v>549</v>
      </c>
      <c r="P1045" s="136" t="s">
        <v>85</v>
      </c>
    </row>
    <row r="1046" spans="1:16" x14ac:dyDescent="0.25">
      <c r="A1046" s="139" t="s">
        <v>800</v>
      </c>
      <c r="B1046" s="139" t="s">
        <v>359</v>
      </c>
      <c r="C1046" s="140" t="s">
        <v>360</v>
      </c>
      <c r="D1046" s="140" t="s">
        <v>1543</v>
      </c>
      <c r="E1046" s="140" t="s">
        <v>74</v>
      </c>
      <c r="F1046" s="139" t="s">
        <v>1548</v>
      </c>
      <c r="G1046" s="139" t="s">
        <v>442</v>
      </c>
      <c r="H1046" s="141">
        <v>8300</v>
      </c>
      <c r="I1046" s="142" t="s">
        <v>1545</v>
      </c>
      <c r="J1046" s="139">
        <v>5513</v>
      </c>
      <c r="K1046" s="140" t="s">
        <v>111</v>
      </c>
      <c r="L1046" s="139">
        <v>55</v>
      </c>
      <c r="M1046" s="139" t="s">
        <v>2219</v>
      </c>
      <c r="N1046" s="140" t="s">
        <v>131</v>
      </c>
      <c r="O1046" s="140" t="s">
        <v>549</v>
      </c>
      <c r="P1046" s="140" t="s">
        <v>85</v>
      </c>
    </row>
    <row r="1047" spans="1:16" x14ac:dyDescent="0.25">
      <c r="A1047" s="10" t="s">
        <v>800</v>
      </c>
      <c r="B1047" s="10" t="s">
        <v>359</v>
      </c>
      <c r="C1047" s="136" t="s">
        <v>360</v>
      </c>
      <c r="D1047" s="136" t="s">
        <v>1543</v>
      </c>
      <c r="E1047" s="136" t="s">
        <v>74</v>
      </c>
      <c r="F1047" s="10" t="s">
        <v>1548</v>
      </c>
      <c r="G1047" s="10" t="s">
        <v>1546</v>
      </c>
      <c r="H1047" s="137">
        <v>1000</v>
      </c>
      <c r="I1047" s="138"/>
      <c r="J1047" s="10">
        <v>5524</v>
      </c>
      <c r="K1047" s="136" t="s">
        <v>117</v>
      </c>
      <c r="L1047" s="10">
        <v>55</v>
      </c>
      <c r="M1047" s="10" t="s">
        <v>2219</v>
      </c>
      <c r="N1047" s="136" t="s">
        <v>131</v>
      </c>
      <c r="O1047" s="136" t="s">
        <v>549</v>
      </c>
      <c r="P1047" s="136" t="s">
        <v>85</v>
      </c>
    </row>
    <row r="1048" spans="1:16" x14ac:dyDescent="0.25">
      <c r="A1048" s="139" t="s">
        <v>800</v>
      </c>
      <c r="B1048" s="139" t="s">
        <v>359</v>
      </c>
      <c r="C1048" s="140" t="s">
        <v>360</v>
      </c>
      <c r="D1048" s="140" t="s">
        <v>1543</v>
      </c>
      <c r="E1048" s="140" t="s">
        <v>74</v>
      </c>
      <c r="F1048" s="139" t="s">
        <v>1548</v>
      </c>
      <c r="G1048" s="139" t="s">
        <v>1547</v>
      </c>
      <c r="H1048" s="141">
        <v>300</v>
      </c>
      <c r="I1048" s="142"/>
      <c r="J1048" s="139">
        <v>5515</v>
      </c>
      <c r="K1048" s="140" t="s">
        <v>112</v>
      </c>
      <c r="L1048" s="139">
        <v>55</v>
      </c>
      <c r="M1048" s="139" t="s">
        <v>2219</v>
      </c>
      <c r="N1048" s="140" t="s">
        <v>131</v>
      </c>
      <c r="O1048" s="140" t="s">
        <v>549</v>
      </c>
      <c r="P1048" s="140" t="s">
        <v>85</v>
      </c>
    </row>
    <row r="1049" spans="1:16" x14ac:dyDescent="0.25">
      <c r="A1049" s="10" t="s">
        <v>800</v>
      </c>
      <c r="B1049" s="10" t="s">
        <v>359</v>
      </c>
      <c r="C1049" s="136" t="s">
        <v>360</v>
      </c>
      <c r="D1049" s="136" t="s">
        <v>1543</v>
      </c>
      <c r="E1049" s="136" t="s">
        <v>74</v>
      </c>
      <c r="F1049" s="10" t="s">
        <v>1548</v>
      </c>
      <c r="G1049" s="10" t="s">
        <v>794</v>
      </c>
      <c r="H1049" s="137">
        <v>540</v>
      </c>
      <c r="I1049" s="138"/>
      <c r="J1049" s="10">
        <v>5500</v>
      </c>
      <c r="K1049" s="136" t="s">
        <v>100</v>
      </c>
      <c r="L1049" s="10">
        <v>55</v>
      </c>
      <c r="M1049" s="10" t="s">
        <v>2219</v>
      </c>
      <c r="N1049" s="136" t="s">
        <v>131</v>
      </c>
      <c r="O1049" s="136" t="s">
        <v>549</v>
      </c>
      <c r="P1049" s="136" t="s">
        <v>85</v>
      </c>
    </row>
    <row r="1050" spans="1:16" x14ac:dyDescent="0.25">
      <c r="A1050" s="139" t="s">
        <v>800</v>
      </c>
      <c r="B1050" s="160" t="s">
        <v>1577</v>
      </c>
      <c r="C1050" s="140" t="s">
        <v>1950</v>
      </c>
      <c r="D1050" s="140" t="s">
        <v>1543</v>
      </c>
      <c r="E1050" s="140" t="s">
        <v>74</v>
      </c>
      <c r="F1050" s="139" t="s">
        <v>1548</v>
      </c>
      <c r="G1050" s="139" t="s">
        <v>1575</v>
      </c>
      <c r="H1050" s="141">
        <v>10000</v>
      </c>
      <c r="I1050" s="142" t="s">
        <v>1576</v>
      </c>
      <c r="J1050" s="139">
        <v>5504</v>
      </c>
      <c r="K1050" s="140" t="s">
        <v>102</v>
      </c>
      <c r="L1050" s="139">
        <v>55</v>
      </c>
      <c r="M1050" s="139" t="s">
        <v>2219</v>
      </c>
      <c r="N1050" s="140" t="s">
        <v>131</v>
      </c>
      <c r="O1050" s="140" t="s">
        <v>549</v>
      </c>
      <c r="P1050" s="140" t="s">
        <v>85</v>
      </c>
    </row>
    <row r="1051" spans="1:16" x14ac:dyDescent="0.25">
      <c r="A1051" s="10" t="s">
        <v>800</v>
      </c>
      <c r="B1051" s="161" t="s">
        <v>1577</v>
      </c>
      <c r="C1051" s="136" t="s">
        <v>1950</v>
      </c>
      <c r="D1051" s="136" t="s">
        <v>1543</v>
      </c>
      <c r="E1051" s="136" t="s">
        <v>74</v>
      </c>
      <c r="F1051" s="10" t="s">
        <v>1548</v>
      </c>
      <c r="G1051" s="10" t="s">
        <v>1849</v>
      </c>
      <c r="H1051" s="137">
        <v>10000</v>
      </c>
      <c r="I1051" s="138"/>
      <c r="J1051" s="10">
        <v>5504</v>
      </c>
      <c r="K1051" s="136" t="s">
        <v>102</v>
      </c>
      <c r="L1051" s="10">
        <v>55</v>
      </c>
      <c r="M1051" s="10" t="s">
        <v>2219</v>
      </c>
      <c r="N1051" s="136" t="s">
        <v>131</v>
      </c>
      <c r="O1051" s="136" t="s">
        <v>549</v>
      </c>
      <c r="P1051" s="136" t="s">
        <v>85</v>
      </c>
    </row>
    <row r="1052" spans="1:16" x14ac:dyDescent="0.25">
      <c r="A1052" s="139" t="s">
        <v>801</v>
      </c>
      <c r="B1052" s="160" t="s">
        <v>721</v>
      </c>
      <c r="C1052" s="140" t="s">
        <v>722</v>
      </c>
      <c r="D1052" s="140" t="s">
        <v>2037</v>
      </c>
      <c r="E1052" s="140" t="s">
        <v>75</v>
      </c>
      <c r="F1052" s="139" t="s">
        <v>462</v>
      </c>
      <c r="G1052" s="139" t="s">
        <v>717</v>
      </c>
      <c r="H1052" s="141">
        <v>300</v>
      </c>
      <c r="I1052" s="142"/>
      <c r="J1052" s="139">
        <v>4500</v>
      </c>
      <c r="K1052" s="140" t="s">
        <v>128</v>
      </c>
      <c r="L1052" s="139">
        <v>4500</v>
      </c>
      <c r="M1052" s="139" t="s">
        <v>2244</v>
      </c>
      <c r="N1052" s="140" t="s">
        <v>164</v>
      </c>
      <c r="O1052" s="140" t="s">
        <v>546</v>
      </c>
      <c r="P1052" s="140" t="s">
        <v>85</v>
      </c>
    </row>
    <row r="1053" spans="1:16" x14ac:dyDescent="0.25">
      <c r="A1053" s="10" t="s">
        <v>801</v>
      </c>
      <c r="B1053" s="161" t="s">
        <v>721</v>
      </c>
      <c r="C1053" s="136" t="s">
        <v>722</v>
      </c>
      <c r="D1053" s="136" t="s">
        <v>2037</v>
      </c>
      <c r="E1053" s="136" t="s">
        <v>75</v>
      </c>
      <c r="F1053" s="10" t="s">
        <v>462</v>
      </c>
      <c r="G1053" s="10" t="s">
        <v>718</v>
      </c>
      <c r="H1053" s="137">
        <v>700</v>
      </c>
      <c r="I1053" s="138"/>
      <c r="J1053" s="10">
        <v>4500</v>
      </c>
      <c r="K1053" s="136" t="s">
        <v>128</v>
      </c>
      <c r="L1053" s="10">
        <v>4500</v>
      </c>
      <c r="M1053" s="10" t="s">
        <v>2244</v>
      </c>
      <c r="N1053" s="136" t="s">
        <v>164</v>
      </c>
      <c r="O1053" s="136" t="s">
        <v>546</v>
      </c>
      <c r="P1053" s="136" t="s">
        <v>85</v>
      </c>
    </row>
    <row r="1054" spans="1:16" x14ac:dyDescent="0.25">
      <c r="A1054" s="139" t="s">
        <v>801</v>
      </c>
      <c r="B1054" s="160" t="s">
        <v>721</v>
      </c>
      <c r="C1054" s="140" t="s">
        <v>722</v>
      </c>
      <c r="D1054" s="140" t="s">
        <v>2037</v>
      </c>
      <c r="E1054" s="140" t="s">
        <v>75</v>
      </c>
      <c r="F1054" s="139" t="s">
        <v>462</v>
      </c>
      <c r="G1054" s="139" t="s">
        <v>719</v>
      </c>
      <c r="H1054" s="141">
        <v>250</v>
      </c>
      <c r="I1054" s="142"/>
      <c r="J1054" s="139">
        <v>4500</v>
      </c>
      <c r="K1054" s="140" t="s">
        <v>128</v>
      </c>
      <c r="L1054" s="139">
        <v>4500</v>
      </c>
      <c r="M1054" s="139" t="s">
        <v>2244</v>
      </c>
      <c r="N1054" s="140" t="s">
        <v>164</v>
      </c>
      <c r="O1054" s="140" t="s">
        <v>546</v>
      </c>
      <c r="P1054" s="140" t="s">
        <v>85</v>
      </c>
    </row>
    <row r="1055" spans="1:16" x14ac:dyDescent="0.25">
      <c r="A1055" s="10" t="s">
        <v>801</v>
      </c>
      <c r="B1055" s="161" t="s">
        <v>721</v>
      </c>
      <c r="C1055" s="136" t="s">
        <v>722</v>
      </c>
      <c r="D1055" s="136" t="s">
        <v>2037</v>
      </c>
      <c r="E1055" s="136" t="s">
        <v>75</v>
      </c>
      <c r="F1055" s="10" t="s">
        <v>462</v>
      </c>
      <c r="G1055" s="10" t="s">
        <v>720</v>
      </c>
      <c r="H1055" s="137">
        <v>7000</v>
      </c>
      <c r="I1055" s="138"/>
      <c r="J1055" s="10">
        <v>4500</v>
      </c>
      <c r="K1055" s="136" t="s">
        <v>128</v>
      </c>
      <c r="L1055" s="10">
        <v>4500</v>
      </c>
      <c r="M1055" s="10" t="s">
        <v>2244</v>
      </c>
      <c r="N1055" s="136" t="s">
        <v>164</v>
      </c>
      <c r="O1055" s="136" t="s">
        <v>546</v>
      </c>
      <c r="P1055" s="136" t="s">
        <v>85</v>
      </c>
    </row>
    <row r="1056" spans="1:16" x14ac:dyDescent="0.25">
      <c r="A1056" s="139" t="s">
        <v>801</v>
      </c>
      <c r="B1056" s="139" t="s">
        <v>55</v>
      </c>
      <c r="C1056" s="140" t="s">
        <v>56</v>
      </c>
      <c r="D1056" s="140" t="s">
        <v>733</v>
      </c>
      <c r="E1056" s="140" t="s">
        <v>75</v>
      </c>
      <c r="F1056" s="139" t="s">
        <v>462</v>
      </c>
      <c r="G1056" s="139" t="s">
        <v>2034</v>
      </c>
      <c r="H1056" s="141">
        <v>1500</v>
      </c>
      <c r="I1056" s="142"/>
      <c r="J1056" s="139">
        <v>4500</v>
      </c>
      <c r="K1056" s="140" t="s">
        <v>128</v>
      </c>
      <c r="L1056" s="139">
        <v>4500</v>
      </c>
      <c r="M1056" s="139" t="s">
        <v>2244</v>
      </c>
      <c r="N1056" s="140" t="s">
        <v>164</v>
      </c>
      <c r="O1056" s="140" t="s">
        <v>546</v>
      </c>
      <c r="P1056" s="140" t="s">
        <v>85</v>
      </c>
    </row>
    <row r="1057" spans="1:16" x14ac:dyDescent="0.25">
      <c r="A1057" s="10" t="s">
        <v>801</v>
      </c>
      <c r="B1057" s="10" t="s">
        <v>55</v>
      </c>
      <c r="C1057" s="136" t="s">
        <v>56</v>
      </c>
      <c r="D1057" s="136" t="s">
        <v>733</v>
      </c>
      <c r="E1057" s="136" t="s">
        <v>75</v>
      </c>
      <c r="F1057" s="10" t="s">
        <v>462</v>
      </c>
      <c r="G1057" s="10" t="s">
        <v>714</v>
      </c>
      <c r="H1057" s="137">
        <v>1000</v>
      </c>
      <c r="I1057" s="138"/>
      <c r="J1057" s="10">
        <v>4500</v>
      </c>
      <c r="K1057" s="136" t="s">
        <v>128</v>
      </c>
      <c r="L1057" s="10">
        <v>4500</v>
      </c>
      <c r="M1057" s="10" t="s">
        <v>2244</v>
      </c>
      <c r="N1057" s="136" t="s">
        <v>164</v>
      </c>
      <c r="O1057" s="136" t="s">
        <v>546</v>
      </c>
      <c r="P1057" s="136" t="s">
        <v>85</v>
      </c>
    </row>
    <row r="1058" spans="1:16" x14ac:dyDescent="0.25">
      <c r="A1058" s="139" t="s">
        <v>801</v>
      </c>
      <c r="B1058" s="139" t="s">
        <v>55</v>
      </c>
      <c r="C1058" s="140" t="s">
        <v>56</v>
      </c>
      <c r="D1058" s="140" t="s">
        <v>733</v>
      </c>
      <c r="E1058" s="140" t="s">
        <v>75</v>
      </c>
      <c r="F1058" s="139" t="s">
        <v>462</v>
      </c>
      <c r="G1058" s="139" t="s">
        <v>715</v>
      </c>
      <c r="H1058" s="141">
        <v>3800</v>
      </c>
      <c r="I1058" s="142"/>
      <c r="J1058" s="139">
        <v>4500</v>
      </c>
      <c r="K1058" s="140" t="s">
        <v>128</v>
      </c>
      <c r="L1058" s="139">
        <v>4500</v>
      </c>
      <c r="M1058" s="139" t="s">
        <v>2244</v>
      </c>
      <c r="N1058" s="140" t="s">
        <v>164</v>
      </c>
      <c r="O1058" s="140" t="s">
        <v>546</v>
      </c>
      <c r="P1058" s="140" t="s">
        <v>85</v>
      </c>
    </row>
    <row r="1059" spans="1:16" x14ac:dyDescent="0.25">
      <c r="A1059" s="10" t="s">
        <v>801</v>
      </c>
      <c r="B1059" s="10" t="s">
        <v>55</v>
      </c>
      <c r="C1059" s="136" t="s">
        <v>56</v>
      </c>
      <c r="D1059" s="136" t="s">
        <v>733</v>
      </c>
      <c r="E1059" s="136" t="s">
        <v>75</v>
      </c>
      <c r="F1059" s="10" t="s">
        <v>462</v>
      </c>
      <c r="G1059" s="10" t="s">
        <v>716</v>
      </c>
      <c r="H1059" s="137">
        <v>1632</v>
      </c>
      <c r="I1059" s="138"/>
      <c r="J1059" s="10">
        <v>5513</v>
      </c>
      <c r="K1059" s="136" t="s">
        <v>111</v>
      </c>
      <c r="L1059" s="10">
        <v>55</v>
      </c>
      <c r="M1059" s="10" t="s">
        <v>2219</v>
      </c>
      <c r="N1059" s="136" t="s">
        <v>131</v>
      </c>
      <c r="O1059" s="136" t="s">
        <v>549</v>
      </c>
      <c r="P1059" s="136" t="s">
        <v>85</v>
      </c>
    </row>
    <row r="1060" spans="1:16" x14ac:dyDescent="0.25">
      <c r="A1060" s="139" t="s">
        <v>801</v>
      </c>
      <c r="B1060" s="139" t="s">
        <v>361</v>
      </c>
      <c r="C1060" s="140" t="s">
        <v>735</v>
      </c>
      <c r="D1060" s="140" t="s">
        <v>588</v>
      </c>
      <c r="E1060" s="140" t="s">
        <v>75</v>
      </c>
      <c r="F1060" s="139" t="s">
        <v>462</v>
      </c>
      <c r="G1060" s="139" t="s">
        <v>703</v>
      </c>
      <c r="H1060" s="141">
        <v>11000</v>
      </c>
      <c r="I1060" s="142"/>
      <c r="J1060" s="139">
        <v>41337</v>
      </c>
      <c r="K1060" s="140" t="s">
        <v>737</v>
      </c>
      <c r="L1060" s="139">
        <v>413</v>
      </c>
      <c r="M1060" s="139" t="s">
        <v>2246</v>
      </c>
      <c r="N1060" s="140" t="s">
        <v>164</v>
      </c>
      <c r="O1060" s="140" t="s">
        <v>545</v>
      </c>
      <c r="P1060" s="140" t="s">
        <v>85</v>
      </c>
    </row>
    <row r="1061" spans="1:16" x14ac:dyDescent="0.25">
      <c r="A1061" s="10" t="s">
        <v>801</v>
      </c>
      <c r="B1061" s="10" t="s">
        <v>362</v>
      </c>
      <c r="C1061" s="136" t="s">
        <v>363</v>
      </c>
      <c r="D1061" s="136" t="s">
        <v>588</v>
      </c>
      <c r="E1061" s="136" t="s">
        <v>75</v>
      </c>
      <c r="F1061" s="10" t="s">
        <v>462</v>
      </c>
      <c r="G1061" s="10" t="s">
        <v>707</v>
      </c>
      <c r="H1061" s="137">
        <v>45500</v>
      </c>
      <c r="I1061" s="138" t="s">
        <v>2035</v>
      </c>
      <c r="J1061" s="10">
        <v>41339</v>
      </c>
      <c r="K1061" s="136" t="s">
        <v>144</v>
      </c>
      <c r="L1061" s="10">
        <v>413</v>
      </c>
      <c r="M1061" s="10" t="s">
        <v>2246</v>
      </c>
      <c r="N1061" s="136" t="s">
        <v>164</v>
      </c>
      <c r="O1061" s="136" t="s">
        <v>545</v>
      </c>
      <c r="P1061" s="136" t="s">
        <v>85</v>
      </c>
    </row>
    <row r="1062" spans="1:16" x14ac:dyDescent="0.25">
      <c r="A1062" s="139" t="s">
        <v>801</v>
      </c>
      <c r="B1062" s="139" t="s">
        <v>364</v>
      </c>
      <c r="C1062" s="140" t="s">
        <v>365</v>
      </c>
      <c r="D1062" s="140" t="s">
        <v>588</v>
      </c>
      <c r="E1062" s="140" t="s">
        <v>75</v>
      </c>
      <c r="F1062" s="139" t="s">
        <v>462</v>
      </c>
      <c r="G1062" s="139" t="s">
        <v>709</v>
      </c>
      <c r="H1062" s="141">
        <v>110000</v>
      </c>
      <c r="I1062" s="142"/>
      <c r="J1062" s="139">
        <v>41332</v>
      </c>
      <c r="K1062" s="140" t="s">
        <v>143</v>
      </c>
      <c r="L1062" s="139">
        <v>413</v>
      </c>
      <c r="M1062" s="139" t="s">
        <v>2246</v>
      </c>
      <c r="N1062" s="140" t="s">
        <v>164</v>
      </c>
      <c r="O1062" s="140" t="s">
        <v>545</v>
      </c>
      <c r="P1062" s="140" t="s">
        <v>85</v>
      </c>
    </row>
    <row r="1063" spans="1:16" x14ac:dyDescent="0.25">
      <c r="A1063" s="10" t="s">
        <v>801</v>
      </c>
      <c r="B1063" s="10" t="s">
        <v>364</v>
      </c>
      <c r="C1063" s="136" t="s">
        <v>365</v>
      </c>
      <c r="D1063" s="136" t="s">
        <v>588</v>
      </c>
      <c r="E1063" s="136" t="s">
        <v>75</v>
      </c>
      <c r="F1063" s="10" t="s">
        <v>462</v>
      </c>
      <c r="G1063" s="10" t="s">
        <v>734</v>
      </c>
      <c r="H1063" s="137">
        <v>51600</v>
      </c>
      <c r="I1063" s="138"/>
      <c r="J1063" s="10">
        <v>4137</v>
      </c>
      <c r="K1063" s="136" t="s">
        <v>145</v>
      </c>
      <c r="L1063" s="10">
        <v>413</v>
      </c>
      <c r="M1063" s="10" t="s">
        <v>2246</v>
      </c>
      <c r="N1063" s="136" t="s">
        <v>164</v>
      </c>
      <c r="O1063" s="136" t="s">
        <v>545</v>
      </c>
      <c r="P1063" s="136" t="s">
        <v>85</v>
      </c>
    </row>
    <row r="1064" spans="1:16" x14ac:dyDescent="0.25">
      <c r="A1064" s="139" t="s">
        <v>801</v>
      </c>
      <c r="B1064" s="139" t="s">
        <v>366</v>
      </c>
      <c r="C1064" s="140" t="s">
        <v>732</v>
      </c>
      <c r="D1064" s="140" t="s">
        <v>588</v>
      </c>
      <c r="E1064" s="140" t="s">
        <v>75</v>
      </c>
      <c r="F1064" s="139" t="s">
        <v>462</v>
      </c>
      <c r="G1064" s="139" t="s">
        <v>701</v>
      </c>
      <c r="H1064" s="141">
        <v>3800</v>
      </c>
      <c r="I1064" s="142"/>
      <c r="J1064" s="139">
        <v>5526</v>
      </c>
      <c r="K1064" s="140" t="s">
        <v>119</v>
      </c>
      <c r="L1064" s="139">
        <v>55</v>
      </c>
      <c r="M1064" s="139" t="s">
        <v>2219</v>
      </c>
      <c r="N1064" s="140" t="s">
        <v>131</v>
      </c>
      <c r="O1064" s="140" t="s">
        <v>549</v>
      </c>
      <c r="P1064" s="140" t="s">
        <v>85</v>
      </c>
    </row>
    <row r="1065" spans="1:16" x14ac:dyDescent="0.25">
      <c r="A1065" s="10" t="s">
        <v>801</v>
      </c>
      <c r="B1065" s="10" t="s">
        <v>366</v>
      </c>
      <c r="C1065" s="136" t="s">
        <v>732</v>
      </c>
      <c r="D1065" s="136" t="s">
        <v>588</v>
      </c>
      <c r="E1065" s="136" t="s">
        <v>75</v>
      </c>
      <c r="F1065" s="10" t="s">
        <v>462</v>
      </c>
      <c r="G1065" s="10" t="s">
        <v>702</v>
      </c>
      <c r="H1065" s="137">
        <v>3500</v>
      </c>
      <c r="I1065" s="138"/>
      <c r="J1065" s="10">
        <v>41339</v>
      </c>
      <c r="K1065" s="136" t="s">
        <v>144</v>
      </c>
      <c r="L1065" s="10">
        <v>413</v>
      </c>
      <c r="M1065" s="10" t="s">
        <v>2246</v>
      </c>
      <c r="N1065" s="136" t="s">
        <v>164</v>
      </c>
      <c r="O1065" s="136" t="s">
        <v>545</v>
      </c>
      <c r="P1065" s="136" t="s">
        <v>85</v>
      </c>
    </row>
    <row r="1066" spans="1:16" x14ac:dyDescent="0.25">
      <c r="A1066" s="139" t="s">
        <v>801</v>
      </c>
      <c r="B1066" s="139" t="s">
        <v>366</v>
      </c>
      <c r="C1066" s="140" t="s">
        <v>732</v>
      </c>
      <c r="D1066" s="140" t="s">
        <v>588</v>
      </c>
      <c r="E1066" s="140" t="s">
        <v>75</v>
      </c>
      <c r="F1066" s="139" t="s">
        <v>462</v>
      </c>
      <c r="G1066" s="139" t="s">
        <v>705</v>
      </c>
      <c r="H1066" s="141">
        <v>800</v>
      </c>
      <c r="I1066" s="142"/>
      <c r="J1066" s="139">
        <v>41339</v>
      </c>
      <c r="K1066" s="140" t="s">
        <v>144</v>
      </c>
      <c r="L1066" s="139">
        <v>413</v>
      </c>
      <c r="M1066" s="139" t="s">
        <v>2246</v>
      </c>
      <c r="N1066" s="140" t="s">
        <v>164</v>
      </c>
      <c r="O1066" s="140" t="s">
        <v>545</v>
      </c>
      <c r="P1066" s="140" t="s">
        <v>85</v>
      </c>
    </row>
    <row r="1067" spans="1:16" x14ac:dyDescent="0.25">
      <c r="A1067" s="10" t="s">
        <v>801</v>
      </c>
      <c r="B1067" s="10" t="s">
        <v>366</v>
      </c>
      <c r="C1067" s="136" t="s">
        <v>732</v>
      </c>
      <c r="D1067" s="136" t="s">
        <v>588</v>
      </c>
      <c r="E1067" s="136" t="s">
        <v>75</v>
      </c>
      <c r="F1067" s="10" t="s">
        <v>462</v>
      </c>
      <c r="G1067" s="10" t="s">
        <v>706</v>
      </c>
      <c r="H1067" s="137">
        <v>300</v>
      </c>
      <c r="I1067" s="138"/>
      <c r="J1067" s="10">
        <v>41339</v>
      </c>
      <c r="K1067" s="136" t="s">
        <v>144</v>
      </c>
      <c r="L1067" s="10">
        <v>413</v>
      </c>
      <c r="M1067" s="10" t="s">
        <v>2246</v>
      </c>
      <c r="N1067" s="136" t="s">
        <v>164</v>
      </c>
      <c r="O1067" s="136" t="s">
        <v>545</v>
      </c>
      <c r="P1067" s="136" t="s">
        <v>85</v>
      </c>
    </row>
    <row r="1068" spans="1:16" x14ac:dyDescent="0.25">
      <c r="A1068" s="139" t="s">
        <v>801</v>
      </c>
      <c r="B1068" s="139" t="s">
        <v>366</v>
      </c>
      <c r="C1068" s="140" t="s">
        <v>732</v>
      </c>
      <c r="D1068" s="140" t="s">
        <v>588</v>
      </c>
      <c r="E1068" s="140" t="s">
        <v>75</v>
      </c>
      <c r="F1068" s="139" t="s">
        <v>462</v>
      </c>
      <c r="G1068" s="139" t="s">
        <v>708</v>
      </c>
      <c r="H1068" s="141">
        <v>7000</v>
      </c>
      <c r="I1068" s="142"/>
      <c r="J1068" s="139">
        <v>41339</v>
      </c>
      <c r="K1068" s="140" t="s">
        <v>144</v>
      </c>
      <c r="L1068" s="139">
        <v>413</v>
      </c>
      <c r="M1068" s="139" t="s">
        <v>2246</v>
      </c>
      <c r="N1068" s="140" t="s">
        <v>164</v>
      </c>
      <c r="O1068" s="140" t="s">
        <v>545</v>
      </c>
      <c r="P1068" s="140" t="s">
        <v>85</v>
      </c>
    </row>
    <row r="1069" spans="1:16" x14ac:dyDescent="0.25">
      <c r="A1069" s="10" t="s">
        <v>801</v>
      </c>
      <c r="B1069" s="10" t="s">
        <v>366</v>
      </c>
      <c r="C1069" s="136" t="s">
        <v>732</v>
      </c>
      <c r="D1069" s="136" t="s">
        <v>588</v>
      </c>
      <c r="E1069" s="136" t="s">
        <v>75</v>
      </c>
      <c r="F1069" s="10" t="s">
        <v>462</v>
      </c>
      <c r="G1069" s="10" t="s">
        <v>679</v>
      </c>
      <c r="H1069" s="137">
        <v>1000</v>
      </c>
      <c r="I1069" s="138"/>
      <c r="J1069" s="10">
        <v>5526</v>
      </c>
      <c r="K1069" s="136" t="s">
        <v>119</v>
      </c>
      <c r="L1069" s="10">
        <v>55</v>
      </c>
      <c r="M1069" s="10" t="s">
        <v>2219</v>
      </c>
      <c r="N1069" s="136" t="s">
        <v>131</v>
      </c>
      <c r="O1069" s="136" t="s">
        <v>549</v>
      </c>
      <c r="P1069" s="136" t="s">
        <v>85</v>
      </c>
    </row>
    <row r="1070" spans="1:16" x14ac:dyDescent="0.25">
      <c r="A1070" s="139" t="s">
        <v>801</v>
      </c>
      <c r="B1070" s="139" t="s">
        <v>366</v>
      </c>
      <c r="C1070" s="140" t="s">
        <v>732</v>
      </c>
      <c r="D1070" s="140" t="s">
        <v>588</v>
      </c>
      <c r="E1070" s="140" t="s">
        <v>75</v>
      </c>
      <c r="F1070" s="139" t="s">
        <v>462</v>
      </c>
      <c r="G1070" s="139" t="s">
        <v>711</v>
      </c>
      <c r="H1070" s="141">
        <v>5000</v>
      </c>
      <c r="I1070" s="142"/>
      <c r="J1070" s="139">
        <v>5511</v>
      </c>
      <c r="K1070" s="140" t="s">
        <v>106</v>
      </c>
      <c r="L1070" s="139">
        <v>55</v>
      </c>
      <c r="M1070" s="139" t="s">
        <v>2219</v>
      </c>
      <c r="N1070" s="140" t="s">
        <v>131</v>
      </c>
      <c r="O1070" s="140" t="s">
        <v>549</v>
      </c>
      <c r="P1070" s="140" t="s">
        <v>85</v>
      </c>
    </row>
    <row r="1071" spans="1:16" x14ac:dyDescent="0.25">
      <c r="A1071" s="10" t="s">
        <v>801</v>
      </c>
      <c r="B1071" s="10" t="s">
        <v>367</v>
      </c>
      <c r="C1071" s="136" t="s">
        <v>368</v>
      </c>
      <c r="D1071" s="136" t="s">
        <v>588</v>
      </c>
      <c r="E1071" s="136" t="s">
        <v>75</v>
      </c>
      <c r="F1071" s="10" t="s">
        <v>462</v>
      </c>
      <c r="G1071" s="10" t="s">
        <v>712</v>
      </c>
      <c r="H1071" s="137">
        <v>840</v>
      </c>
      <c r="I1071" s="138"/>
      <c r="J1071" s="10">
        <v>5526</v>
      </c>
      <c r="K1071" s="136" t="s">
        <v>119</v>
      </c>
      <c r="L1071" s="10">
        <v>55</v>
      </c>
      <c r="M1071" s="10" t="s">
        <v>2219</v>
      </c>
      <c r="N1071" s="136" t="s">
        <v>131</v>
      </c>
      <c r="O1071" s="136" t="s">
        <v>549</v>
      </c>
      <c r="P1071" s="136" t="s">
        <v>85</v>
      </c>
    </row>
    <row r="1072" spans="1:16" x14ac:dyDescent="0.25">
      <c r="A1072" s="143" t="s">
        <v>801</v>
      </c>
      <c r="B1072" s="143" t="s">
        <v>370</v>
      </c>
      <c r="C1072" s="144" t="s">
        <v>371</v>
      </c>
      <c r="D1072" s="144" t="s">
        <v>588</v>
      </c>
      <c r="E1072" s="144" t="s">
        <v>75</v>
      </c>
      <c r="F1072" s="143" t="s">
        <v>462</v>
      </c>
      <c r="G1072" s="143" t="s">
        <v>710</v>
      </c>
      <c r="H1072" s="145">
        <v>17113</v>
      </c>
      <c r="I1072" s="146" t="s">
        <v>82</v>
      </c>
      <c r="J1072" s="143">
        <v>41332</v>
      </c>
      <c r="K1072" s="144" t="s">
        <v>143</v>
      </c>
      <c r="L1072" s="143">
        <v>413</v>
      </c>
      <c r="M1072" s="143" t="s">
        <v>2246</v>
      </c>
      <c r="N1072" s="144" t="s">
        <v>164</v>
      </c>
      <c r="O1072" s="144" t="s">
        <v>545</v>
      </c>
      <c r="P1072" s="144" t="s">
        <v>85</v>
      </c>
    </row>
    <row r="1073" spans="1:16" x14ac:dyDescent="0.25">
      <c r="A1073" s="10" t="s">
        <v>801</v>
      </c>
      <c r="B1073" s="10" t="s">
        <v>372</v>
      </c>
      <c r="C1073" s="136" t="s">
        <v>373</v>
      </c>
      <c r="D1073" s="136" t="s">
        <v>589</v>
      </c>
      <c r="E1073" s="136" t="s">
        <v>75</v>
      </c>
      <c r="F1073" s="10" t="s">
        <v>1594</v>
      </c>
      <c r="G1073" s="10" t="s">
        <v>1597</v>
      </c>
      <c r="H1073" s="137">
        <v>2000</v>
      </c>
      <c r="I1073" s="138"/>
      <c r="J1073" s="10">
        <v>5500</v>
      </c>
      <c r="K1073" s="136" t="s">
        <v>100</v>
      </c>
      <c r="L1073" s="10">
        <v>55</v>
      </c>
      <c r="M1073" s="10" t="s">
        <v>2219</v>
      </c>
      <c r="N1073" s="136" t="s">
        <v>131</v>
      </c>
      <c r="O1073" s="136" t="s">
        <v>549</v>
      </c>
      <c r="P1073" s="136" t="s">
        <v>85</v>
      </c>
    </row>
    <row r="1074" spans="1:16" x14ac:dyDescent="0.25">
      <c r="A1074" s="139" t="s">
        <v>801</v>
      </c>
      <c r="B1074" s="139" t="s">
        <v>372</v>
      </c>
      <c r="C1074" s="140" t="s">
        <v>373</v>
      </c>
      <c r="D1074" s="140" t="s">
        <v>589</v>
      </c>
      <c r="E1074" s="140" t="s">
        <v>75</v>
      </c>
      <c r="F1074" s="139" t="s">
        <v>1594</v>
      </c>
      <c r="G1074" s="139" t="s">
        <v>1598</v>
      </c>
      <c r="H1074" s="141">
        <v>150</v>
      </c>
      <c r="I1074" s="142" t="s">
        <v>1601</v>
      </c>
      <c r="J1074" s="139">
        <v>5500</v>
      </c>
      <c r="K1074" s="140" t="s">
        <v>100</v>
      </c>
      <c r="L1074" s="139">
        <v>55</v>
      </c>
      <c r="M1074" s="139" t="s">
        <v>2219</v>
      </c>
      <c r="N1074" s="140" t="s">
        <v>131</v>
      </c>
      <c r="O1074" s="140" t="s">
        <v>549</v>
      </c>
      <c r="P1074" s="140" t="s">
        <v>85</v>
      </c>
    </row>
    <row r="1075" spans="1:16" x14ac:dyDescent="0.25">
      <c r="A1075" s="10" t="s">
        <v>801</v>
      </c>
      <c r="B1075" s="10" t="s">
        <v>372</v>
      </c>
      <c r="C1075" s="136" t="s">
        <v>373</v>
      </c>
      <c r="D1075" s="136" t="s">
        <v>589</v>
      </c>
      <c r="E1075" s="136" t="s">
        <v>75</v>
      </c>
      <c r="F1075" s="10" t="s">
        <v>1594</v>
      </c>
      <c r="G1075" s="10" t="s">
        <v>1599</v>
      </c>
      <c r="H1075" s="137">
        <v>174</v>
      </c>
      <c r="I1075" s="138" t="s">
        <v>1602</v>
      </c>
      <c r="J1075" s="10">
        <v>5500</v>
      </c>
      <c r="K1075" s="136" t="s">
        <v>100</v>
      </c>
      <c r="L1075" s="10">
        <v>55</v>
      </c>
      <c r="M1075" s="10" t="s">
        <v>2219</v>
      </c>
      <c r="N1075" s="136" t="s">
        <v>131</v>
      </c>
      <c r="O1075" s="136" t="s">
        <v>549</v>
      </c>
      <c r="P1075" s="136" t="s">
        <v>85</v>
      </c>
    </row>
    <row r="1076" spans="1:16" x14ac:dyDescent="0.25">
      <c r="A1076" s="139" t="s">
        <v>801</v>
      </c>
      <c r="B1076" s="139" t="s">
        <v>372</v>
      </c>
      <c r="C1076" s="140" t="s">
        <v>373</v>
      </c>
      <c r="D1076" s="140" t="s">
        <v>589</v>
      </c>
      <c r="E1076" s="140" t="s">
        <v>75</v>
      </c>
      <c r="F1076" s="139" t="s">
        <v>1594</v>
      </c>
      <c r="G1076" s="139" t="s">
        <v>1600</v>
      </c>
      <c r="H1076" s="141">
        <v>76</v>
      </c>
      <c r="I1076" s="142" t="s">
        <v>1603</v>
      </c>
      <c r="J1076" s="139">
        <v>5500</v>
      </c>
      <c r="K1076" s="140" t="s">
        <v>100</v>
      </c>
      <c r="L1076" s="139">
        <v>55</v>
      </c>
      <c r="M1076" s="139" t="s">
        <v>2219</v>
      </c>
      <c r="N1076" s="140" t="s">
        <v>131</v>
      </c>
      <c r="O1076" s="140" t="s">
        <v>549</v>
      </c>
      <c r="P1076" s="140" t="s">
        <v>85</v>
      </c>
    </row>
    <row r="1077" spans="1:16" x14ac:dyDescent="0.25">
      <c r="A1077" s="10" t="s">
        <v>801</v>
      </c>
      <c r="B1077" s="10" t="s">
        <v>372</v>
      </c>
      <c r="C1077" s="136" t="s">
        <v>373</v>
      </c>
      <c r="D1077" s="136" t="s">
        <v>589</v>
      </c>
      <c r="E1077" s="136" t="s">
        <v>75</v>
      </c>
      <c r="F1077" s="10" t="s">
        <v>1594</v>
      </c>
      <c r="G1077" s="10" t="s">
        <v>176</v>
      </c>
      <c r="H1077" s="137">
        <v>50</v>
      </c>
      <c r="I1077" s="138" t="s">
        <v>1605</v>
      </c>
      <c r="J1077" s="10">
        <v>5504</v>
      </c>
      <c r="K1077" s="136" t="s">
        <v>102</v>
      </c>
      <c r="L1077" s="10">
        <v>55</v>
      </c>
      <c r="M1077" s="10" t="s">
        <v>2219</v>
      </c>
      <c r="N1077" s="136" t="s">
        <v>131</v>
      </c>
      <c r="O1077" s="136" t="s">
        <v>549</v>
      </c>
      <c r="P1077" s="136" t="s">
        <v>85</v>
      </c>
    </row>
    <row r="1078" spans="1:16" x14ac:dyDescent="0.25">
      <c r="A1078" s="139" t="s">
        <v>801</v>
      </c>
      <c r="B1078" s="139" t="s">
        <v>372</v>
      </c>
      <c r="C1078" s="140" t="s">
        <v>373</v>
      </c>
      <c r="D1078" s="140" t="s">
        <v>589</v>
      </c>
      <c r="E1078" s="140" t="s">
        <v>75</v>
      </c>
      <c r="F1078" s="139" t="s">
        <v>1594</v>
      </c>
      <c r="G1078" s="139" t="s">
        <v>1604</v>
      </c>
      <c r="H1078" s="141">
        <v>150</v>
      </c>
      <c r="I1078" s="142" t="s">
        <v>1606</v>
      </c>
      <c r="J1078" s="139">
        <v>5504</v>
      </c>
      <c r="K1078" s="140" t="s">
        <v>102</v>
      </c>
      <c r="L1078" s="139">
        <v>55</v>
      </c>
      <c r="M1078" s="139" t="s">
        <v>2219</v>
      </c>
      <c r="N1078" s="140" t="s">
        <v>131</v>
      </c>
      <c r="O1078" s="140" t="s">
        <v>549</v>
      </c>
      <c r="P1078" s="140" t="s">
        <v>85</v>
      </c>
    </row>
    <row r="1079" spans="1:16" x14ac:dyDescent="0.25">
      <c r="A1079" s="10" t="s">
        <v>801</v>
      </c>
      <c r="B1079" s="10" t="s">
        <v>372</v>
      </c>
      <c r="C1079" s="136" t="s">
        <v>373</v>
      </c>
      <c r="D1079" s="136" t="s">
        <v>589</v>
      </c>
      <c r="E1079" s="136" t="s">
        <v>75</v>
      </c>
      <c r="F1079" s="10" t="s">
        <v>1594</v>
      </c>
      <c r="G1079" s="10" t="s">
        <v>1624</v>
      </c>
      <c r="H1079" s="137">
        <v>800</v>
      </c>
      <c r="I1079" s="138"/>
      <c r="J1079" s="10">
        <v>5513</v>
      </c>
      <c r="K1079" s="136" t="s">
        <v>111</v>
      </c>
      <c r="L1079" s="10">
        <v>55</v>
      </c>
      <c r="M1079" s="10" t="s">
        <v>2219</v>
      </c>
      <c r="N1079" s="136" t="s">
        <v>131</v>
      </c>
      <c r="O1079" s="136" t="s">
        <v>549</v>
      </c>
      <c r="P1079" s="136" t="s">
        <v>85</v>
      </c>
    </row>
    <row r="1080" spans="1:16" x14ac:dyDescent="0.25">
      <c r="A1080" s="139" t="s">
        <v>801</v>
      </c>
      <c r="B1080" s="139" t="s">
        <v>372</v>
      </c>
      <c r="C1080" s="140" t="s">
        <v>373</v>
      </c>
      <c r="D1080" s="140" t="s">
        <v>589</v>
      </c>
      <c r="E1080" s="140" t="s">
        <v>75</v>
      </c>
      <c r="F1080" s="139" t="s">
        <v>1594</v>
      </c>
      <c r="G1080" s="139" t="s">
        <v>1625</v>
      </c>
      <c r="H1080" s="141">
        <v>432</v>
      </c>
      <c r="I1080" s="142"/>
      <c r="J1080" s="139">
        <v>5513</v>
      </c>
      <c r="K1080" s="140" t="s">
        <v>111</v>
      </c>
      <c r="L1080" s="139">
        <v>55</v>
      </c>
      <c r="M1080" s="139" t="s">
        <v>2219</v>
      </c>
      <c r="N1080" s="140" t="s">
        <v>131</v>
      </c>
      <c r="O1080" s="140" t="s">
        <v>549</v>
      </c>
      <c r="P1080" s="140" t="s">
        <v>85</v>
      </c>
    </row>
    <row r="1081" spans="1:16" x14ac:dyDescent="0.25">
      <c r="A1081" s="10" t="s">
        <v>801</v>
      </c>
      <c r="B1081" s="10" t="s">
        <v>372</v>
      </c>
      <c r="C1081" s="136" t="s">
        <v>373</v>
      </c>
      <c r="D1081" s="136" t="s">
        <v>589</v>
      </c>
      <c r="E1081" s="136" t="s">
        <v>75</v>
      </c>
      <c r="F1081" s="10" t="s">
        <v>1594</v>
      </c>
      <c r="G1081" s="10" t="s">
        <v>1627</v>
      </c>
      <c r="H1081" s="137">
        <v>19535</v>
      </c>
      <c r="I1081" s="138" t="s">
        <v>1628</v>
      </c>
      <c r="J1081" s="10">
        <v>5521</v>
      </c>
      <c r="K1081" s="136" t="s">
        <v>114</v>
      </c>
      <c r="L1081" s="10">
        <v>55</v>
      </c>
      <c r="M1081" s="10" t="s">
        <v>2219</v>
      </c>
      <c r="N1081" s="136" t="s">
        <v>131</v>
      </c>
      <c r="O1081" s="136" t="s">
        <v>549</v>
      </c>
      <c r="P1081" s="136" t="s">
        <v>85</v>
      </c>
    </row>
    <row r="1082" spans="1:16" x14ac:dyDescent="0.25">
      <c r="A1082" s="139" t="s">
        <v>801</v>
      </c>
      <c r="B1082" s="139" t="s">
        <v>372</v>
      </c>
      <c r="C1082" s="140" t="s">
        <v>373</v>
      </c>
      <c r="D1082" s="140" t="s">
        <v>589</v>
      </c>
      <c r="E1082" s="140" t="s">
        <v>75</v>
      </c>
      <c r="F1082" s="139" t="s">
        <v>1594</v>
      </c>
      <c r="G1082" s="139" t="s">
        <v>1629</v>
      </c>
      <c r="H1082" s="141">
        <v>100</v>
      </c>
      <c r="I1082" s="142" t="s">
        <v>1633</v>
      </c>
      <c r="J1082" s="139">
        <v>5522</v>
      </c>
      <c r="K1082" s="140" t="s">
        <v>115</v>
      </c>
      <c r="L1082" s="139">
        <v>55</v>
      </c>
      <c r="M1082" s="139" t="s">
        <v>2219</v>
      </c>
      <c r="N1082" s="140" t="s">
        <v>131</v>
      </c>
      <c r="O1082" s="140" t="s">
        <v>549</v>
      </c>
      <c r="P1082" s="140" t="s">
        <v>85</v>
      </c>
    </row>
    <row r="1083" spans="1:16" x14ac:dyDescent="0.25">
      <c r="A1083" s="10" t="s">
        <v>801</v>
      </c>
      <c r="B1083" s="10" t="s">
        <v>372</v>
      </c>
      <c r="C1083" s="136" t="s">
        <v>373</v>
      </c>
      <c r="D1083" s="136" t="s">
        <v>589</v>
      </c>
      <c r="E1083" s="136" t="s">
        <v>75</v>
      </c>
      <c r="F1083" s="10" t="s">
        <v>1594</v>
      </c>
      <c r="G1083" s="10" t="s">
        <v>1630</v>
      </c>
      <c r="H1083" s="137">
        <v>1000</v>
      </c>
      <c r="I1083" s="138" t="s">
        <v>1634</v>
      </c>
      <c r="J1083" s="10">
        <v>5522</v>
      </c>
      <c r="K1083" s="136" t="s">
        <v>115</v>
      </c>
      <c r="L1083" s="10">
        <v>55</v>
      </c>
      <c r="M1083" s="10" t="s">
        <v>2219</v>
      </c>
      <c r="N1083" s="136" t="s">
        <v>131</v>
      </c>
      <c r="O1083" s="136" t="s">
        <v>549</v>
      </c>
      <c r="P1083" s="136" t="s">
        <v>85</v>
      </c>
    </row>
    <row r="1084" spans="1:16" x14ac:dyDescent="0.25">
      <c r="A1084" s="139" t="s">
        <v>801</v>
      </c>
      <c r="B1084" s="139" t="s">
        <v>372</v>
      </c>
      <c r="C1084" s="140" t="s">
        <v>373</v>
      </c>
      <c r="D1084" s="140" t="s">
        <v>589</v>
      </c>
      <c r="E1084" s="140" t="s">
        <v>75</v>
      </c>
      <c r="F1084" s="139" t="s">
        <v>1594</v>
      </c>
      <c r="G1084" s="139" t="s">
        <v>1631</v>
      </c>
      <c r="H1084" s="141">
        <v>1850</v>
      </c>
      <c r="I1084" s="142" t="s">
        <v>1635</v>
      </c>
      <c r="J1084" s="139">
        <v>5522</v>
      </c>
      <c r="K1084" s="140" t="s">
        <v>115</v>
      </c>
      <c r="L1084" s="139">
        <v>55</v>
      </c>
      <c r="M1084" s="139" t="s">
        <v>2219</v>
      </c>
      <c r="N1084" s="140" t="s">
        <v>131</v>
      </c>
      <c r="O1084" s="140" t="s">
        <v>549</v>
      </c>
      <c r="P1084" s="140" t="s">
        <v>85</v>
      </c>
    </row>
    <row r="1085" spans="1:16" x14ac:dyDescent="0.25">
      <c r="A1085" s="10" t="s">
        <v>801</v>
      </c>
      <c r="B1085" s="10" t="s">
        <v>372</v>
      </c>
      <c r="C1085" s="136" t="s">
        <v>373</v>
      </c>
      <c r="D1085" s="136" t="s">
        <v>589</v>
      </c>
      <c r="E1085" s="136" t="s">
        <v>75</v>
      </c>
      <c r="F1085" s="10" t="s">
        <v>1594</v>
      </c>
      <c r="G1085" s="10" t="s">
        <v>1253</v>
      </c>
      <c r="H1085" s="137">
        <v>2060</v>
      </c>
      <c r="I1085" s="138" t="s">
        <v>1636</v>
      </c>
      <c r="J1085" s="10">
        <v>5522</v>
      </c>
      <c r="K1085" s="136" t="s">
        <v>115</v>
      </c>
      <c r="L1085" s="10">
        <v>55</v>
      </c>
      <c r="M1085" s="10" t="s">
        <v>2219</v>
      </c>
      <c r="N1085" s="136" t="s">
        <v>131</v>
      </c>
      <c r="O1085" s="136" t="s">
        <v>549</v>
      </c>
      <c r="P1085" s="136" t="s">
        <v>85</v>
      </c>
    </row>
    <row r="1086" spans="1:16" x14ac:dyDescent="0.25">
      <c r="A1086" s="139" t="s">
        <v>801</v>
      </c>
      <c r="B1086" s="139" t="s">
        <v>372</v>
      </c>
      <c r="C1086" s="140" t="s">
        <v>373</v>
      </c>
      <c r="D1086" s="140" t="s">
        <v>589</v>
      </c>
      <c r="E1086" s="140" t="s">
        <v>75</v>
      </c>
      <c r="F1086" s="139" t="s">
        <v>1594</v>
      </c>
      <c r="G1086" s="139" t="s">
        <v>1632</v>
      </c>
      <c r="H1086" s="141">
        <v>300</v>
      </c>
      <c r="I1086" s="142" t="s">
        <v>1637</v>
      </c>
      <c r="J1086" s="139">
        <v>5522</v>
      </c>
      <c r="K1086" s="140" t="s">
        <v>115</v>
      </c>
      <c r="L1086" s="139">
        <v>55</v>
      </c>
      <c r="M1086" s="139" t="s">
        <v>2219</v>
      </c>
      <c r="N1086" s="140" t="s">
        <v>131</v>
      </c>
      <c r="O1086" s="140" t="s">
        <v>549</v>
      </c>
      <c r="P1086" s="140" t="s">
        <v>85</v>
      </c>
    </row>
    <row r="1087" spans="1:16" x14ac:dyDescent="0.25">
      <c r="A1087" s="10" t="s">
        <v>801</v>
      </c>
      <c r="B1087" s="10" t="s">
        <v>372</v>
      </c>
      <c r="C1087" s="136" t="s">
        <v>373</v>
      </c>
      <c r="D1087" s="136" t="s">
        <v>589</v>
      </c>
      <c r="E1087" s="136" t="s">
        <v>75</v>
      </c>
      <c r="F1087" s="10" t="s">
        <v>1594</v>
      </c>
      <c r="G1087" s="10" t="s">
        <v>1638</v>
      </c>
      <c r="H1087" s="137">
        <v>1000</v>
      </c>
      <c r="I1087" s="138"/>
      <c r="J1087" s="10">
        <v>5525</v>
      </c>
      <c r="K1087" s="136" t="s">
        <v>118</v>
      </c>
      <c r="L1087" s="10">
        <v>55</v>
      </c>
      <c r="M1087" s="10" t="s">
        <v>2219</v>
      </c>
      <c r="N1087" s="136" t="s">
        <v>131</v>
      </c>
      <c r="O1087" s="136" t="s">
        <v>549</v>
      </c>
      <c r="P1087" s="136" t="s">
        <v>85</v>
      </c>
    </row>
    <row r="1088" spans="1:16" x14ac:dyDescent="0.25">
      <c r="A1088" s="139" t="s">
        <v>801</v>
      </c>
      <c r="B1088" s="139" t="s">
        <v>372</v>
      </c>
      <c r="C1088" s="140" t="s">
        <v>373</v>
      </c>
      <c r="D1088" s="140" t="s">
        <v>589</v>
      </c>
      <c r="E1088" s="140" t="s">
        <v>75</v>
      </c>
      <c r="F1088" s="139" t="s">
        <v>1594</v>
      </c>
      <c r="G1088" s="139" t="s">
        <v>1639</v>
      </c>
      <c r="H1088" s="141">
        <v>940</v>
      </c>
      <c r="I1088" s="142"/>
      <c r="J1088" s="139">
        <v>5540</v>
      </c>
      <c r="K1088" s="140" t="s">
        <v>121</v>
      </c>
      <c r="L1088" s="139">
        <v>55</v>
      </c>
      <c r="M1088" s="139" t="s">
        <v>2219</v>
      </c>
      <c r="N1088" s="140" t="s">
        <v>131</v>
      </c>
      <c r="O1088" s="140" t="s">
        <v>549</v>
      </c>
      <c r="P1088" s="140" t="s">
        <v>85</v>
      </c>
    </row>
    <row r="1089" spans="1:16" x14ac:dyDescent="0.25">
      <c r="A1089" s="10" t="s">
        <v>801</v>
      </c>
      <c r="B1089" s="10" t="s">
        <v>372</v>
      </c>
      <c r="C1089" s="136" t="s">
        <v>373</v>
      </c>
      <c r="D1089" s="136" t="s">
        <v>589</v>
      </c>
      <c r="E1089" s="136" t="s">
        <v>75</v>
      </c>
      <c r="F1089" s="10" t="s">
        <v>1594</v>
      </c>
      <c r="G1089" s="10" t="s">
        <v>177</v>
      </c>
      <c r="H1089" s="137">
        <v>1500</v>
      </c>
      <c r="I1089" s="138" t="s">
        <v>1614</v>
      </c>
      <c r="J1089" s="10">
        <v>5511</v>
      </c>
      <c r="K1089" s="136" t="s">
        <v>106</v>
      </c>
      <c r="L1089" s="10">
        <v>55</v>
      </c>
      <c r="M1089" s="10" t="s">
        <v>2219</v>
      </c>
      <c r="N1089" s="136" t="s">
        <v>131</v>
      </c>
      <c r="O1089" s="136" t="s">
        <v>549</v>
      </c>
      <c r="P1089" s="136" t="s">
        <v>85</v>
      </c>
    </row>
    <row r="1090" spans="1:16" x14ac:dyDescent="0.25">
      <c r="A1090" s="139" t="s">
        <v>801</v>
      </c>
      <c r="B1090" s="139" t="s">
        <v>372</v>
      </c>
      <c r="C1090" s="140" t="s">
        <v>373</v>
      </c>
      <c r="D1090" s="140" t="s">
        <v>589</v>
      </c>
      <c r="E1090" s="140" t="s">
        <v>75</v>
      </c>
      <c r="F1090" s="139" t="s">
        <v>1594</v>
      </c>
      <c r="G1090" s="139" t="s">
        <v>178</v>
      </c>
      <c r="H1090" s="141">
        <v>4150</v>
      </c>
      <c r="I1090" s="142" t="s">
        <v>1615</v>
      </c>
      <c r="J1090" s="139">
        <v>5511</v>
      </c>
      <c r="K1090" s="140" t="s">
        <v>106</v>
      </c>
      <c r="L1090" s="139">
        <v>55</v>
      </c>
      <c r="M1090" s="139" t="s">
        <v>2219</v>
      </c>
      <c r="N1090" s="140" t="s">
        <v>131</v>
      </c>
      <c r="O1090" s="140" t="s">
        <v>549</v>
      </c>
      <c r="P1090" s="140" t="s">
        <v>85</v>
      </c>
    </row>
    <row r="1091" spans="1:16" x14ac:dyDescent="0.25">
      <c r="A1091" s="10" t="s">
        <v>801</v>
      </c>
      <c r="B1091" s="10" t="s">
        <v>372</v>
      </c>
      <c r="C1091" s="136" t="s">
        <v>373</v>
      </c>
      <c r="D1091" s="136" t="s">
        <v>589</v>
      </c>
      <c r="E1091" s="136" t="s">
        <v>75</v>
      </c>
      <c r="F1091" s="10" t="s">
        <v>1594</v>
      </c>
      <c r="G1091" s="10" t="s">
        <v>443</v>
      </c>
      <c r="H1091" s="137">
        <v>2760</v>
      </c>
      <c r="I1091" s="138" t="s">
        <v>1616</v>
      </c>
      <c r="J1091" s="10">
        <v>5511</v>
      </c>
      <c r="K1091" s="136" t="s">
        <v>106</v>
      </c>
      <c r="L1091" s="10">
        <v>55</v>
      </c>
      <c r="M1091" s="10" t="s">
        <v>2219</v>
      </c>
      <c r="N1091" s="136" t="s">
        <v>131</v>
      </c>
      <c r="O1091" s="136" t="s">
        <v>549</v>
      </c>
      <c r="P1091" s="136" t="s">
        <v>85</v>
      </c>
    </row>
    <row r="1092" spans="1:16" x14ac:dyDescent="0.25">
      <c r="A1092" s="139" t="s">
        <v>801</v>
      </c>
      <c r="B1092" s="139" t="s">
        <v>372</v>
      </c>
      <c r="C1092" s="140" t="s">
        <v>373</v>
      </c>
      <c r="D1092" s="140" t="s">
        <v>589</v>
      </c>
      <c r="E1092" s="140" t="s">
        <v>75</v>
      </c>
      <c r="F1092" s="139" t="s">
        <v>1594</v>
      </c>
      <c r="G1092" s="139" t="s">
        <v>1607</v>
      </c>
      <c r="H1092" s="141">
        <v>4100</v>
      </c>
      <c r="I1092" s="142" t="s">
        <v>1617</v>
      </c>
      <c r="J1092" s="139">
        <v>5511</v>
      </c>
      <c r="K1092" s="140" t="s">
        <v>106</v>
      </c>
      <c r="L1092" s="139">
        <v>55</v>
      </c>
      <c r="M1092" s="139" t="s">
        <v>2219</v>
      </c>
      <c r="N1092" s="140" t="s">
        <v>131</v>
      </c>
      <c r="O1092" s="140" t="s">
        <v>549</v>
      </c>
      <c r="P1092" s="140" t="s">
        <v>85</v>
      </c>
    </row>
    <row r="1093" spans="1:16" x14ac:dyDescent="0.25">
      <c r="A1093" s="10" t="s">
        <v>801</v>
      </c>
      <c r="B1093" s="10" t="s">
        <v>372</v>
      </c>
      <c r="C1093" s="136" t="s">
        <v>373</v>
      </c>
      <c r="D1093" s="136" t="s">
        <v>589</v>
      </c>
      <c r="E1093" s="136" t="s">
        <v>75</v>
      </c>
      <c r="F1093" s="10" t="s">
        <v>1594</v>
      </c>
      <c r="G1093" s="10" t="s">
        <v>1608</v>
      </c>
      <c r="H1093" s="137">
        <v>4300</v>
      </c>
      <c r="I1093" s="138" t="s">
        <v>1618</v>
      </c>
      <c r="J1093" s="10">
        <v>5511</v>
      </c>
      <c r="K1093" s="136" t="s">
        <v>106</v>
      </c>
      <c r="L1093" s="10">
        <v>55</v>
      </c>
      <c r="M1093" s="10" t="s">
        <v>2219</v>
      </c>
      <c r="N1093" s="136" t="s">
        <v>131</v>
      </c>
      <c r="O1093" s="136" t="s">
        <v>549</v>
      </c>
      <c r="P1093" s="136" t="s">
        <v>85</v>
      </c>
    </row>
    <row r="1094" spans="1:16" x14ac:dyDescent="0.25">
      <c r="A1094" s="139" t="s">
        <v>801</v>
      </c>
      <c r="B1094" s="139" t="s">
        <v>372</v>
      </c>
      <c r="C1094" s="140" t="s">
        <v>373</v>
      </c>
      <c r="D1094" s="140" t="s">
        <v>589</v>
      </c>
      <c r="E1094" s="140" t="s">
        <v>75</v>
      </c>
      <c r="F1094" s="139" t="s">
        <v>1594</v>
      </c>
      <c r="G1094" s="139" t="s">
        <v>1609</v>
      </c>
      <c r="H1094" s="141">
        <v>288</v>
      </c>
      <c r="I1094" s="142" t="s">
        <v>1619</v>
      </c>
      <c r="J1094" s="139">
        <v>5511</v>
      </c>
      <c r="K1094" s="140" t="s">
        <v>106</v>
      </c>
      <c r="L1094" s="139">
        <v>55</v>
      </c>
      <c r="M1094" s="139" t="s">
        <v>2219</v>
      </c>
      <c r="N1094" s="140" t="s">
        <v>131</v>
      </c>
      <c r="O1094" s="140" t="s">
        <v>549</v>
      </c>
      <c r="P1094" s="140" t="s">
        <v>85</v>
      </c>
    </row>
    <row r="1095" spans="1:16" x14ac:dyDescent="0.25">
      <c r="A1095" s="10" t="s">
        <v>801</v>
      </c>
      <c r="B1095" s="10" t="s">
        <v>372</v>
      </c>
      <c r="C1095" s="136" t="s">
        <v>373</v>
      </c>
      <c r="D1095" s="136" t="s">
        <v>589</v>
      </c>
      <c r="E1095" s="136" t="s">
        <v>75</v>
      </c>
      <c r="F1095" s="10" t="s">
        <v>1594</v>
      </c>
      <c r="G1095" s="10" t="s">
        <v>1610</v>
      </c>
      <c r="H1095" s="137">
        <v>150</v>
      </c>
      <c r="I1095" s="138" t="s">
        <v>1620</v>
      </c>
      <c r="J1095" s="10">
        <v>5511</v>
      </c>
      <c r="K1095" s="136" t="s">
        <v>106</v>
      </c>
      <c r="L1095" s="10">
        <v>55</v>
      </c>
      <c r="M1095" s="10" t="s">
        <v>2219</v>
      </c>
      <c r="N1095" s="136" t="s">
        <v>131</v>
      </c>
      <c r="O1095" s="136" t="s">
        <v>549</v>
      </c>
      <c r="P1095" s="136" t="s">
        <v>85</v>
      </c>
    </row>
    <row r="1096" spans="1:16" x14ac:dyDescent="0.25">
      <c r="A1096" s="139" t="s">
        <v>801</v>
      </c>
      <c r="B1096" s="139" t="s">
        <v>372</v>
      </c>
      <c r="C1096" s="140" t="s">
        <v>373</v>
      </c>
      <c r="D1096" s="140" t="s">
        <v>589</v>
      </c>
      <c r="E1096" s="140" t="s">
        <v>75</v>
      </c>
      <c r="F1096" s="139" t="s">
        <v>1594</v>
      </c>
      <c r="G1096" s="139" t="s">
        <v>1611</v>
      </c>
      <c r="H1096" s="141">
        <v>654</v>
      </c>
      <c r="I1096" s="142" t="s">
        <v>1621</v>
      </c>
      <c r="J1096" s="139">
        <v>5511</v>
      </c>
      <c r="K1096" s="140" t="s">
        <v>106</v>
      </c>
      <c r="L1096" s="139">
        <v>55</v>
      </c>
      <c r="M1096" s="139" t="s">
        <v>2219</v>
      </c>
      <c r="N1096" s="140" t="s">
        <v>131</v>
      </c>
      <c r="O1096" s="140" t="s">
        <v>549</v>
      </c>
      <c r="P1096" s="140" t="s">
        <v>85</v>
      </c>
    </row>
    <row r="1097" spans="1:16" x14ac:dyDescent="0.25">
      <c r="A1097" s="10" t="s">
        <v>801</v>
      </c>
      <c r="B1097" s="10" t="s">
        <v>372</v>
      </c>
      <c r="C1097" s="136" t="s">
        <v>373</v>
      </c>
      <c r="D1097" s="136" t="s">
        <v>589</v>
      </c>
      <c r="E1097" s="136" t="s">
        <v>75</v>
      </c>
      <c r="F1097" s="10" t="s">
        <v>1594</v>
      </c>
      <c r="G1097" s="10" t="s">
        <v>1612</v>
      </c>
      <c r="H1097" s="137">
        <v>296</v>
      </c>
      <c r="I1097" s="138" t="s">
        <v>1623</v>
      </c>
      <c r="J1097" s="10">
        <v>5511</v>
      </c>
      <c r="K1097" s="136" t="s">
        <v>106</v>
      </c>
      <c r="L1097" s="10">
        <v>55</v>
      </c>
      <c r="M1097" s="10" t="s">
        <v>2219</v>
      </c>
      <c r="N1097" s="136" t="s">
        <v>131</v>
      </c>
      <c r="O1097" s="136" t="s">
        <v>549</v>
      </c>
      <c r="P1097" s="136" t="s">
        <v>85</v>
      </c>
    </row>
    <row r="1098" spans="1:16" x14ac:dyDescent="0.25">
      <c r="A1098" s="139" t="s">
        <v>801</v>
      </c>
      <c r="B1098" s="139" t="s">
        <v>372</v>
      </c>
      <c r="C1098" s="140" t="s">
        <v>373</v>
      </c>
      <c r="D1098" s="140" t="s">
        <v>589</v>
      </c>
      <c r="E1098" s="140" t="s">
        <v>75</v>
      </c>
      <c r="F1098" s="139" t="s">
        <v>1594</v>
      </c>
      <c r="G1098" s="139" t="s">
        <v>1613</v>
      </c>
      <c r="H1098" s="141">
        <v>180</v>
      </c>
      <c r="I1098" s="142" t="s">
        <v>1622</v>
      </c>
      <c r="J1098" s="139">
        <v>5511</v>
      </c>
      <c r="K1098" s="140" t="s">
        <v>106</v>
      </c>
      <c r="L1098" s="139">
        <v>55</v>
      </c>
      <c r="M1098" s="139" t="s">
        <v>2219</v>
      </c>
      <c r="N1098" s="140" t="s">
        <v>131</v>
      </c>
      <c r="O1098" s="140" t="s">
        <v>549</v>
      </c>
      <c r="P1098" s="140" t="s">
        <v>85</v>
      </c>
    </row>
    <row r="1099" spans="1:16" x14ac:dyDescent="0.25">
      <c r="A1099" s="10" t="s">
        <v>801</v>
      </c>
      <c r="B1099" s="10" t="s">
        <v>372</v>
      </c>
      <c r="C1099" s="136" t="s">
        <v>373</v>
      </c>
      <c r="D1099" s="136" t="s">
        <v>589</v>
      </c>
      <c r="E1099" s="136" t="s">
        <v>75</v>
      </c>
      <c r="F1099" s="10" t="s">
        <v>1594</v>
      </c>
      <c r="G1099" s="10" t="s">
        <v>1626</v>
      </c>
      <c r="H1099" s="137">
        <v>1100</v>
      </c>
      <c r="I1099" s="138"/>
      <c r="J1099" s="10">
        <v>5514</v>
      </c>
      <c r="K1099" s="136" t="s">
        <v>110</v>
      </c>
      <c r="L1099" s="10">
        <v>55</v>
      </c>
      <c r="M1099" s="10" t="s">
        <v>2219</v>
      </c>
      <c r="N1099" s="136" t="s">
        <v>131</v>
      </c>
      <c r="O1099" s="136" t="s">
        <v>549</v>
      </c>
      <c r="P1099" s="136" t="s">
        <v>85</v>
      </c>
    </row>
    <row r="1100" spans="1:16" x14ac:dyDescent="0.25">
      <c r="A1100" s="139" t="s">
        <v>801</v>
      </c>
      <c r="B1100" s="140" t="s">
        <v>374</v>
      </c>
      <c r="C1100" s="140" t="s">
        <v>375</v>
      </c>
      <c r="D1100" s="140" t="s">
        <v>589</v>
      </c>
      <c r="E1100" s="140" t="s">
        <v>75</v>
      </c>
      <c r="F1100" s="139" t="s">
        <v>1641</v>
      </c>
      <c r="G1100" s="139" t="s">
        <v>400</v>
      </c>
      <c r="H1100" s="141">
        <v>120</v>
      </c>
      <c r="I1100" s="142"/>
      <c r="J1100" s="139">
        <v>5500</v>
      </c>
      <c r="K1100" s="140" t="s">
        <v>100</v>
      </c>
      <c r="L1100" s="139">
        <v>55</v>
      </c>
      <c r="M1100" s="139" t="s">
        <v>2219</v>
      </c>
      <c r="N1100" s="140" t="s">
        <v>131</v>
      </c>
      <c r="O1100" s="140" t="s">
        <v>549</v>
      </c>
      <c r="P1100" s="140" t="s">
        <v>85</v>
      </c>
    </row>
    <row r="1101" spans="1:16" x14ac:dyDescent="0.25">
      <c r="A1101" s="10" t="s">
        <v>801</v>
      </c>
      <c r="B1101" s="136" t="s">
        <v>374</v>
      </c>
      <c r="C1101" s="136" t="s">
        <v>375</v>
      </c>
      <c r="D1101" s="136" t="s">
        <v>589</v>
      </c>
      <c r="E1101" s="136" t="s">
        <v>75</v>
      </c>
      <c r="F1101" s="10" t="s">
        <v>1641</v>
      </c>
      <c r="G1101" s="10" t="s">
        <v>1643</v>
      </c>
      <c r="H1101" s="137">
        <v>170</v>
      </c>
      <c r="I1101" s="138"/>
      <c r="J1101" s="10">
        <v>5500</v>
      </c>
      <c r="K1101" s="136" t="s">
        <v>100</v>
      </c>
      <c r="L1101" s="10">
        <v>55</v>
      </c>
      <c r="M1101" s="10" t="s">
        <v>2219</v>
      </c>
      <c r="N1101" s="136" t="s">
        <v>131</v>
      </c>
      <c r="O1101" s="136" t="s">
        <v>549</v>
      </c>
      <c r="P1101" s="136" t="s">
        <v>85</v>
      </c>
    </row>
    <row r="1102" spans="1:16" x14ac:dyDescent="0.25">
      <c r="A1102" s="139" t="s">
        <v>801</v>
      </c>
      <c r="B1102" s="140" t="s">
        <v>374</v>
      </c>
      <c r="C1102" s="140" t="s">
        <v>375</v>
      </c>
      <c r="D1102" s="140" t="s">
        <v>589</v>
      </c>
      <c r="E1102" s="140" t="s">
        <v>75</v>
      </c>
      <c r="F1102" s="139" t="s">
        <v>1641</v>
      </c>
      <c r="G1102" s="139" t="s">
        <v>1644</v>
      </c>
      <c r="H1102" s="141">
        <v>200</v>
      </c>
      <c r="I1102" s="142"/>
      <c r="J1102" s="139">
        <v>5500</v>
      </c>
      <c r="K1102" s="140" t="s">
        <v>100</v>
      </c>
      <c r="L1102" s="139">
        <v>55</v>
      </c>
      <c r="M1102" s="139" t="s">
        <v>2219</v>
      </c>
      <c r="N1102" s="140" t="s">
        <v>131</v>
      </c>
      <c r="O1102" s="140" t="s">
        <v>549</v>
      </c>
      <c r="P1102" s="140" t="s">
        <v>85</v>
      </c>
    </row>
    <row r="1103" spans="1:16" x14ac:dyDescent="0.25">
      <c r="A1103" s="10" t="s">
        <v>801</v>
      </c>
      <c r="B1103" s="136" t="s">
        <v>374</v>
      </c>
      <c r="C1103" s="136" t="s">
        <v>375</v>
      </c>
      <c r="D1103" s="136" t="s">
        <v>589</v>
      </c>
      <c r="E1103" s="136" t="s">
        <v>75</v>
      </c>
      <c r="F1103" s="10" t="s">
        <v>1641</v>
      </c>
      <c r="G1103" s="10" t="s">
        <v>1521</v>
      </c>
      <c r="H1103" s="137">
        <v>650</v>
      </c>
      <c r="I1103" s="138"/>
      <c r="J1103" s="10">
        <v>5504</v>
      </c>
      <c r="K1103" s="136" t="s">
        <v>102</v>
      </c>
      <c r="L1103" s="10">
        <v>55</v>
      </c>
      <c r="M1103" s="10" t="s">
        <v>2219</v>
      </c>
      <c r="N1103" s="136" t="s">
        <v>131</v>
      </c>
      <c r="O1103" s="136" t="s">
        <v>549</v>
      </c>
      <c r="P1103" s="136" t="s">
        <v>85</v>
      </c>
    </row>
    <row r="1104" spans="1:16" x14ac:dyDescent="0.25">
      <c r="A1104" s="139" t="s">
        <v>801</v>
      </c>
      <c r="B1104" s="140" t="s">
        <v>374</v>
      </c>
      <c r="C1104" s="140" t="s">
        <v>375</v>
      </c>
      <c r="D1104" s="140" t="s">
        <v>589</v>
      </c>
      <c r="E1104" s="140" t="s">
        <v>75</v>
      </c>
      <c r="F1104" s="139" t="s">
        <v>1641</v>
      </c>
      <c r="G1104" s="139" t="s">
        <v>1650</v>
      </c>
      <c r="H1104" s="141">
        <v>1650</v>
      </c>
      <c r="I1104" s="142" t="s">
        <v>1651</v>
      </c>
      <c r="J1104" s="139">
        <v>5513</v>
      </c>
      <c r="K1104" s="140" t="s">
        <v>111</v>
      </c>
      <c r="L1104" s="139">
        <v>55</v>
      </c>
      <c r="M1104" s="139" t="s">
        <v>2219</v>
      </c>
      <c r="N1104" s="140" t="s">
        <v>131</v>
      </c>
      <c r="O1104" s="140" t="s">
        <v>549</v>
      </c>
      <c r="P1104" s="140" t="s">
        <v>85</v>
      </c>
    </row>
    <row r="1105" spans="1:16" x14ac:dyDescent="0.25">
      <c r="A1105" s="10" t="s">
        <v>801</v>
      </c>
      <c r="B1105" s="136" t="s">
        <v>374</v>
      </c>
      <c r="C1105" s="136" t="s">
        <v>375</v>
      </c>
      <c r="D1105" s="136" t="s">
        <v>589</v>
      </c>
      <c r="E1105" s="136" t="s">
        <v>75</v>
      </c>
      <c r="F1105" s="10" t="s">
        <v>1641</v>
      </c>
      <c r="G1105" s="10" t="s">
        <v>1654</v>
      </c>
      <c r="H1105" s="137">
        <v>600</v>
      </c>
      <c r="I1105" s="138"/>
      <c r="J1105" s="10">
        <v>5515</v>
      </c>
      <c r="K1105" s="136" t="s">
        <v>112</v>
      </c>
      <c r="L1105" s="10">
        <v>55</v>
      </c>
      <c r="M1105" s="10" t="s">
        <v>2219</v>
      </c>
      <c r="N1105" s="136" t="s">
        <v>131</v>
      </c>
      <c r="O1105" s="136" t="s">
        <v>549</v>
      </c>
      <c r="P1105" s="136" t="s">
        <v>85</v>
      </c>
    </row>
    <row r="1106" spans="1:16" x14ac:dyDescent="0.25">
      <c r="A1106" s="139" t="s">
        <v>801</v>
      </c>
      <c r="B1106" s="140" t="s">
        <v>374</v>
      </c>
      <c r="C1106" s="140" t="s">
        <v>375</v>
      </c>
      <c r="D1106" s="140" t="s">
        <v>589</v>
      </c>
      <c r="E1106" s="140" t="s">
        <v>75</v>
      </c>
      <c r="F1106" s="139" t="s">
        <v>1641</v>
      </c>
      <c r="G1106" s="139" t="s">
        <v>1655</v>
      </c>
      <c r="H1106" s="141">
        <v>230</v>
      </c>
      <c r="I1106" s="142"/>
      <c r="J1106" s="139">
        <v>5515</v>
      </c>
      <c r="K1106" s="140" t="s">
        <v>112</v>
      </c>
      <c r="L1106" s="139">
        <v>55</v>
      </c>
      <c r="M1106" s="139" t="s">
        <v>2219</v>
      </c>
      <c r="N1106" s="140" t="s">
        <v>131</v>
      </c>
      <c r="O1106" s="140" t="s">
        <v>549</v>
      </c>
      <c r="P1106" s="140" t="s">
        <v>85</v>
      </c>
    </row>
    <row r="1107" spans="1:16" x14ac:dyDescent="0.25">
      <c r="A1107" s="10" t="s">
        <v>801</v>
      </c>
      <c r="B1107" s="136" t="s">
        <v>374</v>
      </c>
      <c r="C1107" s="136" t="s">
        <v>375</v>
      </c>
      <c r="D1107" s="136" t="s">
        <v>589</v>
      </c>
      <c r="E1107" s="136" t="s">
        <v>75</v>
      </c>
      <c r="F1107" s="10" t="s">
        <v>1641</v>
      </c>
      <c r="G1107" s="10" t="s">
        <v>1656</v>
      </c>
      <c r="H1107" s="137">
        <v>600</v>
      </c>
      <c r="I1107" s="138"/>
      <c r="J1107" s="10">
        <v>5515</v>
      </c>
      <c r="K1107" s="136" t="s">
        <v>112</v>
      </c>
      <c r="L1107" s="10">
        <v>55</v>
      </c>
      <c r="M1107" s="10" t="s">
        <v>2219</v>
      </c>
      <c r="N1107" s="136" t="s">
        <v>131</v>
      </c>
      <c r="O1107" s="136" t="s">
        <v>549</v>
      </c>
      <c r="P1107" s="136" t="s">
        <v>85</v>
      </c>
    </row>
    <row r="1108" spans="1:16" x14ac:dyDescent="0.25">
      <c r="A1108" s="139" t="s">
        <v>801</v>
      </c>
      <c r="B1108" s="140" t="s">
        <v>374</v>
      </c>
      <c r="C1108" s="140" t="s">
        <v>375</v>
      </c>
      <c r="D1108" s="140" t="s">
        <v>589</v>
      </c>
      <c r="E1108" s="140" t="s">
        <v>75</v>
      </c>
      <c r="F1108" s="139" t="s">
        <v>1641</v>
      </c>
      <c r="G1108" s="139" t="s">
        <v>1657</v>
      </c>
      <c r="H1108" s="141">
        <v>500</v>
      </c>
      <c r="I1108" s="142"/>
      <c r="J1108" s="139">
        <v>5515</v>
      </c>
      <c r="K1108" s="140" t="s">
        <v>112</v>
      </c>
      <c r="L1108" s="139">
        <v>55</v>
      </c>
      <c r="M1108" s="139" t="s">
        <v>2219</v>
      </c>
      <c r="N1108" s="140" t="s">
        <v>131</v>
      </c>
      <c r="O1108" s="140" t="s">
        <v>549</v>
      </c>
      <c r="P1108" s="140" t="s">
        <v>85</v>
      </c>
    </row>
    <row r="1109" spans="1:16" x14ac:dyDescent="0.25">
      <c r="A1109" s="10" t="s">
        <v>801</v>
      </c>
      <c r="B1109" s="136" t="s">
        <v>374</v>
      </c>
      <c r="C1109" s="136" t="s">
        <v>375</v>
      </c>
      <c r="D1109" s="136" t="s">
        <v>589</v>
      </c>
      <c r="E1109" s="136" t="s">
        <v>75</v>
      </c>
      <c r="F1109" s="10" t="s">
        <v>1641</v>
      </c>
      <c r="G1109" s="10" t="s">
        <v>1658</v>
      </c>
      <c r="H1109" s="137">
        <v>0</v>
      </c>
      <c r="I1109" s="138" t="s">
        <v>2147</v>
      </c>
      <c r="J1109" s="10">
        <v>5515</v>
      </c>
      <c r="K1109" s="136" t="s">
        <v>112</v>
      </c>
      <c r="L1109" s="10">
        <v>55</v>
      </c>
      <c r="M1109" s="10" t="s">
        <v>2219</v>
      </c>
      <c r="N1109" s="136" t="s">
        <v>131</v>
      </c>
      <c r="O1109" s="136" t="s">
        <v>549</v>
      </c>
      <c r="P1109" s="136" t="s">
        <v>85</v>
      </c>
    </row>
    <row r="1110" spans="1:16" x14ac:dyDescent="0.25">
      <c r="A1110" s="139" t="s">
        <v>801</v>
      </c>
      <c r="B1110" s="140" t="s">
        <v>374</v>
      </c>
      <c r="C1110" s="140" t="s">
        <v>375</v>
      </c>
      <c r="D1110" s="140" t="s">
        <v>589</v>
      </c>
      <c r="E1110" s="140" t="s">
        <v>75</v>
      </c>
      <c r="F1110" s="139" t="s">
        <v>1641</v>
      </c>
      <c r="G1110" s="139" t="s">
        <v>1659</v>
      </c>
      <c r="H1110" s="141">
        <v>200</v>
      </c>
      <c r="I1110" s="142"/>
      <c r="J1110" s="139">
        <v>5515</v>
      </c>
      <c r="K1110" s="140" t="s">
        <v>112</v>
      </c>
      <c r="L1110" s="139">
        <v>55</v>
      </c>
      <c r="M1110" s="139" t="s">
        <v>2219</v>
      </c>
      <c r="N1110" s="140" t="s">
        <v>131</v>
      </c>
      <c r="O1110" s="140" t="s">
        <v>549</v>
      </c>
      <c r="P1110" s="140" t="s">
        <v>85</v>
      </c>
    </row>
    <row r="1111" spans="1:16" x14ac:dyDescent="0.25">
      <c r="A1111" s="10" t="s">
        <v>801</v>
      </c>
      <c r="B1111" s="136" t="s">
        <v>374</v>
      </c>
      <c r="C1111" s="136" t="s">
        <v>375</v>
      </c>
      <c r="D1111" s="136" t="s">
        <v>589</v>
      </c>
      <c r="E1111" s="136" t="s">
        <v>75</v>
      </c>
      <c r="F1111" s="10" t="s">
        <v>1641</v>
      </c>
      <c r="G1111" s="10" t="s">
        <v>1660</v>
      </c>
      <c r="H1111" s="137">
        <v>0</v>
      </c>
      <c r="I1111" s="138" t="s">
        <v>2147</v>
      </c>
      <c r="J1111" s="10">
        <v>5515</v>
      </c>
      <c r="K1111" s="136" t="s">
        <v>112</v>
      </c>
      <c r="L1111" s="10">
        <v>55</v>
      </c>
      <c r="M1111" s="10" t="s">
        <v>2219</v>
      </c>
      <c r="N1111" s="136" t="s">
        <v>131</v>
      </c>
      <c r="O1111" s="136" t="s">
        <v>549</v>
      </c>
      <c r="P1111" s="136" t="s">
        <v>85</v>
      </c>
    </row>
    <row r="1112" spans="1:16" x14ac:dyDescent="0.25">
      <c r="A1112" s="139" t="s">
        <v>801</v>
      </c>
      <c r="B1112" s="140" t="s">
        <v>374</v>
      </c>
      <c r="C1112" s="140" t="s">
        <v>375</v>
      </c>
      <c r="D1112" s="140" t="s">
        <v>589</v>
      </c>
      <c r="E1112" s="140" t="s">
        <v>75</v>
      </c>
      <c r="F1112" s="139" t="s">
        <v>1641</v>
      </c>
      <c r="G1112" s="139" t="s">
        <v>1138</v>
      </c>
      <c r="H1112" s="141">
        <v>24012</v>
      </c>
      <c r="I1112" s="142"/>
      <c r="J1112" s="139">
        <v>5521</v>
      </c>
      <c r="K1112" s="140" t="s">
        <v>114</v>
      </c>
      <c r="L1112" s="139">
        <v>55</v>
      </c>
      <c r="M1112" s="139" t="s">
        <v>2219</v>
      </c>
      <c r="N1112" s="140" t="s">
        <v>131</v>
      </c>
      <c r="O1112" s="140" t="s">
        <v>549</v>
      </c>
      <c r="P1112" s="140" t="s">
        <v>85</v>
      </c>
    </row>
    <row r="1113" spans="1:16" x14ac:dyDescent="0.25">
      <c r="A1113" s="10" t="s">
        <v>801</v>
      </c>
      <c r="B1113" s="136" t="s">
        <v>374</v>
      </c>
      <c r="C1113" s="136" t="s">
        <v>375</v>
      </c>
      <c r="D1113" s="136" t="s">
        <v>589</v>
      </c>
      <c r="E1113" s="136" t="s">
        <v>75</v>
      </c>
      <c r="F1113" s="10" t="s">
        <v>1641</v>
      </c>
      <c r="G1113" s="10" t="s">
        <v>1661</v>
      </c>
      <c r="H1113" s="137">
        <v>2200</v>
      </c>
      <c r="I1113" s="138"/>
      <c r="J1113" s="10">
        <v>5521</v>
      </c>
      <c r="K1113" s="136" t="s">
        <v>114</v>
      </c>
      <c r="L1113" s="10">
        <v>55</v>
      </c>
      <c r="M1113" s="10" t="s">
        <v>2219</v>
      </c>
      <c r="N1113" s="136" t="s">
        <v>131</v>
      </c>
      <c r="O1113" s="136" t="s">
        <v>549</v>
      </c>
      <c r="P1113" s="136" t="s">
        <v>85</v>
      </c>
    </row>
    <row r="1114" spans="1:16" x14ac:dyDescent="0.25">
      <c r="A1114" s="139" t="s">
        <v>801</v>
      </c>
      <c r="B1114" s="140" t="s">
        <v>374</v>
      </c>
      <c r="C1114" s="140" t="s">
        <v>375</v>
      </c>
      <c r="D1114" s="140" t="s">
        <v>589</v>
      </c>
      <c r="E1114" s="140" t="s">
        <v>75</v>
      </c>
      <c r="F1114" s="139" t="s">
        <v>1641</v>
      </c>
      <c r="G1114" s="139" t="s">
        <v>1662</v>
      </c>
      <c r="H1114" s="141">
        <v>200</v>
      </c>
      <c r="I1114" s="142"/>
      <c r="J1114" s="139">
        <v>5522</v>
      </c>
      <c r="K1114" s="140" t="s">
        <v>115</v>
      </c>
      <c r="L1114" s="139">
        <v>55</v>
      </c>
      <c r="M1114" s="139" t="s">
        <v>2219</v>
      </c>
      <c r="N1114" s="140" t="s">
        <v>131</v>
      </c>
      <c r="O1114" s="140" t="s">
        <v>549</v>
      </c>
      <c r="P1114" s="140" t="s">
        <v>85</v>
      </c>
    </row>
    <row r="1115" spans="1:16" x14ac:dyDescent="0.25">
      <c r="A1115" s="10" t="s">
        <v>801</v>
      </c>
      <c r="B1115" s="136" t="s">
        <v>374</v>
      </c>
      <c r="C1115" s="136" t="s">
        <v>375</v>
      </c>
      <c r="D1115" s="136" t="s">
        <v>589</v>
      </c>
      <c r="E1115" s="136" t="s">
        <v>75</v>
      </c>
      <c r="F1115" s="10" t="s">
        <v>1641</v>
      </c>
      <c r="G1115" s="10" t="s">
        <v>1663</v>
      </c>
      <c r="H1115" s="137">
        <v>0</v>
      </c>
      <c r="I1115" s="138" t="s">
        <v>2147</v>
      </c>
      <c r="J1115" s="10">
        <v>5511</v>
      </c>
      <c r="K1115" s="136" t="s">
        <v>106</v>
      </c>
      <c r="L1115" s="10">
        <v>55</v>
      </c>
      <c r="M1115" s="10" t="s">
        <v>2219</v>
      </c>
      <c r="N1115" s="136" t="s">
        <v>131</v>
      </c>
      <c r="O1115" s="136" t="s">
        <v>549</v>
      </c>
      <c r="P1115" s="136" t="s">
        <v>85</v>
      </c>
    </row>
    <row r="1116" spans="1:16" x14ac:dyDescent="0.25">
      <c r="A1116" s="139" t="s">
        <v>801</v>
      </c>
      <c r="B1116" s="140" t="s">
        <v>374</v>
      </c>
      <c r="C1116" s="140" t="s">
        <v>375</v>
      </c>
      <c r="D1116" s="140" t="s">
        <v>589</v>
      </c>
      <c r="E1116" s="140" t="s">
        <v>75</v>
      </c>
      <c r="F1116" s="139" t="s">
        <v>1641</v>
      </c>
      <c r="G1116" s="139" t="s">
        <v>1664</v>
      </c>
      <c r="H1116" s="141">
        <v>1600</v>
      </c>
      <c r="I1116" s="142"/>
      <c r="J1116" s="139">
        <v>5525</v>
      </c>
      <c r="K1116" s="140" t="s">
        <v>118</v>
      </c>
      <c r="L1116" s="139">
        <v>55</v>
      </c>
      <c r="M1116" s="139" t="s">
        <v>2219</v>
      </c>
      <c r="N1116" s="140" t="s">
        <v>131</v>
      </c>
      <c r="O1116" s="140" t="s">
        <v>549</v>
      </c>
      <c r="P1116" s="140" t="s">
        <v>85</v>
      </c>
    </row>
    <row r="1117" spans="1:16" x14ac:dyDescent="0.25">
      <c r="A1117" s="10" t="s">
        <v>801</v>
      </c>
      <c r="B1117" s="136" t="s">
        <v>374</v>
      </c>
      <c r="C1117" s="136" t="s">
        <v>375</v>
      </c>
      <c r="D1117" s="136" t="s">
        <v>589</v>
      </c>
      <c r="E1117" s="136" t="s">
        <v>75</v>
      </c>
      <c r="F1117" s="10" t="s">
        <v>1641</v>
      </c>
      <c r="G1117" s="10" t="s">
        <v>1665</v>
      </c>
      <c r="H1117" s="137">
        <v>500</v>
      </c>
      <c r="I1117" s="138"/>
      <c r="J1117" s="10">
        <v>5532</v>
      </c>
      <c r="K1117" s="136" t="s">
        <v>120</v>
      </c>
      <c r="L1117" s="10">
        <v>55</v>
      </c>
      <c r="M1117" s="10" t="s">
        <v>2219</v>
      </c>
      <c r="N1117" s="136" t="s">
        <v>131</v>
      </c>
      <c r="O1117" s="136" t="s">
        <v>549</v>
      </c>
      <c r="P1117" s="136" t="s">
        <v>85</v>
      </c>
    </row>
    <row r="1118" spans="1:16" x14ac:dyDescent="0.25">
      <c r="A1118" s="139" t="s">
        <v>801</v>
      </c>
      <c r="B1118" s="140" t="s">
        <v>374</v>
      </c>
      <c r="C1118" s="140" t="s">
        <v>375</v>
      </c>
      <c r="D1118" s="140" t="s">
        <v>589</v>
      </c>
      <c r="E1118" s="140" t="s">
        <v>75</v>
      </c>
      <c r="F1118" s="139" t="s">
        <v>1641</v>
      </c>
      <c r="G1118" s="139" t="s">
        <v>1667</v>
      </c>
      <c r="H1118" s="141">
        <v>300</v>
      </c>
      <c r="I1118" s="142"/>
      <c r="J1118" s="139">
        <v>5526</v>
      </c>
      <c r="K1118" s="140" t="s">
        <v>119</v>
      </c>
      <c r="L1118" s="139">
        <v>55</v>
      </c>
      <c r="M1118" s="139" t="s">
        <v>2219</v>
      </c>
      <c r="N1118" s="140" t="s">
        <v>131</v>
      </c>
      <c r="O1118" s="140" t="s">
        <v>549</v>
      </c>
      <c r="P1118" s="140" t="s">
        <v>85</v>
      </c>
    </row>
    <row r="1119" spans="1:16" x14ac:dyDescent="0.25">
      <c r="A1119" s="10" t="s">
        <v>801</v>
      </c>
      <c r="B1119" s="136" t="s">
        <v>374</v>
      </c>
      <c r="C1119" s="136" t="s">
        <v>375</v>
      </c>
      <c r="D1119" s="136" t="s">
        <v>589</v>
      </c>
      <c r="E1119" s="136" t="s">
        <v>75</v>
      </c>
      <c r="F1119" s="10" t="s">
        <v>1641</v>
      </c>
      <c r="G1119" s="10" t="s">
        <v>1668</v>
      </c>
      <c r="H1119" s="137">
        <v>1000</v>
      </c>
      <c r="I1119" s="138" t="s">
        <v>1666</v>
      </c>
      <c r="J1119" s="10">
        <v>5526</v>
      </c>
      <c r="K1119" s="136" t="s">
        <v>119</v>
      </c>
      <c r="L1119" s="10">
        <v>55</v>
      </c>
      <c r="M1119" s="10" t="s">
        <v>2219</v>
      </c>
      <c r="N1119" s="136" t="s">
        <v>131</v>
      </c>
      <c r="O1119" s="136" t="s">
        <v>549</v>
      </c>
      <c r="P1119" s="136" t="s">
        <v>85</v>
      </c>
    </row>
    <row r="1120" spans="1:16" x14ac:dyDescent="0.25">
      <c r="A1120" s="139" t="s">
        <v>801</v>
      </c>
      <c r="B1120" s="140" t="s">
        <v>374</v>
      </c>
      <c r="C1120" s="140" t="s">
        <v>375</v>
      </c>
      <c r="D1120" s="140" t="s">
        <v>589</v>
      </c>
      <c r="E1120" s="140" t="s">
        <v>75</v>
      </c>
      <c r="F1120" s="139" t="s">
        <v>1641</v>
      </c>
      <c r="G1120" s="139" t="s">
        <v>1649</v>
      </c>
      <c r="H1120" s="141">
        <v>9000</v>
      </c>
      <c r="I1120" s="142"/>
      <c r="J1120" s="139">
        <v>5511</v>
      </c>
      <c r="K1120" s="140" t="s">
        <v>106</v>
      </c>
      <c r="L1120" s="139">
        <v>55</v>
      </c>
      <c r="M1120" s="139" t="s">
        <v>2219</v>
      </c>
      <c r="N1120" s="140" t="s">
        <v>131</v>
      </c>
      <c r="O1120" s="140" t="s">
        <v>549</v>
      </c>
      <c r="P1120" s="140" t="s">
        <v>85</v>
      </c>
    </row>
    <row r="1121" spans="1:16" x14ac:dyDescent="0.25">
      <c r="A1121" s="10" t="s">
        <v>801</v>
      </c>
      <c r="B1121" s="136" t="s">
        <v>374</v>
      </c>
      <c r="C1121" s="136" t="s">
        <v>375</v>
      </c>
      <c r="D1121" s="136" t="s">
        <v>589</v>
      </c>
      <c r="E1121" s="136" t="s">
        <v>75</v>
      </c>
      <c r="F1121" s="10" t="s">
        <v>1641</v>
      </c>
      <c r="G1121" s="10" t="s">
        <v>178</v>
      </c>
      <c r="H1121" s="137">
        <v>6000</v>
      </c>
      <c r="I1121" s="138"/>
      <c r="J1121" s="10">
        <v>5511</v>
      </c>
      <c r="K1121" s="136" t="s">
        <v>106</v>
      </c>
      <c r="L1121" s="10">
        <v>55</v>
      </c>
      <c r="M1121" s="10" t="s">
        <v>2219</v>
      </c>
      <c r="N1121" s="136" t="s">
        <v>131</v>
      </c>
      <c r="O1121" s="136" t="s">
        <v>549</v>
      </c>
      <c r="P1121" s="136" t="s">
        <v>85</v>
      </c>
    </row>
    <row r="1122" spans="1:16" x14ac:dyDescent="0.25">
      <c r="A1122" s="139" t="s">
        <v>801</v>
      </c>
      <c r="B1122" s="140" t="s">
        <v>374</v>
      </c>
      <c r="C1122" s="140" t="s">
        <v>375</v>
      </c>
      <c r="D1122" s="140" t="s">
        <v>589</v>
      </c>
      <c r="E1122" s="140" t="s">
        <v>75</v>
      </c>
      <c r="F1122" s="139" t="s">
        <v>1641</v>
      </c>
      <c r="G1122" s="139" t="s">
        <v>443</v>
      </c>
      <c r="H1122" s="141">
        <v>2400</v>
      </c>
      <c r="I1122" s="142"/>
      <c r="J1122" s="139">
        <v>5511</v>
      </c>
      <c r="K1122" s="140" t="s">
        <v>106</v>
      </c>
      <c r="L1122" s="139">
        <v>55</v>
      </c>
      <c r="M1122" s="139" t="s">
        <v>2219</v>
      </c>
      <c r="N1122" s="140" t="s">
        <v>131</v>
      </c>
      <c r="O1122" s="140" t="s">
        <v>549</v>
      </c>
      <c r="P1122" s="140" t="s">
        <v>85</v>
      </c>
    </row>
    <row r="1123" spans="1:16" x14ac:dyDescent="0.25">
      <c r="A1123" s="10" t="s">
        <v>801</v>
      </c>
      <c r="B1123" s="136" t="s">
        <v>374</v>
      </c>
      <c r="C1123" s="136" t="s">
        <v>375</v>
      </c>
      <c r="D1123" s="136" t="s">
        <v>589</v>
      </c>
      <c r="E1123" s="136" t="s">
        <v>75</v>
      </c>
      <c r="F1123" s="10" t="s">
        <v>1641</v>
      </c>
      <c r="G1123" s="10" t="s">
        <v>1648</v>
      </c>
      <c r="H1123" s="137">
        <v>1000</v>
      </c>
      <c r="I1123" s="138"/>
      <c r="J1123" s="10">
        <v>5511</v>
      </c>
      <c r="K1123" s="136" t="s">
        <v>106</v>
      </c>
      <c r="L1123" s="10">
        <v>55</v>
      </c>
      <c r="M1123" s="10" t="s">
        <v>2219</v>
      </c>
      <c r="N1123" s="136" t="s">
        <v>131</v>
      </c>
      <c r="O1123" s="136" t="s">
        <v>549</v>
      </c>
      <c r="P1123" s="136" t="s">
        <v>85</v>
      </c>
    </row>
    <row r="1124" spans="1:16" x14ac:dyDescent="0.25">
      <c r="A1124" s="139" t="s">
        <v>801</v>
      </c>
      <c r="B1124" s="140" t="s">
        <v>374</v>
      </c>
      <c r="C1124" s="140" t="s">
        <v>375</v>
      </c>
      <c r="D1124" s="140" t="s">
        <v>589</v>
      </c>
      <c r="E1124" s="140" t="s">
        <v>75</v>
      </c>
      <c r="F1124" s="139" t="s">
        <v>1641</v>
      </c>
      <c r="G1124" s="139" t="s">
        <v>1647</v>
      </c>
      <c r="H1124" s="141">
        <v>900</v>
      </c>
      <c r="I1124" s="142"/>
      <c r="J1124" s="139">
        <v>5511</v>
      </c>
      <c r="K1124" s="140" t="s">
        <v>106</v>
      </c>
      <c r="L1124" s="139">
        <v>55</v>
      </c>
      <c r="M1124" s="139" t="s">
        <v>2219</v>
      </c>
      <c r="N1124" s="140" t="s">
        <v>131</v>
      </c>
      <c r="O1124" s="140" t="s">
        <v>549</v>
      </c>
      <c r="P1124" s="140" t="s">
        <v>85</v>
      </c>
    </row>
    <row r="1125" spans="1:16" x14ac:dyDescent="0.25">
      <c r="A1125" s="10" t="s">
        <v>801</v>
      </c>
      <c r="B1125" s="136" t="s">
        <v>374</v>
      </c>
      <c r="C1125" s="136" t="s">
        <v>375</v>
      </c>
      <c r="D1125" s="136" t="s">
        <v>589</v>
      </c>
      <c r="E1125" s="136" t="s">
        <v>75</v>
      </c>
      <c r="F1125" s="10" t="s">
        <v>1641</v>
      </c>
      <c r="G1125" s="10" t="s">
        <v>1646</v>
      </c>
      <c r="H1125" s="137">
        <v>6000</v>
      </c>
      <c r="I1125" s="138"/>
      <c r="J1125" s="10">
        <v>5511</v>
      </c>
      <c r="K1125" s="136" t="s">
        <v>106</v>
      </c>
      <c r="L1125" s="10">
        <v>55</v>
      </c>
      <c r="M1125" s="10" t="s">
        <v>2219</v>
      </c>
      <c r="N1125" s="136" t="s">
        <v>131</v>
      </c>
      <c r="O1125" s="136" t="s">
        <v>549</v>
      </c>
      <c r="P1125" s="136" t="s">
        <v>85</v>
      </c>
    </row>
    <row r="1126" spans="1:16" x14ac:dyDescent="0.25">
      <c r="A1126" s="139" t="s">
        <v>801</v>
      </c>
      <c r="B1126" s="140" t="s">
        <v>374</v>
      </c>
      <c r="C1126" s="140" t="s">
        <v>375</v>
      </c>
      <c r="D1126" s="140" t="s">
        <v>589</v>
      </c>
      <c r="E1126" s="140" t="s">
        <v>75</v>
      </c>
      <c r="F1126" s="139" t="s">
        <v>1641</v>
      </c>
      <c r="G1126" s="139" t="s">
        <v>1645</v>
      </c>
      <c r="H1126" s="141">
        <v>180</v>
      </c>
      <c r="I1126" s="142"/>
      <c r="J1126" s="139">
        <v>5511</v>
      </c>
      <c r="K1126" s="140" t="s">
        <v>106</v>
      </c>
      <c r="L1126" s="139">
        <v>55</v>
      </c>
      <c r="M1126" s="139" t="s">
        <v>2219</v>
      </c>
      <c r="N1126" s="140" t="s">
        <v>131</v>
      </c>
      <c r="O1126" s="140" t="s">
        <v>549</v>
      </c>
      <c r="P1126" s="140" t="s">
        <v>85</v>
      </c>
    </row>
    <row r="1127" spans="1:16" x14ac:dyDescent="0.25">
      <c r="A1127" s="10" t="s">
        <v>801</v>
      </c>
      <c r="B1127" s="136" t="s">
        <v>374</v>
      </c>
      <c r="C1127" s="136" t="s">
        <v>375</v>
      </c>
      <c r="D1127" s="136" t="s">
        <v>589</v>
      </c>
      <c r="E1127" s="136" t="s">
        <v>75</v>
      </c>
      <c r="F1127" s="10" t="s">
        <v>1641</v>
      </c>
      <c r="G1127" s="10" t="s">
        <v>1653</v>
      </c>
      <c r="H1127" s="137">
        <v>650</v>
      </c>
      <c r="I1127" s="138"/>
      <c r="J1127" s="10">
        <v>5514</v>
      </c>
      <c r="K1127" s="136" t="s">
        <v>110</v>
      </c>
      <c r="L1127" s="10">
        <v>55</v>
      </c>
      <c r="M1127" s="10" t="s">
        <v>2219</v>
      </c>
      <c r="N1127" s="136" t="s">
        <v>131</v>
      </c>
      <c r="O1127" s="136" t="s">
        <v>549</v>
      </c>
      <c r="P1127" s="136" t="s">
        <v>85</v>
      </c>
    </row>
    <row r="1128" spans="1:16" x14ac:dyDescent="0.25">
      <c r="A1128" s="139" t="s">
        <v>801</v>
      </c>
      <c r="B1128" s="140" t="s">
        <v>374</v>
      </c>
      <c r="C1128" s="140" t="s">
        <v>375</v>
      </c>
      <c r="D1128" s="140" t="s">
        <v>589</v>
      </c>
      <c r="E1128" s="140" t="s">
        <v>75</v>
      </c>
      <c r="F1128" s="139" t="s">
        <v>1641</v>
      </c>
      <c r="G1128" s="139" t="s">
        <v>1652</v>
      </c>
      <c r="H1128" s="141">
        <v>100</v>
      </c>
      <c r="I1128" s="142"/>
      <c r="J1128" s="139">
        <v>5514</v>
      </c>
      <c r="K1128" s="140" t="s">
        <v>110</v>
      </c>
      <c r="L1128" s="139">
        <v>55</v>
      </c>
      <c r="M1128" s="139" t="s">
        <v>2219</v>
      </c>
      <c r="N1128" s="140" t="s">
        <v>131</v>
      </c>
      <c r="O1128" s="140" t="s">
        <v>549</v>
      </c>
      <c r="P1128" s="140" t="s">
        <v>85</v>
      </c>
    </row>
    <row r="1129" spans="1:16" x14ac:dyDescent="0.25">
      <c r="A1129" s="10" t="s">
        <v>801</v>
      </c>
      <c r="B1129" s="136" t="s">
        <v>374</v>
      </c>
      <c r="C1129" s="136" t="s">
        <v>375</v>
      </c>
      <c r="D1129" s="136" t="s">
        <v>589</v>
      </c>
      <c r="E1129" s="136" t="s">
        <v>75</v>
      </c>
      <c r="F1129" s="10" t="s">
        <v>1641</v>
      </c>
      <c r="G1129" s="10" t="s">
        <v>1661</v>
      </c>
      <c r="H1129" s="137">
        <v>-2200</v>
      </c>
      <c r="I1129" s="138" t="s">
        <v>2150</v>
      </c>
      <c r="J1129" s="10">
        <v>5521</v>
      </c>
      <c r="K1129" s="136" t="s">
        <v>114</v>
      </c>
      <c r="L1129" s="10">
        <v>55</v>
      </c>
      <c r="M1129" s="10" t="s">
        <v>2219</v>
      </c>
      <c r="N1129" s="136" t="s">
        <v>131</v>
      </c>
      <c r="O1129" s="136" t="s">
        <v>549</v>
      </c>
      <c r="P1129" s="136" t="s">
        <v>85</v>
      </c>
    </row>
    <row r="1130" spans="1:16" x14ac:dyDescent="0.25">
      <c r="A1130" s="139" t="s">
        <v>801</v>
      </c>
      <c r="B1130" s="140" t="s">
        <v>374</v>
      </c>
      <c r="C1130" s="140" t="s">
        <v>375</v>
      </c>
      <c r="D1130" s="140" t="s">
        <v>589</v>
      </c>
      <c r="E1130" s="140" t="s">
        <v>75</v>
      </c>
      <c r="F1130" s="139" t="s">
        <v>1641</v>
      </c>
      <c r="G1130" s="139" t="s">
        <v>1662</v>
      </c>
      <c r="H1130" s="141">
        <v>12000</v>
      </c>
      <c r="I1130" s="142"/>
      <c r="J1130" s="139">
        <v>5522</v>
      </c>
      <c r="K1130" s="140" t="s">
        <v>115</v>
      </c>
      <c r="L1130" s="139">
        <v>55</v>
      </c>
      <c r="M1130" s="139" t="s">
        <v>2219</v>
      </c>
      <c r="N1130" s="140" t="s">
        <v>131</v>
      </c>
      <c r="O1130" s="140" t="s">
        <v>549</v>
      </c>
      <c r="P1130" s="140" t="s">
        <v>85</v>
      </c>
    </row>
    <row r="1131" spans="1:16" x14ac:dyDescent="0.25">
      <c r="A1131" s="10" t="s">
        <v>801</v>
      </c>
      <c r="B1131" s="136" t="s">
        <v>374</v>
      </c>
      <c r="C1131" s="136" t="s">
        <v>375</v>
      </c>
      <c r="D1131" s="136" t="s">
        <v>589</v>
      </c>
      <c r="E1131" s="136" t="s">
        <v>75</v>
      </c>
      <c r="F1131" s="10" t="s">
        <v>1641</v>
      </c>
      <c r="G1131" s="10" t="s">
        <v>1662</v>
      </c>
      <c r="H1131" s="137">
        <v>-12000</v>
      </c>
      <c r="I1131" s="138" t="s">
        <v>2151</v>
      </c>
      <c r="J1131" s="10">
        <v>5522</v>
      </c>
      <c r="K1131" s="136" t="s">
        <v>115</v>
      </c>
      <c r="L1131" s="10">
        <v>55</v>
      </c>
      <c r="M1131" s="10" t="s">
        <v>2219</v>
      </c>
      <c r="N1131" s="136" t="s">
        <v>131</v>
      </c>
      <c r="O1131" s="136" t="s">
        <v>549</v>
      </c>
      <c r="P1131" s="136" t="s">
        <v>85</v>
      </c>
    </row>
    <row r="1132" spans="1:16" x14ac:dyDescent="0.25">
      <c r="A1132" s="139" t="s">
        <v>801</v>
      </c>
      <c r="B1132" s="139" t="s">
        <v>376</v>
      </c>
      <c r="C1132" s="140" t="s">
        <v>377</v>
      </c>
      <c r="D1132" s="140" t="s">
        <v>589</v>
      </c>
      <c r="E1132" s="140" t="s">
        <v>75</v>
      </c>
      <c r="F1132" s="139" t="s">
        <v>462</v>
      </c>
      <c r="G1132" s="139" t="s">
        <v>700</v>
      </c>
      <c r="H1132" s="141">
        <v>70000</v>
      </c>
      <c r="I1132" s="142"/>
      <c r="J1132" s="139">
        <v>5526</v>
      </c>
      <c r="K1132" s="140" t="s">
        <v>119</v>
      </c>
      <c r="L1132" s="139">
        <v>55</v>
      </c>
      <c r="M1132" s="139" t="s">
        <v>2219</v>
      </c>
      <c r="N1132" s="140" t="s">
        <v>131</v>
      </c>
      <c r="O1132" s="140" t="s">
        <v>549</v>
      </c>
      <c r="P1132" s="140" t="s">
        <v>85</v>
      </c>
    </row>
    <row r="1133" spans="1:16" x14ac:dyDescent="0.25">
      <c r="A1133" s="10" t="s">
        <v>801</v>
      </c>
      <c r="B1133" s="10" t="s">
        <v>378</v>
      </c>
      <c r="C1133" s="136" t="s">
        <v>379</v>
      </c>
      <c r="D1133" s="136" t="s">
        <v>589</v>
      </c>
      <c r="E1133" s="136" t="s">
        <v>75</v>
      </c>
      <c r="F1133" s="10" t="s">
        <v>437</v>
      </c>
      <c r="G1133" s="10" t="s">
        <v>438</v>
      </c>
      <c r="H1133" s="137">
        <v>40</v>
      </c>
      <c r="I1133" s="138"/>
      <c r="J1133" s="10">
        <v>5500</v>
      </c>
      <c r="K1133" s="136" t="s">
        <v>100</v>
      </c>
      <c r="L1133" s="10">
        <v>55</v>
      </c>
      <c r="M1133" s="10" t="s">
        <v>2219</v>
      </c>
      <c r="N1133" s="10" t="s">
        <v>131</v>
      </c>
      <c r="O1133" s="10" t="s">
        <v>549</v>
      </c>
      <c r="P1133" s="136" t="s">
        <v>85</v>
      </c>
    </row>
    <row r="1134" spans="1:16" x14ac:dyDescent="0.25">
      <c r="A1134" s="139" t="s">
        <v>801</v>
      </c>
      <c r="B1134" s="139" t="s">
        <v>378</v>
      </c>
      <c r="C1134" s="140" t="s">
        <v>379</v>
      </c>
      <c r="D1134" s="140" t="s">
        <v>589</v>
      </c>
      <c r="E1134" s="140" t="s">
        <v>75</v>
      </c>
      <c r="F1134" s="139" t="s">
        <v>437</v>
      </c>
      <c r="G1134" s="139" t="s">
        <v>439</v>
      </c>
      <c r="H1134" s="141">
        <v>50</v>
      </c>
      <c r="I1134" s="142"/>
      <c r="J1134" s="139">
        <v>5500</v>
      </c>
      <c r="K1134" s="140" t="s">
        <v>100</v>
      </c>
      <c r="L1134" s="139">
        <v>55</v>
      </c>
      <c r="M1134" s="139" t="s">
        <v>2219</v>
      </c>
      <c r="N1134" s="139" t="s">
        <v>131</v>
      </c>
      <c r="O1134" s="139" t="s">
        <v>549</v>
      </c>
      <c r="P1134" s="140" t="s">
        <v>85</v>
      </c>
    </row>
    <row r="1135" spans="1:16" x14ac:dyDescent="0.25">
      <c r="A1135" s="10" t="s">
        <v>801</v>
      </c>
      <c r="B1135" s="10" t="s">
        <v>378</v>
      </c>
      <c r="C1135" s="136" t="s">
        <v>379</v>
      </c>
      <c r="D1135" s="136" t="s">
        <v>589</v>
      </c>
      <c r="E1135" s="136" t="s">
        <v>75</v>
      </c>
      <c r="F1135" s="10" t="s">
        <v>437</v>
      </c>
      <c r="G1135" s="10" t="s">
        <v>440</v>
      </c>
      <c r="H1135" s="137">
        <v>200</v>
      </c>
      <c r="I1135" s="138"/>
      <c r="J1135" s="10">
        <v>5500</v>
      </c>
      <c r="K1135" s="136" t="s">
        <v>100</v>
      </c>
      <c r="L1135" s="10">
        <v>55</v>
      </c>
      <c r="M1135" s="10" t="s">
        <v>2219</v>
      </c>
      <c r="N1135" s="10" t="s">
        <v>131</v>
      </c>
      <c r="O1135" s="10" t="s">
        <v>549</v>
      </c>
      <c r="P1135" s="136" t="s">
        <v>85</v>
      </c>
    </row>
    <row r="1136" spans="1:16" x14ac:dyDescent="0.25">
      <c r="A1136" s="139" t="s">
        <v>801</v>
      </c>
      <c r="B1136" s="139" t="s">
        <v>378</v>
      </c>
      <c r="C1136" s="140" t="s">
        <v>379</v>
      </c>
      <c r="D1136" s="140" t="s">
        <v>589</v>
      </c>
      <c r="E1136" s="140" t="s">
        <v>75</v>
      </c>
      <c r="F1136" s="139" t="s">
        <v>437</v>
      </c>
      <c r="G1136" s="139" t="s">
        <v>102</v>
      </c>
      <c r="H1136" s="141">
        <v>50</v>
      </c>
      <c r="I1136" s="142"/>
      <c r="J1136" s="139">
        <v>5504</v>
      </c>
      <c r="K1136" s="140" t="s">
        <v>102</v>
      </c>
      <c r="L1136" s="139">
        <v>55</v>
      </c>
      <c r="M1136" s="139" t="s">
        <v>2219</v>
      </c>
      <c r="N1136" s="139" t="s">
        <v>131</v>
      </c>
      <c r="O1136" s="139" t="s">
        <v>549</v>
      </c>
      <c r="P1136" s="140" t="s">
        <v>85</v>
      </c>
    </row>
    <row r="1137" spans="1:16" x14ac:dyDescent="0.25">
      <c r="A1137" s="10" t="s">
        <v>801</v>
      </c>
      <c r="B1137" s="10" t="s">
        <v>378</v>
      </c>
      <c r="C1137" s="136" t="s">
        <v>379</v>
      </c>
      <c r="D1137" s="136" t="s">
        <v>589</v>
      </c>
      <c r="E1137" s="136" t="s">
        <v>75</v>
      </c>
      <c r="F1137" s="10" t="s">
        <v>437</v>
      </c>
      <c r="G1137" s="10" t="s">
        <v>442</v>
      </c>
      <c r="H1137" s="137">
        <v>760</v>
      </c>
      <c r="I1137" s="138"/>
      <c r="J1137" s="10">
        <v>5513</v>
      </c>
      <c r="K1137" s="136" t="s">
        <v>111</v>
      </c>
      <c r="L1137" s="10">
        <v>55</v>
      </c>
      <c r="M1137" s="10" t="s">
        <v>2219</v>
      </c>
      <c r="N1137" s="10" t="s">
        <v>131</v>
      </c>
      <c r="O1137" s="10" t="s">
        <v>549</v>
      </c>
      <c r="P1137" s="136" t="s">
        <v>85</v>
      </c>
    </row>
    <row r="1138" spans="1:16" x14ac:dyDescent="0.25">
      <c r="A1138" s="139" t="s">
        <v>801</v>
      </c>
      <c r="B1138" s="139" t="s">
        <v>378</v>
      </c>
      <c r="C1138" s="140" t="s">
        <v>379</v>
      </c>
      <c r="D1138" s="140" t="s">
        <v>589</v>
      </c>
      <c r="E1138" s="140" t="s">
        <v>75</v>
      </c>
      <c r="F1138" s="139" t="s">
        <v>437</v>
      </c>
      <c r="G1138" s="139" t="s">
        <v>445</v>
      </c>
      <c r="H1138" s="141">
        <v>200</v>
      </c>
      <c r="I1138" s="142"/>
      <c r="J1138" s="139">
        <v>5525</v>
      </c>
      <c r="K1138" s="140" t="s">
        <v>118</v>
      </c>
      <c r="L1138" s="139">
        <v>55</v>
      </c>
      <c r="M1138" s="139" t="s">
        <v>2219</v>
      </c>
      <c r="N1138" s="139" t="s">
        <v>131</v>
      </c>
      <c r="O1138" s="139" t="s">
        <v>549</v>
      </c>
      <c r="P1138" s="140" t="s">
        <v>85</v>
      </c>
    </row>
    <row r="1139" spans="1:16" x14ac:dyDescent="0.25">
      <c r="A1139" s="10" t="s">
        <v>801</v>
      </c>
      <c r="B1139" s="10" t="s">
        <v>378</v>
      </c>
      <c r="C1139" s="136" t="s">
        <v>379</v>
      </c>
      <c r="D1139" s="136" t="s">
        <v>589</v>
      </c>
      <c r="E1139" s="136" t="s">
        <v>75</v>
      </c>
      <c r="F1139" s="10" t="s">
        <v>437</v>
      </c>
      <c r="G1139" s="10" t="s">
        <v>446</v>
      </c>
      <c r="H1139" s="137">
        <v>100</v>
      </c>
      <c r="I1139" s="138"/>
      <c r="J1139" s="10">
        <v>5525</v>
      </c>
      <c r="K1139" s="136" t="s">
        <v>118</v>
      </c>
      <c r="L1139" s="10">
        <v>55</v>
      </c>
      <c r="M1139" s="10" t="s">
        <v>2219</v>
      </c>
      <c r="N1139" s="10" t="s">
        <v>131</v>
      </c>
      <c r="O1139" s="10" t="s">
        <v>549</v>
      </c>
      <c r="P1139" s="136" t="s">
        <v>85</v>
      </c>
    </row>
    <row r="1140" spans="1:16" x14ac:dyDescent="0.25">
      <c r="A1140" s="139" t="s">
        <v>801</v>
      </c>
      <c r="B1140" s="139" t="s">
        <v>378</v>
      </c>
      <c r="C1140" s="140" t="s">
        <v>379</v>
      </c>
      <c r="D1140" s="140" t="s">
        <v>589</v>
      </c>
      <c r="E1140" s="140" t="s">
        <v>75</v>
      </c>
      <c r="F1140" s="139" t="s">
        <v>437</v>
      </c>
      <c r="G1140" s="139" t="s">
        <v>447</v>
      </c>
      <c r="H1140" s="141">
        <v>640</v>
      </c>
      <c r="I1140" s="142"/>
      <c r="J1140" s="139">
        <v>5525</v>
      </c>
      <c r="K1140" s="140" t="s">
        <v>118</v>
      </c>
      <c r="L1140" s="139">
        <v>55</v>
      </c>
      <c r="M1140" s="139" t="s">
        <v>2219</v>
      </c>
      <c r="N1140" s="139" t="s">
        <v>131</v>
      </c>
      <c r="O1140" s="139" t="s">
        <v>549</v>
      </c>
      <c r="P1140" s="140" t="s">
        <v>85</v>
      </c>
    </row>
    <row r="1141" spans="1:16" x14ac:dyDescent="0.25">
      <c r="A1141" s="10" t="s">
        <v>801</v>
      </c>
      <c r="B1141" s="10" t="s">
        <v>378</v>
      </c>
      <c r="C1141" s="136" t="s">
        <v>379</v>
      </c>
      <c r="D1141" s="136" t="s">
        <v>589</v>
      </c>
      <c r="E1141" s="136" t="s">
        <v>75</v>
      </c>
      <c r="F1141" s="10" t="s">
        <v>437</v>
      </c>
      <c r="G1141" s="10" t="s">
        <v>448</v>
      </c>
      <c r="H1141" s="137">
        <v>1350</v>
      </c>
      <c r="I1141" s="138"/>
      <c r="J1141" s="10">
        <v>5525</v>
      </c>
      <c r="K1141" s="136" t="s">
        <v>118</v>
      </c>
      <c r="L1141" s="10">
        <v>55</v>
      </c>
      <c r="M1141" s="10" t="s">
        <v>2219</v>
      </c>
      <c r="N1141" s="10" t="s">
        <v>131</v>
      </c>
      <c r="O1141" s="10" t="s">
        <v>549</v>
      </c>
      <c r="P1141" s="136" t="s">
        <v>85</v>
      </c>
    </row>
    <row r="1142" spans="1:16" x14ac:dyDescent="0.25">
      <c r="A1142" s="139" t="s">
        <v>801</v>
      </c>
      <c r="B1142" s="139" t="s">
        <v>378</v>
      </c>
      <c r="C1142" s="140" t="s">
        <v>379</v>
      </c>
      <c r="D1142" s="140" t="s">
        <v>589</v>
      </c>
      <c r="E1142" s="140" t="s">
        <v>75</v>
      </c>
      <c r="F1142" s="139" t="s">
        <v>437</v>
      </c>
      <c r="G1142" s="139" t="s">
        <v>449</v>
      </c>
      <c r="H1142" s="141">
        <v>500</v>
      </c>
      <c r="I1142" s="142"/>
      <c r="J1142" s="139">
        <v>5525</v>
      </c>
      <c r="K1142" s="140" t="s">
        <v>118</v>
      </c>
      <c r="L1142" s="139">
        <v>55</v>
      </c>
      <c r="M1142" s="139" t="s">
        <v>2219</v>
      </c>
      <c r="N1142" s="139" t="s">
        <v>131</v>
      </c>
      <c r="O1142" s="139" t="s">
        <v>549</v>
      </c>
      <c r="P1142" s="140" t="s">
        <v>85</v>
      </c>
    </row>
    <row r="1143" spans="1:16" x14ac:dyDescent="0.25">
      <c r="A1143" s="10" t="s">
        <v>801</v>
      </c>
      <c r="B1143" s="10" t="s">
        <v>378</v>
      </c>
      <c r="C1143" s="136" t="s">
        <v>379</v>
      </c>
      <c r="D1143" s="136" t="s">
        <v>589</v>
      </c>
      <c r="E1143" s="136" t="s">
        <v>75</v>
      </c>
      <c r="F1143" s="10" t="s">
        <v>437</v>
      </c>
      <c r="G1143" s="10" t="s">
        <v>441</v>
      </c>
      <c r="H1143" s="137">
        <v>100</v>
      </c>
      <c r="I1143" s="138"/>
      <c r="J1143" s="10">
        <v>5511</v>
      </c>
      <c r="K1143" s="136" t="s">
        <v>106</v>
      </c>
      <c r="L1143" s="10">
        <v>55</v>
      </c>
      <c r="M1143" s="10" t="s">
        <v>2219</v>
      </c>
      <c r="N1143" s="10" t="s">
        <v>131</v>
      </c>
      <c r="O1143" s="10" t="s">
        <v>549</v>
      </c>
      <c r="P1143" s="136" t="s">
        <v>85</v>
      </c>
    </row>
    <row r="1144" spans="1:16" x14ac:dyDescent="0.25">
      <c r="A1144" s="139" t="s">
        <v>801</v>
      </c>
      <c r="B1144" s="139" t="s">
        <v>378</v>
      </c>
      <c r="C1144" s="140" t="s">
        <v>379</v>
      </c>
      <c r="D1144" s="140" t="s">
        <v>589</v>
      </c>
      <c r="E1144" s="140" t="s">
        <v>75</v>
      </c>
      <c r="F1144" s="139" t="s">
        <v>437</v>
      </c>
      <c r="G1144" s="139" t="s">
        <v>443</v>
      </c>
      <c r="H1144" s="141">
        <v>50</v>
      </c>
      <c r="I1144" s="142"/>
      <c r="J1144" s="139">
        <v>5511</v>
      </c>
      <c r="K1144" s="140" t="s">
        <v>106</v>
      </c>
      <c r="L1144" s="139">
        <v>55</v>
      </c>
      <c r="M1144" s="139" t="s">
        <v>2219</v>
      </c>
      <c r="N1144" s="139" t="s">
        <v>131</v>
      </c>
      <c r="O1144" s="139" t="s">
        <v>549</v>
      </c>
      <c r="P1144" s="140" t="s">
        <v>85</v>
      </c>
    </row>
    <row r="1145" spans="1:16" x14ac:dyDescent="0.25">
      <c r="A1145" s="10" t="s">
        <v>801</v>
      </c>
      <c r="B1145" s="10" t="s">
        <v>378</v>
      </c>
      <c r="C1145" s="136" t="s">
        <v>379</v>
      </c>
      <c r="D1145" s="136" t="s">
        <v>589</v>
      </c>
      <c r="E1145" s="136" t="s">
        <v>75</v>
      </c>
      <c r="F1145" s="10" t="s">
        <v>437</v>
      </c>
      <c r="G1145" s="10" t="s">
        <v>444</v>
      </c>
      <c r="H1145" s="137">
        <v>50</v>
      </c>
      <c r="I1145" s="138"/>
      <c r="J1145" s="10">
        <v>5511</v>
      </c>
      <c r="K1145" s="136" t="s">
        <v>106</v>
      </c>
      <c r="L1145" s="10">
        <v>55</v>
      </c>
      <c r="M1145" s="10" t="s">
        <v>2219</v>
      </c>
      <c r="N1145" s="10" t="s">
        <v>131</v>
      </c>
      <c r="O1145" s="10" t="s">
        <v>549</v>
      </c>
      <c r="P1145" s="136" t="s">
        <v>85</v>
      </c>
    </row>
    <row r="1146" spans="1:16" x14ac:dyDescent="0.25">
      <c r="A1146" s="139" t="s">
        <v>801</v>
      </c>
      <c r="B1146" s="139" t="s">
        <v>380</v>
      </c>
      <c r="C1146" s="140" t="s">
        <v>365</v>
      </c>
      <c r="D1146" s="140" t="s">
        <v>590</v>
      </c>
      <c r="E1146" s="140" t="s">
        <v>75</v>
      </c>
      <c r="F1146" s="139" t="s">
        <v>462</v>
      </c>
      <c r="G1146" s="139" t="s">
        <v>727</v>
      </c>
      <c r="H1146" s="141">
        <v>1000</v>
      </c>
      <c r="I1146" s="142" t="s">
        <v>731</v>
      </c>
      <c r="J1146" s="139">
        <v>5513</v>
      </c>
      <c r="K1146" s="140" t="s">
        <v>111</v>
      </c>
      <c r="L1146" s="139">
        <v>55</v>
      </c>
      <c r="M1146" s="139" t="s">
        <v>2219</v>
      </c>
      <c r="N1146" s="140" t="s">
        <v>131</v>
      </c>
      <c r="O1146" s="140" t="s">
        <v>549</v>
      </c>
      <c r="P1146" s="140" t="s">
        <v>85</v>
      </c>
    </row>
    <row r="1147" spans="1:16" x14ac:dyDescent="0.25">
      <c r="A1147" s="10" t="s">
        <v>801</v>
      </c>
      <c r="B1147" s="10" t="s">
        <v>380</v>
      </c>
      <c r="C1147" s="136" t="s">
        <v>365</v>
      </c>
      <c r="D1147" s="136" t="s">
        <v>590</v>
      </c>
      <c r="E1147" s="136" t="s">
        <v>75</v>
      </c>
      <c r="F1147" s="10" t="s">
        <v>462</v>
      </c>
      <c r="G1147" s="10" t="s">
        <v>728</v>
      </c>
      <c r="H1147" s="137">
        <v>600</v>
      </c>
      <c r="I1147" s="138"/>
      <c r="J1147" s="10">
        <v>5504</v>
      </c>
      <c r="K1147" s="136" t="s">
        <v>102</v>
      </c>
      <c r="L1147" s="10">
        <v>55</v>
      </c>
      <c r="M1147" s="10" t="s">
        <v>2219</v>
      </c>
      <c r="N1147" s="136" t="s">
        <v>131</v>
      </c>
      <c r="O1147" s="136" t="s">
        <v>549</v>
      </c>
      <c r="P1147" s="136" t="s">
        <v>85</v>
      </c>
    </row>
    <row r="1148" spans="1:16" x14ac:dyDescent="0.25">
      <c r="A1148" s="139" t="s">
        <v>801</v>
      </c>
      <c r="B1148" s="139" t="s">
        <v>380</v>
      </c>
      <c r="C1148" s="140" t="s">
        <v>365</v>
      </c>
      <c r="D1148" s="140" t="s">
        <v>590</v>
      </c>
      <c r="E1148" s="140" t="s">
        <v>75</v>
      </c>
      <c r="F1148" s="139" t="s">
        <v>462</v>
      </c>
      <c r="G1148" s="139" t="s">
        <v>729</v>
      </c>
      <c r="H1148" s="141">
        <v>900</v>
      </c>
      <c r="I1148" s="142" t="s">
        <v>730</v>
      </c>
      <c r="J1148" s="139">
        <v>5515</v>
      </c>
      <c r="K1148" s="140" t="s">
        <v>112</v>
      </c>
      <c r="L1148" s="139">
        <v>55</v>
      </c>
      <c r="M1148" s="139" t="s">
        <v>2219</v>
      </c>
      <c r="N1148" s="140" t="s">
        <v>131</v>
      </c>
      <c r="O1148" s="140" t="s">
        <v>549</v>
      </c>
      <c r="P1148" s="140" t="s">
        <v>85</v>
      </c>
    </row>
    <row r="1149" spans="1:16" x14ac:dyDescent="0.25">
      <c r="A1149" s="10" t="s">
        <v>801</v>
      </c>
      <c r="B1149" s="10" t="s">
        <v>381</v>
      </c>
      <c r="C1149" s="136" t="s">
        <v>687</v>
      </c>
      <c r="D1149" s="136" t="s">
        <v>590</v>
      </c>
      <c r="E1149" s="136" t="s">
        <v>75</v>
      </c>
      <c r="F1149" s="10" t="s">
        <v>462</v>
      </c>
      <c r="G1149" s="10" t="s">
        <v>696</v>
      </c>
      <c r="H1149" s="137">
        <v>35500</v>
      </c>
      <c r="I1149" s="138"/>
      <c r="J1149" s="10">
        <v>41380</v>
      </c>
      <c r="K1149" s="136" t="s">
        <v>147</v>
      </c>
      <c r="L1149" s="10">
        <v>413</v>
      </c>
      <c r="M1149" s="10" t="s">
        <v>2246</v>
      </c>
      <c r="N1149" s="136" t="s">
        <v>164</v>
      </c>
      <c r="O1149" s="136" t="s">
        <v>545</v>
      </c>
      <c r="P1149" s="136" t="s">
        <v>85</v>
      </c>
    </row>
    <row r="1150" spans="1:16" x14ac:dyDescent="0.25">
      <c r="A1150" s="139" t="s">
        <v>801</v>
      </c>
      <c r="B1150" s="139" t="s">
        <v>382</v>
      </c>
      <c r="C1150" s="140" t="s">
        <v>383</v>
      </c>
      <c r="D1150" s="140" t="s">
        <v>590</v>
      </c>
      <c r="E1150" s="140" t="s">
        <v>75</v>
      </c>
      <c r="F1150" s="139" t="s">
        <v>462</v>
      </c>
      <c r="G1150" s="139" t="s">
        <v>695</v>
      </c>
      <c r="H1150" s="141">
        <v>9500</v>
      </c>
      <c r="I1150" s="142"/>
      <c r="J1150" s="139">
        <v>41380</v>
      </c>
      <c r="K1150" s="140" t="s">
        <v>147</v>
      </c>
      <c r="L1150" s="139">
        <v>413</v>
      </c>
      <c r="M1150" s="139" t="s">
        <v>2246</v>
      </c>
      <c r="N1150" s="140" t="s">
        <v>164</v>
      </c>
      <c r="O1150" s="140" t="s">
        <v>545</v>
      </c>
      <c r="P1150" s="140" t="s">
        <v>85</v>
      </c>
    </row>
    <row r="1151" spans="1:16" x14ac:dyDescent="0.25">
      <c r="A1151" s="10" t="s">
        <v>801</v>
      </c>
      <c r="B1151" s="161" t="s">
        <v>698</v>
      </c>
      <c r="C1151" s="136" t="s">
        <v>699</v>
      </c>
      <c r="D1151" s="136" t="s">
        <v>590</v>
      </c>
      <c r="E1151" s="136" t="s">
        <v>75</v>
      </c>
      <c r="F1151" s="10" t="s">
        <v>462</v>
      </c>
      <c r="G1151" s="10" t="s">
        <v>697</v>
      </c>
      <c r="H1151" s="137">
        <v>3000</v>
      </c>
      <c r="I1151" s="138"/>
      <c r="J1151" s="10">
        <v>41380</v>
      </c>
      <c r="K1151" s="136" t="s">
        <v>147</v>
      </c>
      <c r="L1151" s="10">
        <v>413</v>
      </c>
      <c r="M1151" s="10" t="s">
        <v>2246</v>
      </c>
      <c r="N1151" s="136" t="s">
        <v>164</v>
      </c>
      <c r="O1151" s="136" t="s">
        <v>545</v>
      </c>
      <c r="P1151" s="136" t="s">
        <v>85</v>
      </c>
    </row>
    <row r="1152" spans="1:16" x14ac:dyDescent="0.25">
      <c r="A1152" s="139" t="s">
        <v>801</v>
      </c>
      <c r="B1152" s="139" t="s">
        <v>384</v>
      </c>
      <c r="C1152" s="140" t="s">
        <v>385</v>
      </c>
      <c r="D1152" s="140" t="s">
        <v>591</v>
      </c>
      <c r="E1152" s="140" t="s">
        <v>75</v>
      </c>
      <c r="F1152" s="139" t="s">
        <v>1679</v>
      </c>
      <c r="G1152" s="139" t="s">
        <v>1691</v>
      </c>
      <c r="H1152" s="141">
        <v>4000</v>
      </c>
      <c r="I1152" s="142"/>
      <c r="J1152" s="139">
        <v>5500</v>
      </c>
      <c r="K1152" s="140" t="s">
        <v>100</v>
      </c>
      <c r="L1152" s="139">
        <v>55</v>
      </c>
      <c r="M1152" s="139" t="s">
        <v>2219</v>
      </c>
      <c r="N1152" s="140" t="s">
        <v>131</v>
      </c>
      <c r="O1152" s="140" t="s">
        <v>549</v>
      </c>
      <c r="P1152" s="140" t="s">
        <v>85</v>
      </c>
    </row>
    <row r="1153" spans="1:16" x14ac:dyDescent="0.25">
      <c r="A1153" s="10" t="s">
        <v>801</v>
      </c>
      <c r="B1153" s="10" t="s">
        <v>384</v>
      </c>
      <c r="C1153" s="136" t="s">
        <v>385</v>
      </c>
      <c r="D1153" s="136" t="s">
        <v>591</v>
      </c>
      <c r="E1153" s="136" t="s">
        <v>75</v>
      </c>
      <c r="F1153" s="10" t="s">
        <v>1679</v>
      </c>
      <c r="G1153" s="10" t="s">
        <v>832</v>
      </c>
      <c r="H1153" s="137">
        <v>80</v>
      </c>
      <c r="I1153" s="138"/>
      <c r="J1153" s="10">
        <v>5500</v>
      </c>
      <c r="K1153" s="136" t="s">
        <v>100</v>
      </c>
      <c r="L1153" s="10">
        <v>55</v>
      </c>
      <c r="M1153" s="10" t="s">
        <v>2219</v>
      </c>
      <c r="N1153" s="136" t="s">
        <v>131</v>
      </c>
      <c r="O1153" s="136" t="s">
        <v>549</v>
      </c>
      <c r="P1153" s="136" t="s">
        <v>85</v>
      </c>
    </row>
    <row r="1154" spans="1:16" x14ac:dyDescent="0.25">
      <c r="A1154" s="139" t="s">
        <v>801</v>
      </c>
      <c r="B1154" s="139" t="s">
        <v>384</v>
      </c>
      <c r="C1154" s="140" t="s">
        <v>385</v>
      </c>
      <c r="D1154" s="140" t="s">
        <v>591</v>
      </c>
      <c r="E1154" s="140" t="s">
        <v>75</v>
      </c>
      <c r="F1154" s="139" t="s">
        <v>1679</v>
      </c>
      <c r="G1154" s="139" t="s">
        <v>1692</v>
      </c>
      <c r="H1154" s="141">
        <v>1300</v>
      </c>
      <c r="I1154" s="142"/>
      <c r="J1154" s="139">
        <v>5500</v>
      </c>
      <c r="K1154" s="140" t="s">
        <v>100</v>
      </c>
      <c r="L1154" s="139">
        <v>55</v>
      </c>
      <c r="M1154" s="139" t="s">
        <v>2219</v>
      </c>
      <c r="N1154" s="140" t="s">
        <v>131</v>
      </c>
      <c r="O1154" s="140" t="s">
        <v>549</v>
      </c>
      <c r="P1154" s="140" t="s">
        <v>85</v>
      </c>
    </row>
    <row r="1155" spans="1:16" x14ac:dyDescent="0.25">
      <c r="A1155" s="10" t="s">
        <v>801</v>
      </c>
      <c r="B1155" s="10" t="s">
        <v>384</v>
      </c>
      <c r="C1155" s="136" t="s">
        <v>385</v>
      </c>
      <c r="D1155" s="136" t="s">
        <v>591</v>
      </c>
      <c r="E1155" s="136" t="s">
        <v>75</v>
      </c>
      <c r="F1155" s="10" t="s">
        <v>1679</v>
      </c>
      <c r="G1155" s="10" t="s">
        <v>1693</v>
      </c>
      <c r="H1155" s="137">
        <v>420</v>
      </c>
      <c r="I1155" s="138"/>
      <c r="J1155" s="10">
        <v>5500</v>
      </c>
      <c r="K1155" s="136" t="s">
        <v>100</v>
      </c>
      <c r="L1155" s="10">
        <v>55</v>
      </c>
      <c r="M1155" s="10" t="s">
        <v>2219</v>
      </c>
      <c r="N1155" s="136" t="s">
        <v>131</v>
      </c>
      <c r="O1155" s="136" t="s">
        <v>549</v>
      </c>
      <c r="P1155" s="136" t="s">
        <v>85</v>
      </c>
    </row>
    <row r="1156" spans="1:16" x14ac:dyDescent="0.25">
      <c r="A1156" s="139" t="s">
        <v>801</v>
      </c>
      <c r="B1156" s="139" t="s">
        <v>384</v>
      </c>
      <c r="C1156" s="140" t="s">
        <v>385</v>
      </c>
      <c r="D1156" s="140" t="s">
        <v>591</v>
      </c>
      <c r="E1156" s="140" t="s">
        <v>75</v>
      </c>
      <c r="F1156" s="139" t="s">
        <v>1679</v>
      </c>
      <c r="G1156" s="139" t="s">
        <v>176</v>
      </c>
      <c r="H1156" s="141">
        <v>2500</v>
      </c>
      <c r="I1156" s="142"/>
      <c r="J1156" s="139">
        <v>5504</v>
      </c>
      <c r="K1156" s="140" t="s">
        <v>102</v>
      </c>
      <c r="L1156" s="139">
        <v>55</v>
      </c>
      <c r="M1156" s="139" t="s">
        <v>2219</v>
      </c>
      <c r="N1156" s="140" t="s">
        <v>131</v>
      </c>
      <c r="O1156" s="140" t="s">
        <v>549</v>
      </c>
      <c r="P1156" s="140" t="s">
        <v>85</v>
      </c>
    </row>
    <row r="1157" spans="1:16" x14ac:dyDescent="0.25">
      <c r="A1157" s="10" t="s">
        <v>801</v>
      </c>
      <c r="B1157" s="10" t="s">
        <v>384</v>
      </c>
      <c r="C1157" s="136" t="s">
        <v>385</v>
      </c>
      <c r="D1157" s="136" t="s">
        <v>591</v>
      </c>
      <c r="E1157" s="136" t="s">
        <v>75</v>
      </c>
      <c r="F1157" s="10" t="s">
        <v>1679</v>
      </c>
      <c r="G1157" s="10" t="s">
        <v>1700</v>
      </c>
      <c r="H1157" s="137">
        <v>11200</v>
      </c>
      <c r="I1157" s="138"/>
      <c r="J1157" s="10">
        <v>5513</v>
      </c>
      <c r="K1157" s="136" t="s">
        <v>111</v>
      </c>
      <c r="L1157" s="10">
        <v>55</v>
      </c>
      <c r="M1157" s="10" t="s">
        <v>2219</v>
      </c>
      <c r="N1157" s="136" t="s">
        <v>131</v>
      </c>
      <c r="O1157" s="136" t="s">
        <v>549</v>
      </c>
      <c r="P1157" s="136" t="s">
        <v>85</v>
      </c>
    </row>
    <row r="1158" spans="1:16" x14ac:dyDescent="0.25">
      <c r="A1158" s="139" t="s">
        <v>801</v>
      </c>
      <c r="B1158" s="139" t="s">
        <v>384</v>
      </c>
      <c r="C1158" s="140" t="s">
        <v>385</v>
      </c>
      <c r="D1158" s="140" t="s">
        <v>591</v>
      </c>
      <c r="E1158" s="140" t="s">
        <v>75</v>
      </c>
      <c r="F1158" s="139" t="s">
        <v>1679</v>
      </c>
      <c r="G1158" s="139" t="s">
        <v>198</v>
      </c>
      <c r="H1158" s="141">
        <v>2800</v>
      </c>
      <c r="I1158" s="142"/>
      <c r="J1158" s="139">
        <v>5513</v>
      </c>
      <c r="K1158" s="140" t="s">
        <v>111</v>
      </c>
      <c r="L1158" s="139">
        <v>55</v>
      </c>
      <c r="M1158" s="139" t="s">
        <v>2219</v>
      </c>
      <c r="N1158" s="140" t="s">
        <v>131</v>
      </c>
      <c r="O1158" s="140" t="s">
        <v>549</v>
      </c>
      <c r="P1158" s="140" t="s">
        <v>85</v>
      </c>
    </row>
    <row r="1159" spans="1:16" x14ac:dyDescent="0.25">
      <c r="A1159" s="10" t="s">
        <v>801</v>
      </c>
      <c r="B1159" s="10" t="s">
        <v>384</v>
      </c>
      <c r="C1159" s="136" t="s">
        <v>385</v>
      </c>
      <c r="D1159" s="136" t="s">
        <v>591</v>
      </c>
      <c r="E1159" s="136" t="s">
        <v>75</v>
      </c>
      <c r="F1159" s="10" t="s">
        <v>1679</v>
      </c>
      <c r="G1159" s="10" t="s">
        <v>1702</v>
      </c>
      <c r="H1159" s="137">
        <v>3000</v>
      </c>
      <c r="I1159" s="138"/>
      <c r="J1159" s="10">
        <v>5515</v>
      </c>
      <c r="K1159" s="136" t="s">
        <v>112</v>
      </c>
      <c r="L1159" s="10">
        <v>55</v>
      </c>
      <c r="M1159" s="10" t="s">
        <v>2219</v>
      </c>
      <c r="N1159" s="136" t="s">
        <v>131</v>
      </c>
      <c r="O1159" s="136" t="s">
        <v>549</v>
      </c>
      <c r="P1159" s="136" t="s">
        <v>85</v>
      </c>
    </row>
    <row r="1160" spans="1:16" x14ac:dyDescent="0.25">
      <c r="A1160" s="139" t="s">
        <v>801</v>
      </c>
      <c r="B1160" s="139" t="s">
        <v>384</v>
      </c>
      <c r="C1160" s="140" t="s">
        <v>385</v>
      </c>
      <c r="D1160" s="140" t="s">
        <v>591</v>
      </c>
      <c r="E1160" s="140" t="s">
        <v>75</v>
      </c>
      <c r="F1160" s="139" t="s">
        <v>1679</v>
      </c>
      <c r="G1160" s="139" t="s">
        <v>1701</v>
      </c>
      <c r="H1160" s="141">
        <v>13920</v>
      </c>
      <c r="I1160" s="142" t="s">
        <v>1703</v>
      </c>
      <c r="J1160" s="139">
        <v>5515</v>
      </c>
      <c r="K1160" s="140" t="s">
        <v>112</v>
      </c>
      <c r="L1160" s="139">
        <v>55</v>
      </c>
      <c r="M1160" s="139" t="s">
        <v>2219</v>
      </c>
      <c r="N1160" s="140" t="s">
        <v>131</v>
      </c>
      <c r="O1160" s="140" t="s">
        <v>549</v>
      </c>
      <c r="P1160" s="140" t="s">
        <v>85</v>
      </c>
    </row>
    <row r="1161" spans="1:16" x14ac:dyDescent="0.25">
      <c r="A1161" s="10" t="s">
        <v>801</v>
      </c>
      <c r="B1161" s="10" t="s">
        <v>384</v>
      </c>
      <c r="C1161" s="136" t="s">
        <v>385</v>
      </c>
      <c r="D1161" s="136" t="s">
        <v>591</v>
      </c>
      <c r="E1161" s="136" t="s">
        <v>75</v>
      </c>
      <c r="F1161" s="10" t="s">
        <v>1679</v>
      </c>
      <c r="G1161" s="10" t="s">
        <v>1704</v>
      </c>
      <c r="H1161" s="137">
        <v>42340</v>
      </c>
      <c r="I1161" s="138" t="s">
        <v>1706</v>
      </c>
      <c r="J1161" s="10">
        <v>5521</v>
      </c>
      <c r="K1161" s="136" t="s">
        <v>114</v>
      </c>
      <c r="L1161" s="10">
        <v>55</v>
      </c>
      <c r="M1161" s="10" t="s">
        <v>2219</v>
      </c>
      <c r="N1161" s="136" t="s">
        <v>131</v>
      </c>
      <c r="O1161" s="136" t="s">
        <v>549</v>
      </c>
      <c r="P1161" s="136" t="s">
        <v>85</v>
      </c>
    </row>
    <row r="1162" spans="1:16" x14ac:dyDescent="0.25">
      <c r="A1162" s="139" t="s">
        <v>801</v>
      </c>
      <c r="B1162" s="139" t="s">
        <v>384</v>
      </c>
      <c r="C1162" s="140" t="s">
        <v>385</v>
      </c>
      <c r="D1162" s="140" t="s">
        <v>591</v>
      </c>
      <c r="E1162" s="140" t="s">
        <v>75</v>
      </c>
      <c r="F1162" s="139" t="s">
        <v>1679</v>
      </c>
      <c r="G1162" s="139" t="s">
        <v>1705</v>
      </c>
      <c r="H1162" s="141">
        <v>1500</v>
      </c>
      <c r="I1162" s="142"/>
      <c r="J1162" s="139">
        <v>5521</v>
      </c>
      <c r="K1162" s="140" t="s">
        <v>114</v>
      </c>
      <c r="L1162" s="139">
        <v>55</v>
      </c>
      <c r="M1162" s="139" t="s">
        <v>2219</v>
      </c>
      <c r="N1162" s="140" t="s">
        <v>131</v>
      </c>
      <c r="O1162" s="140" t="s">
        <v>549</v>
      </c>
      <c r="P1162" s="140" t="s">
        <v>85</v>
      </c>
    </row>
    <row r="1163" spans="1:16" x14ac:dyDescent="0.25">
      <c r="A1163" s="10" t="s">
        <v>801</v>
      </c>
      <c r="B1163" s="10" t="s">
        <v>384</v>
      </c>
      <c r="C1163" s="136" t="s">
        <v>385</v>
      </c>
      <c r="D1163" s="136" t="s">
        <v>591</v>
      </c>
      <c r="E1163" s="136" t="s">
        <v>75</v>
      </c>
      <c r="F1163" s="10" t="s">
        <v>1679</v>
      </c>
      <c r="G1163" s="10" t="s">
        <v>1707</v>
      </c>
      <c r="H1163" s="137">
        <v>6200</v>
      </c>
      <c r="I1163" s="138"/>
      <c r="J1163" s="10">
        <v>5522</v>
      </c>
      <c r="K1163" s="136" t="s">
        <v>115</v>
      </c>
      <c r="L1163" s="10">
        <v>55</v>
      </c>
      <c r="M1163" s="10" t="s">
        <v>2219</v>
      </c>
      <c r="N1163" s="136" t="s">
        <v>131</v>
      </c>
      <c r="O1163" s="136" t="s">
        <v>549</v>
      </c>
      <c r="P1163" s="136" t="s">
        <v>85</v>
      </c>
    </row>
    <row r="1164" spans="1:16" x14ac:dyDescent="0.25">
      <c r="A1164" s="139" t="s">
        <v>801</v>
      </c>
      <c r="B1164" s="139" t="s">
        <v>384</v>
      </c>
      <c r="C1164" s="140" t="s">
        <v>385</v>
      </c>
      <c r="D1164" s="140" t="s">
        <v>591</v>
      </c>
      <c r="E1164" s="140" t="s">
        <v>75</v>
      </c>
      <c r="F1164" s="139" t="s">
        <v>1679</v>
      </c>
      <c r="G1164" s="139" t="s">
        <v>1708</v>
      </c>
      <c r="H1164" s="141">
        <v>1040</v>
      </c>
      <c r="I1164" s="142"/>
      <c r="J1164" s="139">
        <v>5522</v>
      </c>
      <c r="K1164" s="140" t="s">
        <v>115</v>
      </c>
      <c r="L1164" s="139">
        <v>55</v>
      </c>
      <c r="M1164" s="139" t="s">
        <v>2219</v>
      </c>
      <c r="N1164" s="140" t="s">
        <v>131</v>
      </c>
      <c r="O1164" s="140" t="s">
        <v>549</v>
      </c>
      <c r="P1164" s="140" t="s">
        <v>85</v>
      </c>
    </row>
    <row r="1165" spans="1:16" x14ac:dyDescent="0.25">
      <c r="A1165" s="10" t="s">
        <v>801</v>
      </c>
      <c r="B1165" s="10" t="s">
        <v>384</v>
      </c>
      <c r="C1165" s="136" t="s">
        <v>385</v>
      </c>
      <c r="D1165" s="136" t="s">
        <v>591</v>
      </c>
      <c r="E1165" s="136" t="s">
        <v>75</v>
      </c>
      <c r="F1165" s="10" t="s">
        <v>1679</v>
      </c>
      <c r="G1165" s="10" t="s">
        <v>1709</v>
      </c>
      <c r="H1165" s="137">
        <v>960</v>
      </c>
      <c r="I1165" s="138"/>
      <c r="J1165" s="10">
        <v>5524</v>
      </c>
      <c r="K1165" s="136" t="s">
        <v>117</v>
      </c>
      <c r="L1165" s="10">
        <v>55</v>
      </c>
      <c r="M1165" s="10" t="s">
        <v>2219</v>
      </c>
      <c r="N1165" s="136" t="s">
        <v>131</v>
      </c>
      <c r="O1165" s="136" t="s">
        <v>549</v>
      </c>
      <c r="P1165" s="136" t="s">
        <v>85</v>
      </c>
    </row>
    <row r="1166" spans="1:16" x14ac:dyDescent="0.25">
      <c r="A1166" s="139" t="s">
        <v>801</v>
      </c>
      <c r="B1166" s="139" t="s">
        <v>384</v>
      </c>
      <c r="C1166" s="140" t="s">
        <v>385</v>
      </c>
      <c r="D1166" s="140" t="s">
        <v>591</v>
      </c>
      <c r="E1166" s="140" t="s">
        <v>75</v>
      </c>
      <c r="F1166" s="139" t="s">
        <v>1679</v>
      </c>
      <c r="G1166" s="139" t="s">
        <v>1832</v>
      </c>
      <c r="H1166" s="141">
        <v>200</v>
      </c>
      <c r="I1166" s="142"/>
      <c r="J1166" s="139">
        <v>5525</v>
      </c>
      <c r="K1166" s="140" t="s">
        <v>118</v>
      </c>
      <c r="L1166" s="139">
        <v>55</v>
      </c>
      <c r="M1166" s="139" t="s">
        <v>2219</v>
      </c>
      <c r="N1166" s="140" t="s">
        <v>131</v>
      </c>
      <c r="O1166" s="140" t="s">
        <v>549</v>
      </c>
      <c r="P1166" s="140" t="s">
        <v>85</v>
      </c>
    </row>
    <row r="1167" spans="1:16" x14ac:dyDescent="0.25">
      <c r="A1167" s="10" t="s">
        <v>801</v>
      </c>
      <c r="B1167" s="10" t="s">
        <v>384</v>
      </c>
      <c r="C1167" s="136" t="s">
        <v>385</v>
      </c>
      <c r="D1167" s="136" t="s">
        <v>591</v>
      </c>
      <c r="E1167" s="136" t="s">
        <v>75</v>
      </c>
      <c r="F1167" s="10" t="s">
        <v>1679</v>
      </c>
      <c r="G1167" s="10" t="s">
        <v>1710</v>
      </c>
      <c r="H1167" s="137">
        <v>1500</v>
      </c>
      <c r="I1167" s="138"/>
      <c r="J1167" s="10">
        <v>5525</v>
      </c>
      <c r="K1167" s="136" t="s">
        <v>118</v>
      </c>
      <c r="L1167" s="10">
        <v>55</v>
      </c>
      <c r="M1167" s="10" t="s">
        <v>2219</v>
      </c>
      <c r="N1167" s="136" t="s">
        <v>131</v>
      </c>
      <c r="O1167" s="136" t="s">
        <v>549</v>
      </c>
      <c r="P1167" s="136" t="s">
        <v>85</v>
      </c>
    </row>
    <row r="1168" spans="1:16" x14ac:dyDescent="0.25">
      <c r="A1168" s="139" t="s">
        <v>801</v>
      </c>
      <c r="B1168" s="139" t="s">
        <v>384</v>
      </c>
      <c r="C1168" s="140" t="s">
        <v>385</v>
      </c>
      <c r="D1168" s="140" t="s">
        <v>591</v>
      </c>
      <c r="E1168" s="140" t="s">
        <v>75</v>
      </c>
      <c r="F1168" s="139" t="s">
        <v>1679</v>
      </c>
      <c r="G1168" s="139" t="s">
        <v>1711</v>
      </c>
      <c r="H1168" s="141">
        <v>1540</v>
      </c>
      <c r="I1168" s="142"/>
      <c r="J1168" s="139">
        <v>5525</v>
      </c>
      <c r="K1168" s="140" t="s">
        <v>118</v>
      </c>
      <c r="L1168" s="139">
        <v>55</v>
      </c>
      <c r="M1168" s="139" t="s">
        <v>2219</v>
      </c>
      <c r="N1168" s="140" t="s">
        <v>131</v>
      </c>
      <c r="O1168" s="140" t="s">
        <v>549</v>
      </c>
      <c r="P1168" s="140" t="s">
        <v>85</v>
      </c>
    </row>
    <row r="1169" spans="1:16" x14ac:dyDescent="0.25">
      <c r="A1169" s="10" t="s">
        <v>801</v>
      </c>
      <c r="B1169" s="10" t="s">
        <v>384</v>
      </c>
      <c r="C1169" s="136" t="s">
        <v>385</v>
      </c>
      <c r="D1169" s="136" t="s">
        <v>591</v>
      </c>
      <c r="E1169" s="136" t="s">
        <v>75</v>
      </c>
      <c r="F1169" s="10" t="s">
        <v>1679</v>
      </c>
      <c r="G1169" s="10" t="s">
        <v>1712</v>
      </c>
      <c r="H1169" s="137">
        <v>5220</v>
      </c>
      <c r="I1169" s="138" t="s">
        <v>1713</v>
      </c>
      <c r="J1169" s="10">
        <v>5523</v>
      </c>
      <c r="K1169" s="136" t="s">
        <v>116</v>
      </c>
      <c r="L1169" s="10">
        <v>55</v>
      </c>
      <c r="M1169" s="10" t="s">
        <v>2219</v>
      </c>
      <c r="N1169" s="136" t="s">
        <v>131</v>
      </c>
      <c r="O1169" s="136" t="s">
        <v>549</v>
      </c>
      <c r="P1169" s="136" t="s">
        <v>85</v>
      </c>
    </row>
    <row r="1170" spans="1:16" x14ac:dyDescent="0.25">
      <c r="A1170" s="139" t="s">
        <v>801</v>
      </c>
      <c r="B1170" s="139" t="s">
        <v>384</v>
      </c>
      <c r="C1170" s="140" t="s">
        <v>385</v>
      </c>
      <c r="D1170" s="140" t="s">
        <v>591</v>
      </c>
      <c r="E1170" s="140" t="s">
        <v>75</v>
      </c>
      <c r="F1170" s="139" t="s">
        <v>1679</v>
      </c>
      <c r="G1170" s="139" t="s">
        <v>1714</v>
      </c>
      <c r="H1170" s="141">
        <v>-21410.4399999999</v>
      </c>
      <c r="I1170" s="142"/>
      <c r="J1170" s="139">
        <v>5521</v>
      </c>
      <c r="K1170" s="140" t="s">
        <v>114</v>
      </c>
      <c r="L1170" s="139">
        <v>55</v>
      </c>
      <c r="M1170" s="139" t="s">
        <v>2219</v>
      </c>
      <c r="N1170" s="140" t="s">
        <v>131</v>
      </c>
      <c r="O1170" s="140" t="s">
        <v>549</v>
      </c>
      <c r="P1170" s="140" t="s">
        <v>85</v>
      </c>
    </row>
    <row r="1171" spans="1:16" x14ac:dyDescent="0.25">
      <c r="A1171" s="10" t="s">
        <v>801</v>
      </c>
      <c r="B1171" s="10" t="s">
        <v>384</v>
      </c>
      <c r="C1171" s="136" t="s">
        <v>385</v>
      </c>
      <c r="D1171" s="136" t="s">
        <v>591</v>
      </c>
      <c r="E1171" s="136" t="s">
        <v>75</v>
      </c>
      <c r="F1171" s="10" t="s">
        <v>1679</v>
      </c>
      <c r="G1171" s="10" t="s">
        <v>1833</v>
      </c>
      <c r="H1171" s="137">
        <v>480</v>
      </c>
      <c r="I1171" s="138" t="s">
        <v>1834</v>
      </c>
      <c r="J1171" s="10">
        <v>413899</v>
      </c>
      <c r="K1171" s="136" t="s">
        <v>148</v>
      </c>
      <c r="L1171" s="10">
        <v>413</v>
      </c>
      <c r="M1171" s="10" t="s">
        <v>2246</v>
      </c>
      <c r="N1171" s="136" t="s">
        <v>164</v>
      </c>
      <c r="O1171" s="136" t="s">
        <v>545</v>
      </c>
      <c r="P1171" s="136" t="s">
        <v>85</v>
      </c>
    </row>
    <row r="1172" spans="1:16" x14ac:dyDescent="0.25">
      <c r="A1172" s="139" t="s">
        <v>801</v>
      </c>
      <c r="B1172" s="139" t="s">
        <v>384</v>
      </c>
      <c r="C1172" s="140" t="s">
        <v>385</v>
      </c>
      <c r="D1172" s="140" t="s">
        <v>591</v>
      </c>
      <c r="E1172" s="140" t="s">
        <v>75</v>
      </c>
      <c r="F1172" s="139" t="s">
        <v>1679</v>
      </c>
      <c r="G1172" s="139" t="s">
        <v>1833</v>
      </c>
      <c r="H1172" s="141">
        <v>1980</v>
      </c>
      <c r="I1172" s="142" t="s">
        <v>1835</v>
      </c>
      <c r="J1172" s="139">
        <v>413899</v>
      </c>
      <c r="K1172" s="140" t="s">
        <v>148</v>
      </c>
      <c r="L1172" s="139">
        <v>413</v>
      </c>
      <c r="M1172" s="139" t="s">
        <v>2246</v>
      </c>
      <c r="N1172" s="140" t="s">
        <v>164</v>
      </c>
      <c r="O1172" s="140" t="s">
        <v>545</v>
      </c>
      <c r="P1172" s="140" t="s">
        <v>85</v>
      </c>
    </row>
    <row r="1173" spans="1:16" x14ac:dyDescent="0.25">
      <c r="A1173" s="10" t="s">
        <v>801</v>
      </c>
      <c r="B1173" s="10" t="s">
        <v>384</v>
      </c>
      <c r="C1173" s="136" t="s">
        <v>385</v>
      </c>
      <c r="D1173" s="136" t="s">
        <v>591</v>
      </c>
      <c r="E1173" s="136" t="s">
        <v>75</v>
      </c>
      <c r="F1173" s="10" t="s">
        <v>1679</v>
      </c>
      <c r="G1173" s="10" t="s">
        <v>1833</v>
      </c>
      <c r="H1173" s="137">
        <v>3840</v>
      </c>
      <c r="I1173" s="138" t="s">
        <v>1836</v>
      </c>
      <c r="J1173" s="10">
        <v>413899</v>
      </c>
      <c r="K1173" s="136" t="s">
        <v>148</v>
      </c>
      <c r="L1173" s="10">
        <v>413</v>
      </c>
      <c r="M1173" s="10" t="s">
        <v>2246</v>
      </c>
      <c r="N1173" s="136" t="s">
        <v>164</v>
      </c>
      <c r="O1173" s="136" t="s">
        <v>545</v>
      </c>
      <c r="P1173" s="136" t="s">
        <v>85</v>
      </c>
    </row>
    <row r="1174" spans="1:16" x14ac:dyDescent="0.25">
      <c r="A1174" s="139" t="s">
        <v>801</v>
      </c>
      <c r="B1174" s="139" t="s">
        <v>384</v>
      </c>
      <c r="C1174" s="140" t="s">
        <v>385</v>
      </c>
      <c r="D1174" s="140" t="s">
        <v>591</v>
      </c>
      <c r="E1174" s="140" t="s">
        <v>75</v>
      </c>
      <c r="F1174" s="139" t="s">
        <v>1679</v>
      </c>
      <c r="G1174" s="139" t="s">
        <v>178</v>
      </c>
      <c r="H1174" s="141">
        <v>19000</v>
      </c>
      <c r="I1174" s="142"/>
      <c r="J1174" s="139">
        <v>5511</v>
      </c>
      <c r="K1174" s="140" t="s">
        <v>106</v>
      </c>
      <c r="L1174" s="139">
        <v>55</v>
      </c>
      <c r="M1174" s="139" t="s">
        <v>2219</v>
      </c>
      <c r="N1174" s="140" t="s">
        <v>131</v>
      </c>
      <c r="O1174" s="140" t="s">
        <v>549</v>
      </c>
      <c r="P1174" s="140" t="s">
        <v>85</v>
      </c>
    </row>
    <row r="1175" spans="1:16" x14ac:dyDescent="0.25">
      <c r="A1175" s="10" t="s">
        <v>801</v>
      </c>
      <c r="B1175" s="10" t="s">
        <v>384</v>
      </c>
      <c r="C1175" s="136" t="s">
        <v>385</v>
      </c>
      <c r="D1175" s="136" t="s">
        <v>591</v>
      </c>
      <c r="E1175" s="136" t="s">
        <v>75</v>
      </c>
      <c r="F1175" s="10" t="s">
        <v>1679</v>
      </c>
      <c r="G1175" s="10" t="s">
        <v>1694</v>
      </c>
      <c r="H1175" s="137">
        <v>7000</v>
      </c>
      <c r="I1175" s="138"/>
      <c r="J1175" s="10">
        <v>5511</v>
      </c>
      <c r="K1175" s="136" t="s">
        <v>106</v>
      </c>
      <c r="L1175" s="10">
        <v>55</v>
      </c>
      <c r="M1175" s="10" t="s">
        <v>2219</v>
      </c>
      <c r="N1175" s="136" t="s">
        <v>131</v>
      </c>
      <c r="O1175" s="136" t="s">
        <v>549</v>
      </c>
      <c r="P1175" s="136" t="s">
        <v>85</v>
      </c>
    </row>
    <row r="1176" spans="1:16" x14ac:dyDescent="0.25">
      <c r="A1176" s="139" t="s">
        <v>801</v>
      </c>
      <c r="B1176" s="139" t="s">
        <v>384</v>
      </c>
      <c r="C1176" s="140" t="s">
        <v>385</v>
      </c>
      <c r="D1176" s="140" t="s">
        <v>591</v>
      </c>
      <c r="E1176" s="140" t="s">
        <v>75</v>
      </c>
      <c r="F1176" s="139" t="s">
        <v>1679</v>
      </c>
      <c r="G1176" s="139" t="s">
        <v>1695</v>
      </c>
      <c r="H1176" s="141">
        <v>4500</v>
      </c>
      <c r="I1176" s="142"/>
      <c r="J1176" s="139">
        <v>5511</v>
      </c>
      <c r="K1176" s="140" t="s">
        <v>106</v>
      </c>
      <c r="L1176" s="139">
        <v>55</v>
      </c>
      <c r="M1176" s="139" t="s">
        <v>2219</v>
      </c>
      <c r="N1176" s="140" t="s">
        <v>131</v>
      </c>
      <c r="O1176" s="140" t="s">
        <v>549</v>
      </c>
      <c r="P1176" s="140" t="s">
        <v>85</v>
      </c>
    </row>
    <row r="1177" spans="1:16" x14ac:dyDescent="0.25">
      <c r="A1177" s="10" t="s">
        <v>801</v>
      </c>
      <c r="B1177" s="10" t="s">
        <v>384</v>
      </c>
      <c r="C1177" s="136" t="s">
        <v>385</v>
      </c>
      <c r="D1177" s="136" t="s">
        <v>591</v>
      </c>
      <c r="E1177" s="136" t="s">
        <v>75</v>
      </c>
      <c r="F1177" s="10" t="s">
        <v>1679</v>
      </c>
      <c r="G1177" s="10" t="s">
        <v>1696</v>
      </c>
      <c r="H1177" s="137">
        <v>900</v>
      </c>
      <c r="I1177" s="138"/>
      <c r="J1177" s="10">
        <v>5511</v>
      </c>
      <c r="K1177" s="136" t="s">
        <v>106</v>
      </c>
      <c r="L1177" s="10">
        <v>55</v>
      </c>
      <c r="M1177" s="10" t="s">
        <v>2219</v>
      </c>
      <c r="N1177" s="136" t="s">
        <v>131</v>
      </c>
      <c r="O1177" s="136" t="s">
        <v>549</v>
      </c>
      <c r="P1177" s="136" t="s">
        <v>85</v>
      </c>
    </row>
    <row r="1178" spans="1:16" x14ac:dyDescent="0.25">
      <c r="A1178" s="139" t="s">
        <v>801</v>
      </c>
      <c r="B1178" s="139" t="s">
        <v>384</v>
      </c>
      <c r="C1178" s="140" t="s">
        <v>385</v>
      </c>
      <c r="D1178" s="140" t="s">
        <v>591</v>
      </c>
      <c r="E1178" s="140" t="s">
        <v>75</v>
      </c>
      <c r="F1178" s="139" t="s">
        <v>1679</v>
      </c>
      <c r="G1178" s="139" t="s">
        <v>180</v>
      </c>
      <c r="H1178" s="141">
        <v>900</v>
      </c>
      <c r="I1178" s="142"/>
      <c r="J1178" s="139">
        <v>5511</v>
      </c>
      <c r="K1178" s="140" t="s">
        <v>106</v>
      </c>
      <c r="L1178" s="139">
        <v>55</v>
      </c>
      <c r="M1178" s="139" t="s">
        <v>2219</v>
      </c>
      <c r="N1178" s="140" t="s">
        <v>131</v>
      </c>
      <c r="O1178" s="140" t="s">
        <v>549</v>
      </c>
      <c r="P1178" s="140" t="s">
        <v>85</v>
      </c>
    </row>
    <row r="1179" spans="1:16" x14ac:dyDescent="0.25">
      <c r="A1179" s="10" t="s">
        <v>801</v>
      </c>
      <c r="B1179" s="10" t="s">
        <v>384</v>
      </c>
      <c r="C1179" s="136" t="s">
        <v>385</v>
      </c>
      <c r="D1179" s="136" t="s">
        <v>591</v>
      </c>
      <c r="E1179" s="136" t="s">
        <v>75</v>
      </c>
      <c r="F1179" s="10" t="s">
        <v>1679</v>
      </c>
      <c r="G1179" s="10" t="s">
        <v>1697</v>
      </c>
      <c r="H1179" s="137">
        <v>320</v>
      </c>
      <c r="I1179" s="138"/>
      <c r="J1179" s="10">
        <v>5511</v>
      </c>
      <c r="K1179" s="136" t="s">
        <v>106</v>
      </c>
      <c r="L1179" s="10">
        <v>55</v>
      </c>
      <c r="M1179" s="10" t="s">
        <v>2219</v>
      </c>
      <c r="N1179" s="136" t="s">
        <v>131</v>
      </c>
      <c r="O1179" s="136" t="s">
        <v>549</v>
      </c>
      <c r="P1179" s="136" t="s">
        <v>85</v>
      </c>
    </row>
    <row r="1180" spans="1:16" x14ac:dyDescent="0.25">
      <c r="A1180" s="139" t="s">
        <v>801</v>
      </c>
      <c r="B1180" s="139" t="s">
        <v>384</v>
      </c>
      <c r="C1180" s="140" t="s">
        <v>385</v>
      </c>
      <c r="D1180" s="140" t="s">
        <v>591</v>
      </c>
      <c r="E1180" s="140" t="s">
        <v>75</v>
      </c>
      <c r="F1180" s="139" t="s">
        <v>1679</v>
      </c>
      <c r="G1180" s="139" t="s">
        <v>1698</v>
      </c>
      <c r="H1180" s="141">
        <v>600</v>
      </c>
      <c r="I1180" s="142"/>
      <c r="J1180" s="139">
        <v>5511</v>
      </c>
      <c r="K1180" s="140" t="s">
        <v>106</v>
      </c>
      <c r="L1180" s="139">
        <v>55</v>
      </c>
      <c r="M1180" s="139" t="s">
        <v>2219</v>
      </c>
      <c r="N1180" s="140" t="s">
        <v>131</v>
      </c>
      <c r="O1180" s="140" t="s">
        <v>549</v>
      </c>
      <c r="P1180" s="140" t="s">
        <v>85</v>
      </c>
    </row>
    <row r="1181" spans="1:16" x14ac:dyDescent="0.25">
      <c r="A1181" s="10" t="s">
        <v>801</v>
      </c>
      <c r="B1181" s="10" t="s">
        <v>384</v>
      </c>
      <c r="C1181" s="136" t="s">
        <v>385</v>
      </c>
      <c r="D1181" s="136" t="s">
        <v>591</v>
      </c>
      <c r="E1181" s="136" t="s">
        <v>75</v>
      </c>
      <c r="F1181" s="10" t="s">
        <v>1679</v>
      </c>
      <c r="G1181" s="10" t="s">
        <v>1699</v>
      </c>
      <c r="H1181" s="137">
        <v>2955</v>
      </c>
      <c r="I1181" s="138"/>
      <c r="J1181" s="10">
        <v>5511</v>
      </c>
      <c r="K1181" s="136" t="s">
        <v>106</v>
      </c>
      <c r="L1181" s="10">
        <v>55</v>
      </c>
      <c r="M1181" s="10" t="s">
        <v>2219</v>
      </c>
      <c r="N1181" s="136" t="s">
        <v>131</v>
      </c>
      <c r="O1181" s="136" t="s">
        <v>549</v>
      </c>
      <c r="P1181" s="136" t="s">
        <v>85</v>
      </c>
    </row>
    <row r="1182" spans="1:16" x14ac:dyDescent="0.25">
      <c r="A1182" s="139" t="s">
        <v>801</v>
      </c>
      <c r="B1182" s="139" t="s">
        <v>386</v>
      </c>
      <c r="C1182" s="140" t="s">
        <v>377</v>
      </c>
      <c r="D1182" s="140" t="s">
        <v>591</v>
      </c>
      <c r="E1182" s="140" t="s">
        <v>75</v>
      </c>
      <c r="F1182" s="139" t="s">
        <v>462</v>
      </c>
      <c r="G1182" s="139" t="s">
        <v>672</v>
      </c>
      <c r="H1182" s="141">
        <v>800</v>
      </c>
      <c r="I1182" s="142"/>
      <c r="J1182" s="139">
        <v>45008</v>
      </c>
      <c r="K1182" s="140" t="s">
        <v>129</v>
      </c>
      <c r="L1182" s="139">
        <v>4500</v>
      </c>
      <c r="M1182" s="139" t="s">
        <v>2244</v>
      </c>
      <c r="N1182" s="140" t="s">
        <v>164</v>
      </c>
      <c r="O1182" s="140" t="s">
        <v>546</v>
      </c>
      <c r="P1182" s="140" t="s">
        <v>85</v>
      </c>
    </row>
    <row r="1183" spans="1:16" x14ac:dyDescent="0.25">
      <c r="A1183" s="10" t="s">
        <v>801</v>
      </c>
      <c r="B1183" s="10" t="s">
        <v>386</v>
      </c>
      <c r="C1183" s="136" t="s">
        <v>377</v>
      </c>
      <c r="D1183" s="136" t="s">
        <v>591</v>
      </c>
      <c r="E1183" s="136" t="s">
        <v>75</v>
      </c>
      <c r="F1183" s="10" t="s">
        <v>462</v>
      </c>
      <c r="G1183" s="10" t="s">
        <v>673</v>
      </c>
      <c r="H1183" s="137">
        <v>2820</v>
      </c>
      <c r="I1183" s="138"/>
      <c r="J1183" s="10">
        <v>5526</v>
      </c>
      <c r="K1183" s="136" t="s">
        <v>119</v>
      </c>
      <c r="L1183" s="10">
        <v>55</v>
      </c>
      <c r="M1183" s="10" t="s">
        <v>2219</v>
      </c>
      <c r="N1183" s="136" t="s">
        <v>131</v>
      </c>
      <c r="O1183" s="136" t="s">
        <v>549</v>
      </c>
      <c r="P1183" s="136" t="s">
        <v>85</v>
      </c>
    </row>
    <row r="1184" spans="1:16" x14ac:dyDescent="0.25">
      <c r="A1184" s="139" t="s">
        <v>801</v>
      </c>
      <c r="B1184" s="139" t="s">
        <v>386</v>
      </c>
      <c r="C1184" s="140" t="s">
        <v>377</v>
      </c>
      <c r="D1184" s="140" t="s">
        <v>591</v>
      </c>
      <c r="E1184" s="140" t="s">
        <v>75</v>
      </c>
      <c r="F1184" s="139" t="s">
        <v>462</v>
      </c>
      <c r="G1184" s="139" t="s">
        <v>674</v>
      </c>
      <c r="H1184" s="141">
        <v>3000</v>
      </c>
      <c r="I1184" s="142"/>
      <c r="J1184" s="139">
        <v>4500</v>
      </c>
      <c r="K1184" s="140" t="s">
        <v>128</v>
      </c>
      <c r="L1184" s="139">
        <v>4500</v>
      </c>
      <c r="M1184" s="139" t="s">
        <v>2244</v>
      </c>
      <c r="N1184" s="140" t="s">
        <v>164</v>
      </c>
      <c r="O1184" s="140" t="s">
        <v>546</v>
      </c>
      <c r="P1184" s="140" t="s">
        <v>85</v>
      </c>
    </row>
    <row r="1185" spans="1:16" x14ac:dyDescent="0.25">
      <c r="A1185" s="10" t="s">
        <v>801</v>
      </c>
      <c r="B1185" s="10" t="s">
        <v>386</v>
      </c>
      <c r="C1185" s="136" t="s">
        <v>377</v>
      </c>
      <c r="D1185" s="136" t="s">
        <v>591</v>
      </c>
      <c r="E1185" s="136" t="s">
        <v>75</v>
      </c>
      <c r="F1185" s="10" t="s">
        <v>462</v>
      </c>
      <c r="G1185" s="10" t="s">
        <v>678</v>
      </c>
      <c r="H1185" s="137">
        <v>4000</v>
      </c>
      <c r="I1185" s="138"/>
      <c r="J1185" s="10">
        <v>5526</v>
      </c>
      <c r="K1185" s="136" t="s">
        <v>119</v>
      </c>
      <c r="L1185" s="10">
        <v>55</v>
      </c>
      <c r="M1185" s="10" t="s">
        <v>2219</v>
      </c>
      <c r="N1185" s="136" t="s">
        <v>131</v>
      </c>
      <c r="O1185" s="136" t="s">
        <v>549</v>
      </c>
      <c r="P1185" s="136" t="s">
        <v>85</v>
      </c>
    </row>
    <row r="1186" spans="1:16" x14ac:dyDescent="0.25">
      <c r="A1186" s="139" t="s">
        <v>801</v>
      </c>
      <c r="B1186" s="139" t="s">
        <v>386</v>
      </c>
      <c r="C1186" s="140" t="s">
        <v>377</v>
      </c>
      <c r="D1186" s="140" t="s">
        <v>591</v>
      </c>
      <c r="E1186" s="140" t="s">
        <v>75</v>
      </c>
      <c r="F1186" s="139" t="s">
        <v>462</v>
      </c>
      <c r="G1186" s="139" t="s">
        <v>679</v>
      </c>
      <c r="H1186" s="141">
        <v>1000</v>
      </c>
      <c r="I1186" s="142"/>
      <c r="J1186" s="139">
        <v>5526</v>
      </c>
      <c r="K1186" s="140" t="s">
        <v>119</v>
      </c>
      <c r="L1186" s="139">
        <v>55</v>
      </c>
      <c r="M1186" s="139" t="s">
        <v>2219</v>
      </c>
      <c r="N1186" s="140" t="s">
        <v>131</v>
      </c>
      <c r="O1186" s="140" t="s">
        <v>549</v>
      </c>
      <c r="P1186" s="140" t="s">
        <v>85</v>
      </c>
    </row>
    <row r="1187" spans="1:16" x14ac:dyDescent="0.25">
      <c r="A1187" s="10" t="s">
        <v>801</v>
      </c>
      <c r="B1187" s="10" t="s">
        <v>386</v>
      </c>
      <c r="C1187" s="136" t="s">
        <v>377</v>
      </c>
      <c r="D1187" s="136" t="s">
        <v>591</v>
      </c>
      <c r="E1187" s="136" t="s">
        <v>75</v>
      </c>
      <c r="F1187" s="10" t="s">
        <v>462</v>
      </c>
      <c r="G1187" s="10" t="s">
        <v>691</v>
      </c>
      <c r="H1187" s="137">
        <v>1000</v>
      </c>
      <c r="I1187" s="138"/>
      <c r="J1187" s="10">
        <v>413899</v>
      </c>
      <c r="K1187" s="136" t="s">
        <v>148</v>
      </c>
      <c r="L1187" s="10">
        <v>413</v>
      </c>
      <c r="M1187" s="10" t="s">
        <v>2246</v>
      </c>
      <c r="N1187" s="136" t="s">
        <v>164</v>
      </c>
      <c r="O1187" s="136" t="s">
        <v>545</v>
      </c>
      <c r="P1187" s="136" t="s">
        <v>85</v>
      </c>
    </row>
    <row r="1188" spans="1:16" x14ac:dyDescent="0.25">
      <c r="A1188" s="143" t="s">
        <v>801</v>
      </c>
      <c r="B1188" s="143" t="s">
        <v>386</v>
      </c>
      <c r="C1188" s="144" t="s">
        <v>377</v>
      </c>
      <c r="D1188" s="144" t="s">
        <v>591</v>
      </c>
      <c r="E1188" s="144" t="s">
        <v>75</v>
      </c>
      <c r="F1188" s="143" t="s">
        <v>462</v>
      </c>
      <c r="G1188" s="143" t="s">
        <v>1678</v>
      </c>
      <c r="H1188" s="145">
        <v>147600</v>
      </c>
      <c r="I1188" s="146" t="s">
        <v>82</v>
      </c>
      <c r="J1188" s="143">
        <v>5526</v>
      </c>
      <c r="K1188" s="144" t="s">
        <v>119</v>
      </c>
      <c r="L1188" s="143">
        <v>55</v>
      </c>
      <c r="M1188" s="143" t="s">
        <v>2219</v>
      </c>
      <c r="N1188" s="144" t="s">
        <v>131</v>
      </c>
      <c r="O1188" s="144" t="s">
        <v>549</v>
      </c>
      <c r="P1188" s="144" t="s">
        <v>85</v>
      </c>
    </row>
    <row r="1189" spans="1:16" x14ac:dyDescent="0.25">
      <c r="A1189" s="10" t="s">
        <v>801</v>
      </c>
      <c r="B1189" s="10" t="s">
        <v>387</v>
      </c>
      <c r="C1189" s="136" t="s">
        <v>388</v>
      </c>
      <c r="D1189" s="136" t="s">
        <v>592</v>
      </c>
      <c r="E1189" s="136" t="s">
        <v>75</v>
      </c>
      <c r="F1189" s="10" t="s">
        <v>462</v>
      </c>
      <c r="G1189" s="10" t="s">
        <v>692</v>
      </c>
      <c r="H1189" s="137">
        <v>26000</v>
      </c>
      <c r="I1189" s="138" t="s">
        <v>693</v>
      </c>
      <c r="J1189" s="10">
        <v>41389</v>
      </c>
      <c r="K1189" s="136" t="s">
        <v>692</v>
      </c>
      <c r="L1189" s="10">
        <v>413</v>
      </c>
      <c r="M1189" s="10" t="s">
        <v>2246</v>
      </c>
      <c r="N1189" s="136" t="s">
        <v>164</v>
      </c>
      <c r="O1189" s="136" t="s">
        <v>545</v>
      </c>
      <c r="P1189" s="136" t="s">
        <v>85</v>
      </c>
    </row>
    <row r="1190" spans="1:16" x14ac:dyDescent="0.25">
      <c r="A1190" s="143" t="s">
        <v>801</v>
      </c>
      <c r="B1190" s="143" t="s">
        <v>387</v>
      </c>
      <c r="C1190" s="144" t="s">
        <v>388</v>
      </c>
      <c r="D1190" s="144" t="s">
        <v>592</v>
      </c>
      <c r="E1190" s="144" t="s">
        <v>75</v>
      </c>
      <c r="F1190" s="143" t="s">
        <v>462</v>
      </c>
      <c r="G1190" s="143" t="s">
        <v>692</v>
      </c>
      <c r="H1190" s="145">
        <v>22524</v>
      </c>
      <c r="I1190" s="146" t="s">
        <v>82</v>
      </c>
      <c r="J1190" s="143">
        <v>41389</v>
      </c>
      <c r="K1190" s="144" t="s">
        <v>692</v>
      </c>
      <c r="L1190" s="143">
        <v>413</v>
      </c>
      <c r="M1190" s="143" t="s">
        <v>2246</v>
      </c>
      <c r="N1190" s="144" t="s">
        <v>164</v>
      </c>
      <c r="O1190" s="144" t="s">
        <v>545</v>
      </c>
      <c r="P1190" s="144" t="s">
        <v>85</v>
      </c>
    </row>
    <row r="1191" spans="1:16" x14ac:dyDescent="0.25">
      <c r="A1191" s="10" t="s">
        <v>801</v>
      </c>
      <c r="B1191" s="10" t="s">
        <v>389</v>
      </c>
      <c r="C1191" s="136" t="s">
        <v>390</v>
      </c>
      <c r="D1191" s="136" t="s">
        <v>592</v>
      </c>
      <c r="E1191" s="136" t="s">
        <v>75</v>
      </c>
      <c r="F1191" s="10" t="s">
        <v>462</v>
      </c>
      <c r="G1191" s="10" t="s">
        <v>666</v>
      </c>
      <c r="H1191" s="137">
        <v>9100</v>
      </c>
      <c r="I1191" s="138"/>
      <c r="J1191" s="10">
        <v>41309</v>
      </c>
      <c r="K1191" s="136" t="s">
        <v>150</v>
      </c>
      <c r="L1191" s="10">
        <v>413</v>
      </c>
      <c r="M1191" s="10" t="s">
        <v>2246</v>
      </c>
      <c r="N1191" s="136" t="s">
        <v>164</v>
      </c>
      <c r="O1191" s="136" t="s">
        <v>545</v>
      </c>
      <c r="P1191" s="136" t="s">
        <v>85</v>
      </c>
    </row>
    <row r="1192" spans="1:16" x14ac:dyDescent="0.25">
      <c r="A1192" s="139" t="s">
        <v>801</v>
      </c>
      <c r="B1192" s="139" t="s">
        <v>389</v>
      </c>
      <c r="C1192" s="140" t="s">
        <v>390</v>
      </c>
      <c r="D1192" s="140" t="s">
        <v>592</v>
      </c>
      <c r="E1192" s="140" t="s">
        <v>75</v>
      </c>
      <c r="F1192" s="139" t="s">
        <v>462</v>
      </c>
      <c r="G1192" s="139" t="s">
        <v>669</v>
      </c>
      <c r="H1192" s="141">
        <v>21000</v>
      </c>
      <c r="I1192" s="142"/>
      <c r="J1192" s="139">
        <v>41309</v>
      </c>
      <c r="K1192" s="140" t="s">
        <v>150</v>
      </c>
      <c r="L1192" s="139">
        <v>413</v>
      </c>
      <c r="M1192" s="139" t="s">
        <v>2246</v>
      </c>
      <c r="N1192" s="140" t="s">
        <v>164</v>
      </c>
      <c r="O1192" s="140" t="s">
        <v>545</v>
      </c>
      <c r="P1192" s="140" t="s">
        <v>85</v>
      </c>
    </row>
    <row r="1193" spans="1:16" x14ac:dyDescent="0.25">
      <c r="A1193" s="10" t="s">
        <v>801</v>
      </c>
      <c r="B1193" s="10" t="s">
        <v>389</v>
      </c>
      <c r="C1193" s="136" t="s">
        <v>390</v>
      </c>
      <c r="D1193" s="136" t="s">
        <v>592</v>
      </c>
      <c r="E1193" s="136" t="s">
        <v>75</v>
      </c>
      <c r="F1193" s="10" t="s">
        <v>462</v>
      </c>
      <c r="G1193" s="10" t="s">
        <v>676</v>
      </c>
      <c r="H1193" s="137">
        <v>3000</v>
      </c>
      <c r="I1193" s="138"/>
      <c r="J1193" s="10">
        <v>41309</v>
      </c>
      <c r="K1193" s="136" t="s">
        <v>150</v>
      </c>
      <c r="L1193" s="10">
        <v>413</v>
      </c>
      <c r="M1193" s="10" t="s">
        <v>2246</v>
      </c>
      <c r="N1193" s="136" t="s">
        <v>164</v>
      </c>
      <c r="O1193" s="136" t="s">
        <v>545</v>
      </c>
      <c r="P1193" s="136" t="s">
        <v>85</v>
      </c>
    </row>
    <row r="1194" spans="1:16" x14ac:dyDescent="0.25">
      <c r="A1194" s="139" t="s">
        <v>801</v>
      </c>
      <c r="B1194" s="139" t="s">
        <v>389</v>
      </c>
      <c r="C1194" s="140" t="s">
        <v>390</v>
      </c>
      <c r="D1194" s="140" t="s">
        <v>592</v>
      </c>
      <c r="E1194" s="140" t="s">
        <v>75</v>
      </c>
      <c r="F1194" s="139" t="s">
        <v>462</v>
      </c>
      <c r="G1194" s="139" t="s">
        <v>2112</v>
      </c>
      <c r="H1194" s="141">
        <v>15000</v>
      </c>
      <c r="I1194" s="142"/>
      <c r="J1194" s="139">
        <v>41309</v>
      </c>
      <c r="K1194" s="140" t="s">
        <v>150</v>
      </c>
      <c r="L1194" s="139">
        <v>413</v>
      </c>
      <c r="M1194" s="139" t="s">
        <v>2246</v>
      </c>
      <c r="N1194" s="140" t="s">
        <v>164</v>
      </c>
      <c r="O1194" s="140" t="s">
        <v>545</v>
      </c>
      <c r="P1194" s="140" t="s">
        <v>85</v>
      </c>
    </row>
    <row r="1195" spans="1:16" x14ac:dyDescent="0.25">
      <c r="A1195" s="10" t="s">
        <v>801</v>
      </c>
      <c r="B1195" s="10" t="s">
        <v>391</v>
      </c>
      <c r="C1195" s="136" t="s">
        <v>736</v>
      </c>
      <c r="D1195" s="136" t="s">
        <v>592</v>
      </c>
      <c r="E1195" s="136" t="s">
        <v>75</v>
      </c>
      <c r="F1195" s="10" t="s">
        <v>462</v>
      </c>
      <c r="G1195" s="10" t="s">
        <v>675</v>
      </c>
      <c r="H1195" s="137">
        <v>2500</v>
      </c>
      <c r="I1195" s="138"/>
      <c r="J1195" s="10">
        <v>41309</v>
      </c>
      <c r="K1195" s="136" t="s">
        <v>150</v>
      </c>
      <c r="L1195" s="10">
        <v>413</v>
      </c>
      <c r="M1195" s="10" t="s">
        <v>2246</v>
      </c>
      <c r="N1195" s="136" t="s">
        <v>164</v>
      </c>
      <c r="O1195" s="136" t="s">
        <v>545</v>
      </c>
      <c r="P1195" s="136" t="s">
        <v>85</v>
      </c>
    </row>
    <row r="1196" spans="1:16" x14ac:dyDescent="0.25">
      <c r="A1196" s="139" t="s">
        <v>801</v>
      </c>
      <c r="B1196" s="139" t="s">
        <v>392</v>
      </c>
      <c r="C1196" s="140" t="s">
        <v>689</v>
      </c>
      <c r="D1196" s="140" t="s">
        <v>592</v>
      </c>
      <c r="E1196" s="140" t="s">
        <v>75</v>
      </c>
      <c r="F1196" s="139" t="s">
        <v>462</v>
      </c>
      <c r="G1196" s="139" t="s">
        <v>667</v>
      </c>
      <c r="H1196" s="141">
        <v>40000</v>
      </c>
      <c r="I1196" s="142"/>
      <c r="J1196" s="139">
        <v>41300</v>
      </c>
      <c r="K1196" s="140" t="s">
        <v>149</v>
      </c>
      <c r="L1196" s="139">
        <v>413</v>
      </c>
      <c r="M1196" s="139" t="s">
        <v>2246</v>
      </c>
      <c r="N1196" s="140" t="s">
        <v>164</v>
      </c>
      <c r="O1196" s="140" t="s">
        <v>545</v>
      </c>
      <c r="P1196" s="140" t="s">
        <v>85</v>
      </c>
    </row>
    <row r="1197" spans="1:16" x14ac:dyDescent="0.25">
      <c r="A1197" s="10" t="s">
        <v>801</v>
      </c>
      <c r="B1197" s="10" t="s">
        <v>392</v>
      </c>
      <c r="C1197" s="136" t="s">
        <v>689</v>
      </c>
      <c r="D1197" s="136" t="s">
        <v>592</v>
      </c>
      <c r="E1197" s="136" t="s">
        <v>75</v>
      </c>
      <c r="F1197" s="10" t="s">
        <v>462</v>
      </c>
      <c r="G1197" s="10" t="s">
        <v>682</v>
      </c>
      <c r="H1197" s="137">
        <v>5600</v>
      </c>
      <c r="I1197" s="138"/>
      <c r="J1197" s="10">
        <v>41309</v>
      </c>
      <c r="K1197" s="136" t="s">
        <v>150</v>
      </c>
      <c r="L1197" s="10">
        <v>413</v>
      </c>
      <c r="M1197" s="10" t="s">
        <v>2246</v>
      </c>
      <c r="N1197" s="136" t="s">
        <v>164</v>
      </c>
      <c r="O1197" s="136" t="s">
        <v>545</v>
      </c>
      <c r="P1197" s="136" t="s">
        <v>85</v>
      </c>
    </row>
    <row r="1198" spans="1:16" x14ac:dyDescent="0.25">
      <c r="A1198" s="139" t="s">
        <v>801</v>
      </c>
      <c r="B1198" s="139" t="s">
        <v>393</v>
      </c>
      <c r="C1198" s="140" t="s">
        <v>688</v>
      </c>
      <c r="D1198" s="140" t="s">
        <v>592</v>
      </c>
      <c r="E1198" s="140" t="s">
        <v>75</v>
      </c>
      <c r="F1198" s="139" t="s">
        <v>462</v>
      </c>
      <c r="G1198" s="139" t="s">
        <v>668</v>
      </c>
      <c r="H1198" s="141">
        <v>11200</v>
      </c>
      <c r="I1198" s="142"/>
      <c r="J1198" s="139">
        <v>41309</v>
      </c>
      <c r="K1198" s="140" t="s">
        <v>150</v>
      </c>
      <c r="L1198" s="139">
        <v>413</v>
      </c>
      <c r="M1198" s="139" t="s">
        <v>2246</v>
      </c>
      <c r="N1198" s="140" t="s">
        <v>164</v>
      </c>
      <c r="O1198" s="140" t="s">
        <v>545</v>
      </c>
      <c r="P1198" s="140" t="s">
        <v>85</v>
      </c>
    </row>
    <row r="1199" spans="1:16" x14ac:dyDescent="0.25">
      <c r="A1199" s="10" t="s">
        <v>801</v>
      </c>
      <c r="B1199" s="10" t="s">
        <v>393</v>
      </c>
      <c r="C1199" s="136" t="s">
        <v>688</v>
      </c>
      <c r="D1199" s="136" t="s">
        <v>592</v>
      </c>
      <c r="E1199" s="136" t="s">
        <v>75</v>
      </c>
      <c r="F1199" s="10" t="s">
        <v>462</v>
      </c>
      <c r="G1199" s="10" t="s">
        <v>677</v>
      </c>
      <c r="H1199" s="137">
        <v>2400</v>
      </c>
      <c r="I1199" s="138" t="s">
        <v>685</v>
      </c>
      <c r="J1199" s="10">
        <v>41309</v>
      </c>
      <c r="K1199" s="136" t="s">
        <v>150</v>
      </c>
      <c r="L1199" s="10">
        <v>413</v>
      </c>
      <c r="M1199" s="10" t="s">
        <v>2246</v>
      </c>
      <c r="N1199" s="136" t="s">
        <v>164</v>
      </c>
      <c r="O1199" s="136" t="s">
        <v>545</v>
      </c>
      <c r="P1199" s="136" t="s">
        <v>85</v>
      </c>
    </row>
    <row r="1200" spans="1:16" x14ac:dyDescent="0.25">
      <c r="A1200" s="139" t="s">
        <v>801</v>
      </c>
      <c r="B1200" s="139" t="s">
        <v>394</v>
      </c>
      <c r="C1200" s="140" t="s">
        <v>395</v>
      </c>
      <c r="D1200" s="140" t="s">
        <v>592</v>
      </c>
      <c r="E1200" s="140" t="s">
        <v>75</v>
      </c>
      <c r="F1200" s="139" t="s">
        <v>462</v>
      </c>
      <c r="G1200" s="139" t="s">
        <v>665</v>
      </c>
      <c r="H1200" s="141">
        <v>1760</v>
      </c>
      <c r="I1200" s="142" t="s">
        <v>683</v>
      </c>
      <c r="J1200" s="139">
        <v>41309</v>
      </c>
      <c r="K1200" s="140" t="s">
        <v>150</v>
      </c>
      <c r="L1200" s="139">
        <v>413</v>
      </c>
      <c r="M1200" s="139" t="s">
        <v>2246</v>
      </c>
      <c r="N1200" s="140" t="s">
        <v>164</v>
      </c>
      <c r="O1200" s="140" t="s">
        <v>545</v>
      </c>
      <c r="P1200" s="140" t="s">
        <v>85</v>
      </c>
    </row>
    <row r="1201" spans="1:16" x14ac:dyDescent="0.25">
      <c r="A1201" s="10" t="s">
        <v>801</v>
      </c>
      <c r="B1201" s="10" t="s">
        <v>394</v>
      </c>
      <c r="C1201" s="136" t="s">
        <v>395</v>
      </c>
      <c r="D1201" s="136" t="s">
        <v>592</v>
      </c>
      <c r="E1201" s="136" t="s">
        <v>75</v>
      </c>
      <c r="F1201" s="10" t="s">
        <v>462</v>
      </c>
      <c r="G1201" s="10" t="s">
        <v>670</v>
      </c>
      <c r="H1201" s="137">
        <v>400</v>
      </c>
      <c r="I1201" s="138"/>
      <c r="J1201" s="10">
        <v>41309</v>
      </c>
      <c r="K1201" s="136" t="s">
        <v>150</v>
      </c>
      <c r="L1201" s="10">
        <v>413</v>
      </c>
      <c r="M1201" s="10" t="s">
        <v>2246</v>
      </c>
      <c r="N1201" s="136" t="s">
        <v>164</v>
      </c>
      <c r="O1201" s="136" t="s">
        <v>545</v>
      </c>
      <c r="P1201" s="136" t="s">
        <v>85</v>
      </c>
    </row>
    <row r="1202" spans="1:16" x14ac:dyDescent="0.25">
      <c r="A1202" s="139" t="s">
        <v>801</v>
      </c>
      <c r="B1202" s="139" t="s">
        <v>394</v>
      </c>
      <c r="C1202" s="140" t="s">
        <v>395</v>
      </c>
      <c r="D1202" s="140" t="s">
        <v>592</v>
      </c>
      <c r="E1202" s="140" t="s">
        <v>75</v>
      </c>
      <c r="F1202" s="139" t="s">
        <v>462</v>
      </c>
      <c r="G1202" s="139" t="s">
        <v>671</v>
      </c>
      <c r="H1202" s="141">
        <v>2400</v>
      </c>
      <c r="I1202" s="142" t="s">
        <v>684</v>
      </c>
      <c r="J1202" s="139">
        <v>41309</v>
      </c>
      <c r="K1202" s="140" t="s">
        <v>150</v>
      </c>
      <c r="L1202" s="139">
        <v>413</v>
      </c>
      <c r="M1202" s="139" t="s">
        <v>2246</v>
      </c>
      <c r="N1202" s="140" t="s">
        <v>164</v>
      </c>
      <c r="O1202" s="140" t="s">
        <v>545</v>
      </c>
      <c r="P1202" s="140" t="s">
        <v>85</v>
      </c>
    </row>
    <row r="1203" spans="1:16" x14ac:dyDescent="0.25">
      <c r="A1203" s="10" t="s">
        <v>801</v>
      </c>
      <c r="B1203" s="10" t="s">
        <v>394</v>
      </c>
      <c r="C1203" s="136" t="s">
        <v>395</v>
      </c>
      <c r="D1203" s="136" t="s">
        <v>592</v>
      </c>
      <c r="E1203" s="136" t="s">
        <v>75</v>
      </c>
      <c r="F1203" s="10" t="s">
        <v>462</v>
      </c>
      <c r="G1203" s="10" t="s">
        <v>680</v>
      </c>
      <c r="H1203" s="137">
        <v>2800</v>
      </c>
      <c r="I1203" s="138"/>
      <c r="J1203" s="10">
        <v>41309</v>
      </c>
      <c r="K1203" s="136" t="s">
        <v>150</v>
      </c>
      <c r="L1203" s="10">
        <v>413</v>
      </c>
      <c r="M1203" s="10" t="s">
        <v>2246</v>
      </c>
      <c r="N1203" s="136" t="s">
        <v>164</v>
      </c>
      <c r="O1203" s="136" t="s">
        <v>545</v>
      </c>
      <c r="P1203" s="136" t="s">
        <v>85</v>
      </c>
    </row>
    <row r="1204" spans="1:16" x14ac:dyDescent="0.25">
      <c r="A1204" s="139" t="s">
        <v>801</v>
      </c>
      <c r="B1204" s="139" t="s">
        <v>394</v>
      </c>
      <c r="C1204" s="140" t="s">
        <v>395</v>
      </c>
      <c r="D1204" s="140" t="s">
        <v>592</v>
      </c>
      <c r="E1204" s="140" t="s">
        <v>75</v>
      </c>
      <c r="F1204" s="139" t="s">
        <v>462</v>
      </c>
      <c r="G1204" s="139" t="s">
        <v>681</v>
      </c>
      <c r="H1204" s="141">
        <v>800</v>
      </c>
      <c r="I1204" s="142"/>
      <c r="J1204" s="139">
        <v>41309</v>
      </c>
      <c r="K1204" s="140" t="s">
        <v>150</v>
      </c>
      <c r="L1204" s="139">
        <v>413</v>
      </c>
      <c r="M1204" s="139" t="s">
        <v>2246</v>
      </c>
      <c r="N1204" s="140" t="s">
        <v>164</v>
      </c>
      <c r="O1204" s="140" t="s">
        <v>545</v>
      </c>
      <c r="P1204" s="140" t="s">
        <v>85</v>
      </c>
    </row>
    <row r="1205" spans="1:16" x14ac:dyDescent="0.25">
      <c r="A1205" s="10" t="s">
        <v>801</v>
      </c>
      <c r="B1205" s="10" t="s">
        <v>394</v>
      </c>
      <c r="C1205" s="136" t="s">
        <v>395</v>
      </c>
      <c r="D1205" s="136" t="s">
        <v>592</v>
      </c>
      <c r="E1205" s="136" t="s">
        <v>75</v>
      </c>
      <c r="F1205" s="10" t="s">
        <v>462</v>
      </c>
      <c r="G1205" s="10" t="s">
        <v>690</v>
      </c>
      <c r="H1205" s="137">
        <v>600</v>
      </c>
      <c r="I1205" s="138"/>
      <c r="J1205" s="10">
        <v>5526</v>
      </c>
      <c r="K1205" s="136" t="s">
        <v>119</v>
      </c>
      <c r="L1205" s="10">
        <v>55</v>
      </c>
      <c r="M1205" s="10" t="s">
        <v>2219</v>
      </c>
      <c r="N1205" s="136" t="s">
        <v>131</v>
      </c>
      <c r="O1205" s="136" t="s">
        <v>549</v>
      </c>
      <c r="P1205" s="136" t="s">
        <v>85</v>
      </c>
    </row>
    <row r="1206" spans="1:16" x14ac:dyDescent="0.25">
      <c r="A1206" s="139" t="s">
        <v>801</v>
      </c>
      <c r="B1206" s="139" t="s">
        <v>394</v>
      </c>
      <c r="C1206" s="140" t="s">
        <v>395</v>
      </c>
      <c r="D1206" s="140" t="s">
        <v>592</v>
      </c>
      <c r="E1206" s="140" t="s">
        <v>75</v>
      </c>
      <c r="F1206" s="139" t="s">
        <v>462</v>
      </c>
      <c r="G1206" s="139" t="s">
        <v>1669</v>
      </c>
      <c r="H1206" s="141">
        <v>8000</v>
      </c>
      <c r="I1206" s="142"/>
      <c r="J1206" s="139">
        <v>5525</v>
      </c>
      <c r="K1206" s="140" t="s">
        <v>118</v>
      </c>
      <c r="L1206" s="139">
        <v>55</v>
      </c>
      <c r="M1206" s="139" t="s">
        <v>2219</v>
      </c>
      <c r="N1206" s="140" t="s">
        <v>131</v>
      </c>
      <c r="O1206" s="140" t="s">
        <v>549</v>
      </c>
      <c r="P1206" s="140" t="s">
        <v>85</v>
      </c>
    </row>
    <row r="1207" spans="1:16" x14ac:dyDescent="0.25">
      <c r="A1207" s="10" t="s">
        <v>801</v>
      </c>
      <c r="B1207" s="10" t="s">
        <v>394</v>
      </c>
      <c r="C1207" s="136" t="s">
        <v>395</v>
      </c>
      <c r="D1207" s="136" t="s">
        <v>592</v>
      </c>
      <c r="E1207" s="136" t="s">
        <v>75</v>
      </c>
      <c r="F1207" s="10" t="s">
        <v>462</v>
      </c>
      <c r="G1207" s="10" t="s">
        <v>2036</v>
      </c>
      <c r="H1207" s="137">
        <v>600</v>
      </c>
      <c r="I1207" s="138"/>
      <c r="J1207" s="10">
        <v>4500</v>
      </c>
      <c r="K1207" s="136" t="s">
        <v>128</v>
      </c>
      <c r="L1207" s="10">
        <v>4500</v>
      </c>
      <c r="M1207" s="10" t="s">
        <v>2244</v>
      </c>
      <c r="N1207" s="136" t="s">
        <v>164</v>
      </c>
      <c r="O1207" s="136" t="s">
        <v>546</v>
      </c>
      <c r="P1207" s="136" t="s">
        <v>85</v>
      </c>
    </row>
    <row r="1208" spans="1:16" x14ac:dyDescent="0.25">
      <c r="A1208" s="139" t="s">
        <v>801</v>
      </c>
      <c r="B1208" s="139" t="s">
        <v>394</v>
      </c>
      <c r="C1208" s="140" t="s">
        <v>395</v>
      </c>
      <c r="D1208" s="140" t="s">
        <v>592</v>
      </c>
      <c r="E1208" s="140" t="s">
        <v>75</v>
      </c>
      <c r="F1208" s="139" t="s">
        <v>462</v>
      </c>
      <c r="G1208" s="139" t="s">
        <v>2160</v>
      </c>
      <c r="H1208" s="141">
        <v>3000</v>
      </c>
      <c r="I1208" s="142"/>
      <c r="J1208" s="139">
        <v>41309</v>
      </c>
      <c r="K1208" s="140" t="s">
        <v>150</v>
      </c>
      <c r="L1208" s="139">
        <v>413</v>
      </c>
      <c r="M1208" s="139" t="s">
        <v>2246</v>
      </c>
      <c r="N1208" s="140" t="s">
        <v>164</v>
      </c>
      <c r="O1208" s="140" t="s">
        <v>545</v>
      </c>
      <c r="P1208" s="140" t="s">
        <v>85</v>
      </c>
    </row>
    <row r="1209" spans="1:16" x14ac:dyDescent="0.25">
      <c r="A1209" s="10" t="s">
        <v>801</v>
      </c>
      <c r="B1209" s="10" t="s">
        <v>57</v>
      </c>
      <c r="C1209" s="136" t="s">
        <v>58</v>
      </c>
      <c r="D1209" s="136" t="s">
        <v>593</v>
      </c>
      <c r="E1209" s="136" t="s">
        <v>75</v>
      </c>
      <c r="F1209" s="10" t="s">
        <v>462</v>
      </c>
      <c r="G1209" s="10" t="s">
        <v>661</v>
      </c>
      <c r="H1209" s="137">
        <v>3000</v>
      </c>
      <c r="I1209" s="138"/>
      <c r="J1209" s="10">
        <v>41329</v>
      </c>
      <c r="K1209" s="136" t="s">
        <v>664</v>
      </c>
      <c r="L1209" s="10">
        <v>413</v>
      </c>
      <c r="M1209" s="10" t="s">
        <v>2246</v>
      </c>
      <c r="N1209" s="136" t="s">
        <v>164</v>
      </c>
      <c r="O1209" s="136" t="s">
        <v>545</v>
      </c>
      <c r="P1209" s="136" t="s">
        <v>85</v>
      </c>
    </row>
    <row r="1210" spans="1:16" x14ac:dyDescent="0.25">
      <c r="A1210" s="139" t="s">
        <v>801</v>
      </c>
      <c r="B1210" s="139" t="s">
        <v>57</v>
      </c>
      <c r="C1210" s="140" t="s">
        <v>58</v>
      </c>
      <c r="D1210" s="140" t="s">
        <v>593</v>
      </c>
      <c r="E1210" s="140" t="s">
        <v>75</v>
      </c>
      <c r="F1210" s="139" t="s">
        <v>462</v>
      </c>
      <c r="G1210" s="139" t="s">
        <v>662</v>
      </c>
      <c r="H1210" s="141">
        <v>1200</v>
      </c>
      <c r="I1210" s="142"/>
      <c r="J1210" s="139">
        <v>41329</v>
      </c>
      <c r="K1210" s="140" t="s">
        <v>664</v>
      </c>
      <c r="L1210" s="139">
        <v>413</v>
      </c>
      <c r="M1210" s="139" t="s">
        <v>2246</v>
      </c>
      <c r="N1210" s="140" t="s">
        <v>164</v>
      </c>
      <c r="O1210" s="140" t="s">
        <v>545</v>
      </c>
      <c r="P1210" s="140" t="s">
        <v>85</v>
      </c>
    </row>
    <row r="1211" spans="1:16" x14ac:dyDescent="0.25">
      <c r="A1211" s="10" t="s">
        <v>801</v>
      </c>
      <c r="B1211" s="10" t="s">
        <v>57</v>
      </c>
      <c r="C1211" s="136" t="s">
        <v>58</v>
      </c>
      <c r="D1211" s="136" t="s">
        <v>593</v>
      </c>
      <c r="E1211" s="136" t="s">
        <v>75</v>
      </c>
      <c r="F1211" s="10" t="s">
        <v>462</v>
      </c>
      <c r="G1211" s="10" t="s">
        <v>663</v>
      </c>
      <c r="H1211" s="137">
        <v>1200</v>
      </c>
      <c r="I1211" s="138"/>
      <c r="J1211" s="10">
        <v>41329</v>
      </c>
      <c r="K1211" s="136" t="s">
        <v>664</v>
      </c>
      <c r="L1211" s="10">
        <v>413</v>
      </c>
      <c r="M1211" s="10" t="s">
        <v>2246</v>
      </c>
      <c r="N1211" s="136" t="s">
        <v>164</v>
      </c>
      <c r="O1211" s="136" t="s">
        <v>545</v>
      </c>
      <c r="P1211" s="136" t="s">
        <v>85</v>
      </c>
    </row>
    <row r="1212" spans="1:16" x14ac:dyDescent="0.25">
      <c r="A1212" s="139" t="s">
        <v>801</v>
      </c>
      <c r="B1212" s="139" t="s">
        <v>59</v>
      </c>
      <c r="C1212" s="140" t="s">
        <v>60</v>
      </c>
      <c r="D1212" s="140" t="s">
        <v>594</v>
      </c>
      <c r="E1212" s="140" t="s">
        <v>75</v>
      </c>
      <c r="F1212" s="139" t="s">
        <v>462</v>
      </c>
      <c r="G1212" s="139" t="s">
        <v>659</v>
      </c>
      <c r="H1212" s="141">
        <v>16000</v>
      </c>
      <c r="I1212" s="142"/>
      <c r="J1212" s="139">
        <v>413899</v>
      </c>
      <c r="K1212" s="140" t="s">
        <v>148</v>
      </c>
      <c r="L1212" s="139">
        <v>413</v>
      </c>
      <c r="M1212" s="139" t="s">
        <v>2246</v>
      </c>
      <c r="N1212" s="140" t="s">
        <v>164</v>
      </c>
      <c r="O1212" s="140" t="s">
        <v>545</v>
      </c>
      <c r="P1212" s="140" t="s">
        <v>85</v>
      </c>
    </row>
    <row r="1213" spans="1:16" x14ac:dyDescent="0.25">
      <c r="A1213" s="10" t="s">
        <v>801</v>
      </c>
      <c r="B1213" s="10" t="s">
        <v>59</v>
      </c>
      <c r="C1213" s="136" t="s">
        <v>60</v>
      </c>
      <c r="D1213" s="136" t="s">
        <v>594</v>
      </c>
      <c r="E1213" s="136" t="s">
        <v>75</v>
      </c>
      <c r="F1213" s="10" t="s">
        <v>462</v>
      </c>
      <c r="G1213" s="10" t="s">
        <v>660</v>
      </c>
      <c r="H1213" s="137">
        <v>30000</v>
      </c>
      <c r="I1213" s="138"/>
      <c r="J1213" s="10">
        <v>5511</v>
      </c>
      <c r="K1213" s="136" t="s">
        <v>106</v>
      </c>
      <c r="L1213" s="10">
        <v>55</v>
      </c>
      <c r="M1213" s="10" t="s">
        <v>2219</v>
      </c>
      <c r="N1213" s="136" t="s">
        <v>131</v>
      </c>
      <c r="O1213" s="136" t="s">
        <v>549</v>
      </c>
      <c r="P1213" s="136" t="s">
        <v>85</v>
      </c>
    </row>
    <row r="1214" spans="1:16" x14ac:dyDescent="0.25">
      <c r="A1214" s="143" t="s">
        <v>801</v>
      </c>
      <c r="B1214" s="143" t="s">
        <v>61</v>
      </c>
      <c r="C1214" s="144" t="s">
        <v>62</v>
      </c>
      <c r="D1214" s="144" t="s">
        <v>595</v>
      </c>
      <c r="E1214" s="144" t="s">
        <v>75</v>
      </c>
      <c r="F1214" s="143" t="s">
        <v>462</v>
      </c>
      <c r="G1214" s="143" t="s">
        <v>657</v>
      </c>
      <c r="H1214" s="145">
        <v>67609</v>
      </c>
      <c r="I1214" s="146" t="s">
        <v>82</v>
      </c>
      <c r="J1214" s="143">
        <v>4131</v>
      </c>
      <c r="K1214" s="144" t="s">
        <v>140</v>
      </c>
      <c r="L1214" s="143">
        <v>413</v>
      </c>
      <c r="M1214" s="143" t="s">
        <v>2246</v>
      </c>
      <c r="N1214" s="144" t="s">
        <v>164</v>
      </c>
      <c r="O1214" s="144" t="s">
        <v>545</v>
      </c>
      <c r="P1214" s="144" t="s">
        <v>85</v>
      </c>
    </row>
    <row r="1215" spans="1:16" x14ac:dyDescent="0.25">
      <c r="A1215" s="10" t="s">
        <v>801</v>
      </c>
      <c r="B1215" s="10" t="s">
        <v>63</v>
      </c>
      <c r="C1215" s="136" t="s">
        <v>64</v>
      </c>
      <c r="D1215" s="136" t="s">
        <v>596</v>
      </c>
      <c r="E1215" s="136" t="s">
        <v>75</v>
      </c>
      <c r="F1215" s="10" t="s">
        <v>462</v>
      </c>
      <c r="G1215" s="10" t="s">
        <v>653</v>
      </c>
      <c r="H1215" s="137">
        <v>2000</v>
      </c>
      <c r="I1215" s="138"/>
      <c r="J1215" s="10">
        <v>413899</v>
      </c>
      <c r="K1215" s="136" t="s">
        <v>148</v>
      </c>
      <c r="L1215" s="10">
        <v>413</v>
      </c>
      <c r="M1215" s="10" t="s">
        <v>2246</v>
      </c>
      <c r="N1215" s="136" t="s">
        <v>164</v>
      </c>
      <c r="O1215" s="136" t="s">
        <v>545</v>
      </c>
      <c r="P1215" s="136" t="s">
        <v>85</v>
      </c>
    </row>
    <row r="1216" spans="1:16" x14ac:dyDescent="0.25">
      <c r="A1216" s="139" t="s">
        <v>801</v>
      </c>
      <c r="B1216" s="139" t="s">
        <v>63</v>
      </c>
      <c r="C1216" s="140" t="s">
        <v>64</v>
      </c>
      <c r="D1216" s="140" t="s">
        <v>596</v>
      </c>
      <c r="E1216" s="140" t="s">
        <v>75</v>
      </c>
      <c r="F1216" s="139" t="s">
        <v>462</v>
      </c>
      <c r="G1216" s="139" t="s">
        <v>654</v>
      </c>
      <c r="H1216" s="141">
        <v>20000</v>
      </c>
      <c r="I1216" s="142"/>
      <c r="J1216" s="139">
        <v>413899</v>
      </c>
      <c r="K1216" s="140" t="s">
        <v>148</v>
      </c>
      <c r="L1216" s="139">
        <v>413</v>
      </c>
      <c r="M1216" s="139" t="s">
        <v>2246</v>
      </c>
      <c r="N1216" s="140" t="s">
        <v>164</v>
      </c>
      <c r="O1216" s="140" t="s">
        <v>545</v>
      </c>
      <c r="P1216" s="140" t="s">
        <v>85</v>
      </c>
    </row>
    <row r="1217" spans="1:16" x14ac:dyDescent="0.25">
      <c r="A1217" s="10" t="s">
        <v>801</v>
      </c>
      <c r="B1217" s="10" t="s">
        <v>63</v>
      </c>
      <c r="C1217" s="136" t="s">
        <v>64</v>
      </c>
      <c r="D1217" s="136" t="s">
        <v>596</v>
      </c>
      <c r="E1217" s="136" t="s">
        <v>75</v>
      </c>
      <c r="F1217" s="10" t="s">
        <v>462</v>
      </c>
      <c r="G1217" s="10" t="s">
        <v>655</v>
      </c>
      <c r="H1217" s="137">
        <v>800</v>
      </c>
      <c r="I1217" s="138"/>
      <c r="J1217" s="10">
        <v>413899</v>
      </c>
      <c r="K1217" s="136" t="s">
        <v>148</v>
      </c>
      <c r="L1217" s="10">
        <v>413</v>
      </c>
      <c r="M1217" s="10" t="s">
        <v>2246</v>
      </c>
      <c r="N1217" s="136" t="s">
        <v>164</v>
      </c>
      <c r="O1217" s="136" t="s">
        <v>545</v>
      </c>
      <c r="P1217" s="136" t="s">
        <v>85</v>
      </c>
    </row>
    <row r="1218" spans="1:16" x14ac:dyDescent="0.25">
      <c r="A1218" s="139" t="s">
        <v>801</v>
      </c>
      <c r="B1218" s="139" t="s">
        <v>63</v>
      </c>
      <c r="C1218" s="140" t="s">
        <v>64</v>
      </c>
      <c r="D1218" s="140" t="s">
        <v>596</v>
      </c>
      <c r="E1218" s="140" t="s">
        <v>75</v>
      </c>
      <c r="F1218" s="139" t="s">
        <v>462</v>
      </c>
      <c r="G1218" s="139" t="s">
        <v>656</v>
      </c>
      <c r="H1218" s="141">
        <v>3000</v>
      </c>
      <c r="I1218" s="142"/>
      <c r="J1218" s="139">
        <v>413899</v>
      </c>
      <c r="K1218" s="140" t="s">
        <v>148</v>
      </c>
      <c r="L1218" s="139">
        <v>413</v>
      </c>
      <c r="M1218" s="139" t="s">
        <v>2246</v>
      </c>
      <c r="N1218" s="140" t="s">
        <v>164</v>
      </c>
      <c r="O1218" s="140" t="s">
        <v>545</v>
      </c>
      <c r="P1218" s="140" t="s">
        <v>85</v>
      </c>
    </row>
    <row r="1219" spans="1:16" x14ac:dyDescent="0.25">
      <c r="A1219" s="10" t="s">
        <v>801</v>
      </c>
      <c r="B1219" s="10" t="s">
        <v>63</v>
      </c>
      <c r="C1219" s="136" t="s">
        <v>64</v>
      </c>
      <c r="D1219" s="136" t="s">
        <v>596</v>
      </c>
      <c r="E1219" s="136" t="s">
        <v>75</v>
      </c>
      <c r="F1219" s="10" t="s">
        <v>462</v>
      </c>
      <c r="G1219" s="10" t="s">
        <v>2113</v>
      </c>
      <c r="H1219" s="137">
        <v>7440</v>
      </c>
      <c r="I1219" s="138" t="s">
        <v>2114</v>
      </c>
      <c r="J1219" s="10">
        <v>413899</v>
      </c>
      <c r="K1219" s="136" t="s">
        <v>148</v>
      </c>
      <c r="L1219" s="10">
        <v>413</v>
      </c>
      <c r="M1219" s="10" t="s">
        <v>2246</v>
      </c>
      <c r="N1219" s="136" t="s">
        <v>164</v>
      </c>
      <c r="O1219" s="136" t="s">
        <v>545</v>
      </c>
      <c r="P1219" s="136" t="s">
        <v>85</v>
      </c>
    </row>
    <row r="1220" spans="1:16" x14ac:dyDescent="0.25">
      <c r="A1220" s="139" t="s">
        <v>801</v>
      </c>
      <c r="B1220" s="139" t="s">
        <v>65</v>
      </c>
      <c r="C1220" s="140" t="s">
        <v>66</v>
      </c>
      <c r="D1220" s="140" t="s">
        <v>686</v>
      </c>
      <c r="E1220" s="140" t="s">
        <v>75</v>
      </c>
      <c r="F1220" s="139" t="s">
        <v>462</v>
      </c>
      <c r="G1220" s="139" t="s">
        <v>746</v>
      </c>
      <c r="H1220" s="141">
        <v>18500</v>
      </c>
      <c r="I1220" s="142" t="s">
        <v>747</v>
      </c>
      <c r="J1220" s="139">
        <v>5513</v>
      </c>
      <c r="K1220" s="140" t="s">
        <v>111</v>
      </c>
      <c r="L1220" s="139">
        <v>55</v>
      </c>
      <c r="M1220" s="139" t="s">
        <v>2219</v>
      </c>
      <c r="N1220" s="140" t="s">
        <v>131</v>
      </c>
      <c r="O1220" s="140" t="s">
        <v>549</v>
      </c>
      <c r="P1220" s="140" t="s">
        <v>85</v>
      </c>
    </row>
    <row r="1221" spans="1:16" x14ac:dyDescent="0.25">
      <c r="A1221" s="10" t="s">
        <v>801</v>
      </c>
      <c r="B1221" s="10" t="s">
        <v>65</v>
      </c>
      <c r="C1221" s="136" t="s">
        <v>66</v>
      </c>
      <c r="D1221" s="136" t="s">
        <v>686</v>
      </c>
      <c r="E1221" s="136" t="s">
        <v>75</v>
      </c>
      <c r="F1221" s="10" t="s">
        <v>462</v>
      </c>
      <c r="G1221" s="10" t="s">
        <v>748</v>
      </c>
      <c r="H1221" s="137">
        <v>816</v>
      </c>
      <c r="I1221" s="138"/>
      <c r="J1221" s="10">
        <v>5500</v>
      </c>
      <c r="K1221" s="136" t="s">
        <v>100</v>
      </c>
      <c r="L1221" s="10">
        <v>55</v>
      </c>
      <c r="M1221" s="10" t="s">
        <v>2219</v>
      </c>
      <c r="N1221" s="136" t="s">
        <v>131</v>
      </c>
      <c r="O1221" s="136" t="s">
        <v>549</v>
      </c>
      <c r="P1221" s="136" t="s">
        <v>85</v>
      </c>
    </row>
    <row r="1222" spans="1:16" x14ac:dyDescent="0.25">
      <c r="A1222" s="139" t="s">
        <v>801</v>
      </c>
      <c r="B1222" s="139" t="s">
        <v>65</v>
      </c>
      <c r="C1222" s="140" t="s">
        <v>66</v>
      </c>
      <c r="D1222" s="140" t="s">
        <v>686</v>
      </c>
      <c r="E1222" s="140" t="s">
        <v>75</v>
      </c>
      <c r="F1222" s="139" t="s">
        <v>462</v>
      </c>
      <c r="G1222" s="139" t="s">
        <v>102</v>
      </c>
      <c r="H1222" s="141">
        <v>1500</v>
      </c>
      <c r="I1222" s="142"/>
      <c r="J1222" s="139">
        <v>5504</v>
      </c>
      <c r="K1222" s="140" t="s">
        <v>102</v>
      </c>
      <c r="L1222" s="139">
        <v>55</v>
      </c>
      <c r="M1222" s="139" t="s">
        <v>2219</v>
      </c>
      <c r="N1222" s="140" t="s">
        <v>131</v>
      </c>
      <c r="O1222" s="140" t="s">
        <v>549</v>
      </c>
      <c r="P1222" s="140" t="s">
        <v>85</v>
      </c>
    </row>
    <row r="1223" spans="1:16" x14ac:dyDescent="0.25">
      <c r="A1223" s="10" t="s">
        <v>801</v>
      </c>
      <c r="B1223" s="10" t="s">
        <v>65</v>
      </c>
      <c r="C1223" s="136" t="s">
        <v>66</v>
      </c>
      <c r="D1223" s="136" t="s">
        <v>686</v>
      </c>
      <c r="E1223" s="136" t="s">
        <v>75</v>
      </c>
      <c r="F1223" s="10" t="s">
        <v>462</v>
      </c>
      <c r="G1223" s="10" t="s">
        <v>729</v>
      </c>
      <c r="H1223" s="137">
        <v>300</v>
      </c>
      <c r="I1223" s="138"/>
      <c r="J1223" s="10">
        <v>5515</v>
      </c>
      <c r="K1223" s="136" t="s">
        <v>112</v>
      </c>
      <c r="L1223" s="10">
        <v>55</v>
      </c>
      <c r="M1223" s="10" t="s">
        <v>2219</v>
      </c>
      <c r="N1223" s="136" t="s">
        <v>131</v>
      </c>
      <c r="O1223" s="136" t="s">
        <v>549</v>
      </c>
      <c r="P1223" s="136" t="s">
        <v>85</v>
      </c>
    </row>
    <row r="1224" spans="1:16" x14ac:dyDescent="0.25">
      <c r="A1224" s="139" t="s">
        <v>801</v>
      </c>
      <c r="B1224" s="139" t="s">
        <v>65</v>
      </c>
      <c r="C1224" s="140" t="s">
        <v>66</v>
      </c>
      <c r="D1224" s="140" t="s">
        <v>686</v>
      </c>
      <c r="E1224" s="140" t="s">
        <v>75</v>
      </c>
      <c r="F1224" s="139" t="s">
        <v>462</v>
      </c>
      <c r="G1224" s="139" t="s">
        <v>749</v>
      </c>
      <c r="H1224" s="141">
        <v>1000</v>
      </c>
      <c r="I1224" s="167" t="s">
        <v>2103</v>
      </c>
      <c r="J1224" s="139">
        <v>601</v>
      </c>
      <c r="K1224" s="140" t="s">
        <v>130</v>
      </c>
      <c r="L1224" s="139">
        <v>60</v>
      </c>
      <c r="M1224" s="139" t="s">
        <v>2245</v>
      </c>
      <c r="N1224" s="140" t="s">
        <v>131</v>
      </c>
      <c r="O1224" s="140" t="s">
        <v>550</v>
      </c>
      <c r="P1224" s="140" t="s">
        <v>85</v>
      </c>
    </row>
    <row r="1225" spans="1:16" x14ac:dyDescent="0.25">
      <c r="A1225" s="10" t="s">
        <v>801</v>
      </c>
      <c r="B1225" s="10" t="s">
        <v>65</v>
      </c>
      <c r="C1225" s="136" t="s">
        <v>66</v>
      </c>
      <c r="D1225" s="136" t="s">
        <v>686</v>
      </c>
      <c r="E1225" s="136" t="s">
        <v>75</v>
      </c>
      <c r="F1225" s="10" t="s">
        <v>462</v>
      </c>
      <c r="G1225" s="10" t="s">
        <v>750</v>
      </c>
      <c r="H1225" s="137">
        <v>2000</v>
      </c>
      <c r="I1225" s="138"/>
      <c r="J1225" s="10">
        <v>4500</v>
      </c>
      <c r="K1225" s="136" t="s">
        <v>128</v>
      </c>
      <c r="L1225" s="10">
        <v>4500</v>
      </c>
      <c r="M1225" s="10" t="s">
        <v>2244</v>
      </c>
      <c r="N1225" s="136" t="s">
        <v>164</v>
      </c>
      <c r="O1225" s="136" t="s">
        <v>546</v>
      </c>
      <c r="P1225" s="136" t="s">
        <v>85</v>
      </c>
    </row>
    <row r="1226" spans="1:16" x14ac:dyDescent="0.25">
      <c r="A1226" s="139" t="s">
        <v>801</v>
      </c>
      <c r="B1226" s="139" t="s">
        <v>65</v>
      </c>
      <c r="C1226" s="140" t="s">
        <v>66</v>
      </c>
      <c r="D1226" s="140" t="s">
        <v>686</v>
      </c>
      <c r="E1226" s="140" t="s">
        <v>75</v>
      </c>
      <c r="F1226" s="139" t="s">
        <v>462</v>
      </c>
      <c r="G1226" s="139" t="s">
        <v>2005</v>
      </c>
      <c r="H1226" s="141">
        <v>1600</v>
      </c>
      <c r="I1226" s="142"/>
      <c r="J1226" s="139">
        <v>5540</v>
      </c>
      <c r="K1226" s="140" t="s">
        <v>121</v>
      </c>
      <c r="L1226" s="139">
        <v>55</v>
      </c>
      <c r="M1226" s="139" t="s">
        <v>2219</v>
      </c>
      <c r="N1226" s="140" t="s">
        <v>131</v>
      </c>
      <c r="O1226" s="140" t="s">
        <v>549</v>
      </c>
      <c r="P1226" s="140" t="s">
        <v>85</v>
      </c>
    </row>
    <row r="1227" spans="1:16" x14ac:dyDescent="0.25">
      <c r="A1227" s="10" t="s">
        <v>801</v>
      </c>
      <c r="B1227" s="10" t="s">
        <v>65</v>
      </c>
      <c r="C1227" s="136" t="s">
        <v>66</v>
      </c>
      <c r="D1227" s="136" t="s">
        <v>686</v>
      </c>
      <c r="E1227" s="136" t="s">
        <v>75</v>
      </c>
      <c r="F1227" s="10" t="s">
        <v>462</v>
      </c>
      <c r="G1227" s="10" t="s">
        <v>2102</v>
      </c>
      <c r="H1227" s="137">
        <v>300</v>
      </c>
      <c r="I1227" s="138"/>
      <c r="J1227" s="10">
        <v>5514</v>
      </c>
      <c r="K1227" s="136" t="s">
        <v>110</v>
      </c>
      <c r="L1227" s="10">
        <v>55</v>
      </c>
      <c r="M1227" s="10" t="s">
        <v>2219</v>
      </c>
      <c r="N1227" s="136" t="s">
        <v>131</v>
      </c>
      <c r="O1227" s="136" t="s">
        <v>549</v>
      </c>
      <c r="P1227" s="136" t="s">
        <v>85</v>
      </c>
    </row>
    <row r="1228" spans="1:16" x14ac:dyDescent="0.25">
      <c r="A1228" s="139" t="s">
        <v>801</v>
      </c>
      <c r="B1228" s="139" t="s">
        <v>65</v>
      </c>
      <c r="C1228" s="140" t="s">
        <v>66</v>
      </c>
      <c r="D1228" s="140" t="s">
        <v>686</v>
      </c>
      <c r="E1228" s="140" t="s">
        <v>75</v>
      </c>
      <c r="F1228" s="139" t="s">
        <v>462</v>
      </c>
      <c r="G1228" s="139" t="s">
        <v>2104</v>
      </c>
      <c r="H1228" s="141">
        <v>1000</v>
      </c>
      <c r="I1228" s="142"/>
      <c r="J1228" s="139">
        <v>5500</v>
      </c>
      <c r="K1228" s="140" t="s">
        <v>100</v>
      </c>
      <c r="L1228" s="139">
        <v>55</v>
      </c>
      <c r="M1228" s="139" t="s">
        <v>2219</v>
      </c>
      <c r="N1228" s="140" t="s">
        <v>131</v>
      </c>
      <c r="O1228" s="140" t="s">
        <v>549</v>
      </c>
      <c r="P1228" s="140" t="s">
        <v>85</v>
      </c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1"/>
  <sheetViews>
    <sheetView topLeftCell="H1190" zoomScale="85" zoomScaleNormal="85" workbookViewId="0">
      <selection activeCell="N1213" sqref="N1213"/>
    </sheetView>
  </sheetViews>
  <sheetFormatPr defaultRowHeight="15" x14ac:dyDescent="0.25"/>
  <cols>
    <col min="1" max="1" width="6.7109375" customWidth="1"/>
    <col min="2" max="2" width="13.140625" bestFit="1" customWidth="1"/>
    <col min="3" max="3" width="36.7109375" customWidth="1"/>
    <col min="4" max="4" width="28.28515625" customWidth="1"/>
    <col min="5" max="5" width="22" customWidth="1"/>
    <col min="6" max="6" width="50.42578125" customWidth="1"/>
    <col min="7" max="7" width="58.5703125" customWidth="1"/>
    <col min="8" max="8" width="15.85546875" style="2" customWidth="1"/>
    <col min="9" max="9" width="34.28515625" style="2" customWidth="1"/>
    <col min="10" max="10" width="15" customWidth="1"/>
    <col min="11" max="11" width="56" customWidth="1"/>
    <col min="12" max="12" width="14.85546875" customWidth="1"/>
    <col min="13" max="13" width="14" customWidth="1"/>
    <col min="14" max="15" width="44.85546875" customWidth="1"/>
    <col min="16" max="16" width="47.28515625" bestFit="1" customWidth="1"/>
  </cols>
  <sheetData>
    <row r="1" spans="1:16" x14ac:dyDescent="0.25">
      <c r="A1" t="s">
        <v>7</v>
      </c>
      <c r="B1" t="s">
        <v>1</v>
      </c>
      <c r="C1" t="s">
        <v>246</v>
      </c>
      <c r="D1" t="s">
        <v>490</v>
      </c>
      <c r="E1" t="s">
        <v>67</v>
      </c>
      <c r="F1" t="s">
        <v>5</v>
      </c>
      <c r="G1" t="s">
        <v>6</v>
      </c>
      <c r="H1" s="2" t="s">
        <v>398</v>
      </c>
      <c r="I1" s="2" t="s">
        <v>165</v>
      </c>
      <c r="J1" t="s">
        <v>2</v>
      </c>
      <c r="K1" t="s">
        <v>91</v>
      </c>
      <c r="L1" t="s">
        <v>77</v>
      </c>
      <c r="M1" t="s">
        <v>9</v>
      </c>
      <c r="N1" t="s">
        <v>160</v>
      </c>
      <c r="O1" t="s">
        <v>2009</v>
      </c>
      <c r="P1" t="s">
        <v>135</v>
      </c>
    </row>
    <row r="2" spans="1:16" x14ac:dyDescent="0.25">
      <c r="A2" t="str">
        <f t="shared" ref="A2:A65" si="0">LEFT(B2,2)</f>
        <v>01</v>
      </c>
      <c r="B2" t="s">
        <v>13</v>
      </c>
      <c r="C2" s="3" t="str">
        <f>VLOOKUP(Table2[[#This Row],[Tegevusala]],Table4[],2,FALSE)</f>
        <v xml:space="preserve"> Valla- ja linnavolikogu</v>
      </c>
      <c r="D2" s="3" t="str">
        <f>VLOOKUP(Table2[[#This Row],[Tegevusala]],Table4[[Tegevusala kood]:[Tegevusala alanimetus]],4,FALSE)</f>
        <v>Valla- ja linnavolikogu</v>
      </c>
      <c r="E2" s="3" t="str">
        <f>VLOOKUP(Table2[[#This Row],[Tegevusala nimetus2]],Table4[[Tegevusala nimetus]:[Tegevusala koondnimetus]],2,FALSE)</f>
        <v>Üldised valitsussektori teenused</v>
      </c>
      <c r="F2" t="s">
        <v>828</v>
      </c>
      <c r="G2" t="s">
        <v>831</v>
      </c>
      <c r="H2" s="40">
        <v>100</v>
      </c>
      <c r="J2">
        <v>5500</v>
      </c>
      <c r="K2" s="3" t="str">
        <f>VLOOKUP(Table2[[#This Row],[Konto]],Table5[[Konto]:[Konto nimetus]],2,FALSE)</f>
        <v>Administreerimiskulud</v>
      </c>
      <c r="L2">
        <v>55</v>
      </c>
      <c r="M2" t="str">
        <f t="shared" ref="M2:M65" si="1">LEFT(J2,2)</f>
        <v>55</v>
      </c>
      <c r="N2" s="3" t="str">
        <f>VLOOKUP(Table2[[#This Row],[Tulu/kulu liik2]],Table5[[Tulu/kulu liik]:[Kontode koondnimetus]],4,FALSE)</f>
        <v>Muud tegevuskulud</v>
      </c>
      <c r="O2" s="3" t="str">
        <f>VLOOKUP(Table2[[#This Row],[Tulu/kulu liik2]],Table5[],6,FALSE)</f>
        <v>Majandamiskulud</v>
      </c>
      <c r="P2" s="3" t="str">
        <f>VLOOKUP(Table2[[#This Row],[Tulu/kulu liik2]],Table5[],5,FALSE)</f>
        <v>Põhitegevuse kulu</v>
      </c>
    </row>
    <row r="3" spans="1:16" x14ac:dyDescent="0.25">
      <c r="A3" t="str">
        <f t="shared" si="0"/>
        <v>01</v>
      </c>
      <c r="B3" t="s">
        <v>13</v>
      </c>
      <c r="C3" s="3" t="str">
        <f>VLOOKUP(Table2[[#This Row],[Tegevusala]],Table4[],2,FALSE)</f>
        <v xml:space="preserve"> Valla- ja linnavolikogu</v>
      </c>
      <c r="D3" s="3" t="str">
        <f>VLOOKUP(Table2[[#This Row],[Tegevusala]],Table4[[Tegevusala kood]:[Tegevusala alanimetus]],4,FALSE)</f>
        <v>Valla- ja linnavolikogu</v>
      </c>
      <c r="E3" s="3" t="str">
        <f>VLOOKUP(Table2[[#This Row],[Tegevusala nimetus2]],Table4[[Tegevusala nimetus]:[Tegevusala koondnimetus]],2,FALSE)</f>
        <v>Üldised valitsussektori teenused</v>
      </c>
      <c r="F3" t="s">
        <v>828</v>
      </c>
      <c r="G3" t="s">
        <v>832</v>
      </c>
      <c r="H3" s="40">
        <v>50</v>
      </c>
      <c r="J3">
        <v>5500</v>
      </c>
      <c r="K3" s="3" t="str">
        <f>VLOOKUP(Table2[[#This Row],[Konto]],Table5[[Konto]:[Konto nimetus]],2,FALSE)</f>
        <v>Administreerimiskulud</v>
      </c>
      <c r="L3">
        <v>55</v>
      </c>
      <c r="M3" t="str">
        <f t="shared" si="1"/>
        <v>55</v>
      </c>
      <c r="N3" s="3" t="str">
        <f>VLOOKUP(Table2[[#This Row],[Tulu/kulu liik2]],Table5[[Tulu/kulu liik]:[Kontode koondnimetus]],4,FALSE)</f>
        <v>Muud tegevuskulud</v>
      </c>
      <c r="O3" s="3" t="str">
        <f>VLOOKUP(Table2[[#This Row],[Tulu/kulu liik2]],Table5[],6,FALSE)</f>
        <v>Majandamiskulud</v>
      </c>
      <c r="P3" s="3" t="str">
        <f>VLOOKUP(Table2[[#This Row],[Tulu/kulu liik2]],Table5[],5,FALSE)</f>
        <v>Põhitegevuse kulu</v>
      </c>
    </row>
    <row r="4" spans="1:16" x14ac:dyDescent="0.25">
      <c r="A4" t="str">
        <f t="shared" si="0"/>
        <v>01</v>
      </c>
      <c r="B4" t="s">
        <v>13</v>
      </c>
      <c r="C4" s="3" t="str">
        <f>VLOOKUP(Table2[[#This Row],[Tegevusala]],Table4[],2,FALSE)</f>
        <v xml:space="preserve"> Valla- ja linnavolikogu</v>
      </c>
      <c r="D4" s="3" t="str">
        <f>VLOOKUP(Table2[[#This Row],[Tegevusala]],Table4[[Tegevusala kood]:[Tegevusala alanimetus]],4,FALSE)</f>
        <v>Valla- ja linnavolikogu</v>
      </c>
      <c r="E4" s="3" t="str">
        <f>VLOOKUP(Table2[[#This Row],[Tegevusala nimetus2]],Table4[[Tegevusala nimetus]:[Tegevusala koondnimetus]],2,FALSE)</f>
        <v>Üldised valitsussektori teenused</v>
      </c>
      <c r="F4" t="s">
        <v>828</v>
      </c>
      <c r="G4" t="s">
        <v>833</v>
      </c>
      <c r="H4" s="40">
        <v>500</v>
      </c>
      <c r="J4">
        <v>5540</v>
      </c>
      <c r="K4" s="3" t="str">
        <f>VLOOKUP(Table2[[#This Row],[Konto]],Table5[[Konto]:[Konto nimetus]],2,FALSE)</f>
        <v>Mitmesugused majanduskulud</v>
      </c>
      <c r="L4">
        <v>55</v>
      </c>
      <c r="M4" t="str">
        <f t="shared" si="1"/>
        <v>55</v>
      </c>
      <c r="N4" s="3" t="str">
        <f>VLOOKUP(Table2[[#This Row],[Tulu/kulu liik2]],Table5[[Tulu/kulu liik]:[Kontode koondnimetus]],4,FALSE)</f>
        <v>Muud tegevuskulud</v>
      </c>
      <c r="O4" s="3" t="str">
        <f>VLOOKUP(Table2[[#This Row],[Tulu/kulu liik2]],Table5[],6,FALSE)</f>
        <v>Majandamiskulud</v>
      </c>
      <c r="P4" s="3" t="str">
        <f>VLOOKUP(Table2[[#This Row],[Tulu/kulu liik2]],Table5[],5,FALSE)</f>
        <v>Põhitegevuse kulu</v>
      </c>
    </row>
    <row r="5" spans="1:16" x14ac:dyDescent="0.25">
      <c r="A5" t="str">
        <f t="shared" si="0"/>
        <v>01</v>
      </c>
      <c r="B5" t="s">
        <v>13</v>
      </c>
      <c r="C5" s="3" t="str">
        <f>VLOOKUP(Table2[[#This Row],[Tegevusala]],Table4[],2,FALSE)</f>
        <v xml:space="preserve"> Valla- ja linnavolikogu</v>
      </c>
      <c r="D5" s="3" t="str">
        <f>VLOOKUP(Table2[[#This Row],[Tegevusala]],Table4[[Tegevusala kood]:[Tegevusala alanimetus]],4,FALSE)</f>
        <v>Valla- ja linnavolikogu</v>
      </c>
      <c r="E5" s="3" t="str">
        <f>VLOOKUP(Table2[[#This Row],[Tegevusala nimetus2]],Table4[[Tegevusala nimetus]:[Tegevusala koondnimetus]],2,FALSE)</f>
        <v>Üldised valitsussektori teenused</v>
      </c>
      <c r="F5" t="s">
        <v>828</v>
      </c>
      <c r="G5" t="s">
        <v>834</v>
      </c>
      <c r="H5" s="40">
        <v>1250</v>
      </c>
      <c r="J5">
        <v>5500</v>
      </c>
      <c r="K5" s="3" t="str">
        <f>VLOOKUP(Table2[[#This Row],[Konto]],Table5[[Konto]:[Konto nimetus]],2,FALSE)</f>
        <v>Administreerimiskulud</v>
      </c>
      <c r="L5">
        <v>55</v>
      </c>
      <c r="M5" t="str">
        <f t="shared" si="1"/>
        <v>55</v>
      </c>
      <c r="N5" s="3" t="str">
        <f>VLOOKUP(Table2[[#This Row],[Tulu/kulu liik2]],Table5[[Tulu/kulu liik]:[Kontode koondnimetus]],4,FALSE)</f>
        <v>Muud tegevuskulud</v>
      </c>
      <c r="O5" s="3" t="str">
        <f>VLOOKUP(Table2[[#This Row],[Tulu/kulu liik2]],Table5[],6,FALSE)</f>
        <v>Majandamiskulud</v>
      </c>
      <c r="P5" s="3" t="str">
        <f>VLOOKUP(Table2[[#This Row],[Tulu/kulu liik2]],Table5[],5,FALSE)</f>
        <v>Põhitegevuse kulu</v>
      </c>
    </row>
    <row r="6" spans="1:16" x14ac:dyDescent="0.25">
      <c r="A6" t="str">
        <f t="shared" si="0"/>
        <v>01</v>
      </c>
      <c r="B6" t="s">
        <v>13</v>
      </c>
      <c r="C6" s="3" t="str">
        <f>VLOOKUP(Table2[[#This Row],[Tegevusala]],Table4[],2,FALSE)</f>
        <v xml:space="preserve"> Valla- ja linnavolikogu</v>
      </c>
      <c r="D6" s="3" t="str">
        <f>VLOOKUP(Table2[[#This Row],[Tegevusala]],Table4[[Tegevusala kood]:[Tegevusala alanimetus]],4,FALSE)</f>
        <v>Valla- ja linnavolikogu</v>
      </c>
      <c r="E6" s="3" t="str">
        <f>VLOOKUP(Table2[[#This Row],[Tegevusala nimetus2]],Table4[[Tegevusala nimetus]:[Tegevusala koondnimetus]],2,FALSE)</f>
        <v>Üldised valitsussektori teenused</v>
      </c>
      <c r="F6" t="s">
        <v>828</v>
      </c>
      <c r="G6" t="s">
        <v>409</v>
      </c>
      <c r="H6" s="40">
        <v>9350</v>
      </c>
      <c r="I6" s="2" t="s">
        <v>835</v>
      </c>
      <c r="J6">
        <v>5504</v>
      </c>
      <c r="K6" s="3" t="str">
        <f>VLOOKUP(Table2[[#This Row],[Konto]],Table5[[Konto]:[Konto nimetus]],2,FALSE)</f>
        <v>Koolituskulud</v>
      </c>
      <c r="L6">
        <v>55</v>
      </c>
      <c r="M6" t="str">
        <f t="shared" si="1"/>
        <v>55</v>
      </c>
      <c r="N6" s="3" t="str">
        <f>VLOOKUP(Table2[[#This Row],[Tulu/kulu liik2]],Table5[[Tulu/kulu liik]:[Kontode koondnimetus]],4,FALSE)</f>
        <v>Muud tegevuskulud</v>
      </c>
      <c r="O6" s="3" t="str">
        <f>VLOOKUP(Table2[[#This Row],[Tulu/kulu liik2]],Table5[],6,FALSE)</f>
        <v>Majandamiskulud</v>
      </c>
      <c r="P6" s="3" t="str">
        <f>VLOOKUP(Table2[[#This Row],[Tulu/kulu liik2]],Table5[],5,FALSE)</f>
        <v>Põhitegevuse kulu</v>
      </c>
    </row>
    <row r="7" spans="1:16" x14ac:dyDescent="0.25">
      <c r="A7" t="str">
        <f t="shared" si="0"/>
        <v>01</v>
      </c>
      <c r="B7" t="s">
        <v>13</v>
      </c>
      <c r="C7" s="3" t="str">
        <f>VLOOKUP(Table2[[#This Row],[Tegevusala]],Table4[],2,FALSE)</f>
        <v xml:space="preserve"> Valla- ja linnavolikogu</v>
      </c>
      <c r="D7" s="3" t="str">
        <f>VLOOKUP(Table2[[#This Row],[Tegevusala]],Table4[[Tegevusala kood]:[Tegevusala alanimetus]],4,FALSE)</f>
        <v>Valla- ja linnavolikogu</v>
      </c>
      <c r="E7" s="3" t="str">
        <f>VLOOKUP(Table2[[#This Row],[Tegevusala nimetus2]],Table4[[Tegevusala nimetus]:[Tegevusala koondnimetus]],2,FALSE)</f>
        <v>Üldised valitsussektori teenused</v>
      </c>
      <c r="F7" t="s">
        <v>828</v>
      </c>
      <c r="G7" t="s">
        <v>442</v>
      </c>
      <c r="H7" s="40">
        <v>1800</v>
      </c>
      <c r="I7" s="2" t="s">
        <v>836</v>
      </c>
      <c r="J7">
        <v>5513</v>
      </c>
      <c r="K7" s="3" t="str">
        <f>VLOOKUP(Table2[[#This Row],[Konto]],Table5[[Konto]:[Konto nimetus]],2,FALSE)</f>
        <v>Sõidukite ülalpidamise kulud</v>
      </c>
      <c r="L7">
        <v>55</v>
      </c>
      <c r="M7" t="str">
        <f t="shared" si="1"/>
        <v>55</v>
      </c>
      <c r="N7" s="3" t="str">
        <f>VLOOKUP(Table2[[#This Row],[Tulu/kulu liik2]],Table5[[Tulu/kulu liik]:[Kontode koondnimetus]],4,FALSE)</f>
        <v>Muud tegevuskulud</v>
      </c>
      <c r="O7" s="3" t="str">
        <f>VLOOKUP(Table2[[#This Row],[Tulu/kulu liik2]],Table5[],6,FALSE)</f>
        <v>Majandamiskulud</v>
      </c>
      <c r="P7" s="3" t="str">
        <f>VLOOKUP(Table2[[#This Row],[Tulu/kulu liik2]],Table5[],5,FALSE)</f>
        <v>Põhitegevuse kulu</v>
      </c>
    </row>
    <row r="8" spans="1:16" x14ac:dyDescent="0.25">
      <c r="A8" s="83" t="str">
        <f t="shared" si="0"/>
        <v>01</v>
      </c>
      <c r="B8" s="83" t="s">
        <v>15</v>
      </c>
      <c r="C8" s="84" t="str">
        <f>VLOOKUP(Table2[[#This Row],[Tegevusala]],Table4[],2,FALSE)</f>
        <v xml:space="preserve"> Valla- ja linnavalitsus</v>
      </c>
      <c r="D8" s="84" t="str">
        <f>VLOOKUP(Table2[[#This Row],[Tegevusala]],Table4[[Tegevusala kood]:[Tegevusala alanimetus]],4,FALSE)</f>
        <v>Valla- ja linnavalitsus</v>
      </c>
      <c r="E8" s="84" t="str">
        <f>VLOOKUP(Table2[[#This Row],[Tegevusala nimetus2]],Table4[[Tegevusala nimetus]:[Tegevusala koondnimetus]],2,FALSE)</f>
        <v>Üldised valitsussektori teenused</v>
      </c>
      <c r="F8" s="83" t="s">
        <v>624</v>
      </c>
      <c r="G8" s="83" t="s">
        <v>1922</v>
      </c>
      <c r="H8" s="85">
        <v>9936</v>
      </c>
      <c r="I8" s="86" t="s">
        <v>1923</v>
      </c>
      <c r="J8" s="83">
        <v>5511</v>
      </c>
      <c r="K8" s="84" t="str">
        <f>VLOOKUP(Table2[[#This Row],[Konto]],Table5[[Konto]:[Konto nimetus]],2,FALSE)</f>
        <v>Kinnistute, hoonete ja ruumide majandamiskulud</v>
      </c>
      <c r="L8" s="83">
        <v>55</v>
      </c>
      <c r="M8" s="83" t="str">
        <f t="shared" si="1"/>
        <v>55</v>
      </c>
      <c r="N8" s="84" t="str">
        <f>VLOOKUP(Table2[[#This Row],[Tulu/kulu liik2]],Table5[[Tulu/kulu liik]:[Kontode koondnimetus]],4,FALSE)</f>
        <v>Muud tegevuskulud</v>
      </c>
      <c r="O8" s="84" t="str">
        <f>VLOOKUP(Table2[[#This Row],[Tulu/kulu liik2]],Table5[],6,FALSE)</f>
        <v>Majandamiskulud</v>
      </c>
      <c r="P8" s="84" t="str">
        <f>VLOOKUP(Table2[[#This Row],[Tulu/kulu liik2]],Table5[],5,FALSE)</f>
        <v>Põhitegevuse kulu</v>
      </c>
    </row>
    <row r="9" spans="1:16" x14ac:dyDescent="0.25">
      <c r="A9" t="str">
        <f t="shared" si="0"/>
        <v>01</v>
      </c>
      <c r="B9" t="s">
        <v>15</v>
      </c>
      <c r="C9" s="3" t="str">
        <f>VLOOKUP(Table2[[#This Row],[Tegevusala]],Table4[],2,FALSE)</f>
        <v xml:space="preserve"> Valla- ja linnavalitsus</v>
      </c>
      <c r="D9" s="3" t="str">
        <f>VLOOKUP(Table2[[#This Row],[Tegevusala]],Table4[[Tegevusala kood]:[Tegevusala alanimetus]],4,FALSE)</f>
        <v>Valla- ja linnavalitsus</v>
      </c>
      <c r="E9" s="3" t="str">
        <f>VLOOKUP(Table2[[#This Row],[Tegevusala nimetus2]],Table4[[Tegevusala nimetus]:[Tegevusala koondnimetus]],2,FALSE)</f>
        <v>Üldised valitsussektori teenused</v>
      </c>
      <c r="F9" t="s">
        <v>491</v>
      </c>
      <c r="G9" t="s">
        <v>495</v>
      </c>
      <c r="H9" s="40">
        <v>2000</v>
      </c>
      <c r="J9">
        <v>5500</v>
      </c>
      <c r="K9" s="3" t="str">
        <f>VLOOKUP(Table2[[#This Row],[Konto]],Table5[[Konto]:[Konto nimetus]],2,FALSE)</f>
        <v>Administreerimiskulud</v>
      </c>
      <c r="L9">
        <v>55</v>
      </c>
      <c r="M9" t="str">
        <f t="shared" si="1"/>
        <v>55</v>
      </c>
      <c r="N9" t="str">
        <f>VLOOKUP(Table2[[#This Row],[Tulu/kulu liik2]],Table5[[Tulu/kulu liik]:[Kontode koondnimetus]],4,FALSE)</f>
        <v>Muud tegevuskulud</v>
      </c>
      <c r="O9" t="str">
        <f>VLOOKUP(Table2[[#This Row],[Tulu/kulu liik2]],Table5[],6,FALSE)</f>
        <v>Majandamiskulud</v>
      </c>
      <c r="P9" s="3" t="str">
        <f>VLOOKUP(Table2[[#This Row],[Tulu/kulu liik2]],Table5[],5,FALSE)</f>
        <v>Põhitegevuse kulu</v>
      </c>
    </row>
    <row r="10" spans="1:16" x14ac:dyDescent="0.25">
      <c r="A10" s="8" t="str">
        <f t="shared" si="0"/>
        <v>01</v>
      </c>
      <c r="B10" s="8" t="s">
        <v>15</v>
      </c>
      <c r="C10" s="32" t="str">
        <f>VLOOKUP(Table2[[#This Row],[Tegevusala]],Table4[],2,FALSE)</f>
        <v xml:space="preserve"> Valla- ja linnavalitsus</v>
      </c>
      <c r="D10" s="32" t="str">
        <f>VLOOKUP(Table2[[#This Row],[Tegevusala]],Table4[[Tegevusala kood]:[Tegevusala alanimetus]],4,FALSE)</f>
        <v>Valla- ja linnavalitsus</v>
      </c>
      <c r="E10" s="32" t="str">
        <f>VLOOKUP(Table2[[#This Row],[Tegevusala nimetus2]],Table4[[Tegevusala nimetus]:[Tegevusala koondnimetus]],2,FALSE)</f>
        <v>Üldised valitsussektori teenused</v>
      </c>
      <c r="F10" s="8" t="s">
        <v>491</v>
      </c>
      <c r="G10" s="8" t="s">
        <v>496</v>
      </c>
      <c r="H10" s="43"/>
      <c r="I10" s="9" t="s">
        <v>497</v>
      </c>
      <c r="J10" s="8">
        <v>5500</v>
      </c>
      <c r="K10" s="32" t="str">
        <f>VLOOKUP(Table2[[#This Row],[Konto]],Table5[[Konto]:[Konto nimetus]],2,FALSE)</f>
        <v>Administreerimiskulud</v>
      </c>
      <c r="L10" s="8">
        <v>55</v>
      </c>
      <c r="M10" s="8" t="str">
        <f t="shared" si="1"/>
        <v>55</v>
      </c>
      <c r="N10" s="8" t="str">
        <f>VLOOKUP(Table2[[#This Row],[Tulu/kulu liik2]],Table5[[Tulu/kulu liik]:[Kontode koondnimetus]],4,FALSE)</f>
        <v>Muud tegevuskulud</v>
      </c>
      <c r="O10" s="8" t="str">
        <f>VLOOKUP(Table2[[#This Row],[Tulu/kulu liik2]],Table5[],6,FALSE)</f>
        <v>Majandamiskulud</v>
      </c>
      <c r="P10" s="32" t="str">
        <f>VLOOKUP(Table2[[#This Row],[Tulu/kulu liik2]],Table5[],5,FALSE)</f>
        <v>Põhitegevuse kulu</v>
      </c>
    </row>
    <row r="11" spans="1:16" x14ac:dyDescent="0.25">
      <c r="A11" t="str">
        <f t="shared" si="0"/>
        <v>01</v>
      </c>
      <c r="B11" t="s">
        <v>15</v>
      </c>
      <c r="C11" s="3" t="str">
        <f>VLOOKUP(Table2[[#This Row],[Tegevusala]],Table4[],2,FALSE)</f>
        <v xml:space="preserve"> Valla- ja linnavalitsus</v>
      </c>
      <c r="D11" s="3" t="str">
        <f>VLOOKUP(Table2[[#This Row],[Tegevusala]],Table4[[Tegevusala kood]:[Tegevusala alanimetus]],4,FALSE)</f>
        <v>Valla- ja linnavalitsus</v>
      </c>
      <c r="E11" s="3" t="str">
        <f>VLOOKUP(Table2[[#This Row],[Tegevusala nimetus2]],Table4[[Tegevusala nimetus]:[Tegevusala koondnimetus]],2,FALSE)</f>
        <v>Üldised valitsussektori teenused</v>
      </c>
      <c r="F11" t="s">
        <v>491</v>
      </c>
      <c r="G11" t="s">
        <v>498</v>
      </c>
      <c r="H11" s="40">
        <v>7200</v>
      </c>
      <c r="I11" s="2" t="s">
        <v>501</v>
      </c>
      <c r="J11">
        <v>5500</v>
      </c>
      <c r="K11" s="3" t="str">
        <f>VLOOKUP(Table2[[#This Row],[Konto]],Table5[[Konto]:[Konto nimetus]],2,FALSE)</f>
        <v>Administreerimiskulud</v>
      </c>
      <c r="L11">
        <v>55</v>
      </c>
      <c r="M11" t="str">
        <f t="shared" si="1"/>
        <v>55</v>
      </c>
      <c r="N11" t="str">
        <f>VLOOKUP(Table2[[#This Row],[Tulu/kulu liik2]],Table5[[Tulu/kulu liik]:[Kontode koondnimetus]],4,FALSE)</f>
        <v>Muud tegevuskulud</v>
      </c>
      <c r="O11" t="str">
        <f>VLOOKUP(Table2[[#This Row],[Tulu/kulu liik2]],Table5[],6,FALSE)</f>
        <v>Majandamiskulud</v>
      </c>
      <c r="P11" s="3" t="str">
        <f>VLOOKUP(Table2[[#This Row],[Tulu/kulu liik2]],Table5[],5,FALSE)</f>
        <v>Põhitegevuse kulu</v>
      </c>
    </row>
    <row r="12" spans="1:16" x14ac:dyDescent="0.25">
      <c r="A12" t="str">
        <f t="shared" si="0"/>
        <v>01</v>
      </c>
      <c r="B12" t="s">
        <v>15</v>
      </c>
      <c r="C12" s="3" t="str">
        <f>VLOOKUP(Table2[[#This Row],[Tegevusala]],Table4[],2,FALSE)</f>
        <v xml:space="preserve"> Valla- ja linnavalitsus</v>
      </c>
      <c r="D12" s="3" t="str">
        <f>VLOOKUP(Table2[[#This Row],[Tegevusala]],Table4[[Tegevusala kood]:[Tegevusala alanimetus]],4,FALSE)</f>
        <v>Valla- ja linnavalitsus</v>
      </c>
      <c r="E12" s="3" t="str">
        <f>VLOOKUP(Table2[[#This Row],[Tegevusala nimetus2]],Table4[[Tegevusala nimetus]:[Tegevusala koondnimetus]],2,FALSE)</f>
        <v>Üldised valitsussektori teenused</v>
      </c>
      <c r="F12" t="s">
        <v>491</v>
      </c>
      <c r="G12" t="s">
        <v>409</v>
      </c>
      <c r="H12" s="40">
        <v>1500</v>
      </c>
      <c r="I12" s="2" t="s">
        <v>503</v>
      </c>
      <c r="J12">
        <v>5504</v>
      </c>
      <c r="K12" s="3" t="str">
        <f>VLOOKUP(Table2[[#This Row],[Konto]],Table5[[Konto]:[Konto nimetus]],2,FALSE)</f>
        <v>Koolituskulud</v>
      </c>
      <c r="L12">
        <v>55</v>
      </c>
      <c r="M12" t="str">
        <f t="shared" si="1"/>
        <v>55</v>
      </c>
      <c r="N12" t="str">
        <f>VLOOKUP(Table2[[#This Row],[Tulu/kulu liik2]],Table5[[Tulu/kulu liik]:[Kontode koondnimetus]],4,FALSE)</f>
        <v>Muud tegevuskulud</v>
      </c>
      <c r="O12" t="str">
        <f>VLOOKUP(Table2[[#This Row],[Tulu/kulu liik2]],Table5[],6,FALSE)</f>
        <v>Majandamiskulud</v>
      </c>
      <c r="P12" s="3" t="str">
        <f>VLOOKUP(Table2[[#This Row],[Tulu/kulu liik2]],Table5[],5,FALSE)</f>
        <v>Põhitegevuse kulu</v>
      </c>
    </row>
    <row r="13" spans="1:16" x14ac:dyDescent="0.25">
      <c r="A13" t="str">
        <f t="shared" si="0"/>
        <v>01</v>
      </c>
      <c r="B13" t="s">
        <v>15</v>
      </c>
      <c r="C13" s="3" t="str">
        <f>VLOOKUP(Table2[[#This Row],[Tegevusala]],Table4[],2,FALSE)</f>
        <v xml:space="preserve"> Valla- ja linnavalitsus</v>
      </c>
      <c r="D13" s="3" t="str">
        <f>VLOOKUP(Table2[[#This Row],[Tegevusala]],Table4[[Tegevusala kood]:[Tegevusala alanimetus]],4,FALSE)</f>
        <v>Valla- ja linnavalitsus</v>
      </c>
      <c r="E13" s="3" t="str">
        <f>VLOOKUP(Table2[[#This Row],[Tegevusala nimetus2]],Table4[[Tegevusala nimetus]:[Tegevusala koondnimetus]],2,FALSE)</f>
        <v>Üldised valitsussektori teenused</v>
      </c>
      <c r="F13" t="s">
        <v>491</v>
      </c>
      <c r="G13" t="s">
        <v>500</v>
      </c>
      <c r="H13" s="40">
        <v>120</v>
      </c>
      <c r="J13">
        <v>5504</v>
      </c>
      <c r="K13" s="3" t="str">
        <f>VLOOKUP(Table2[[#This Row],[Konto]],Table5[[Konto]:[Konto nimetus]],2,FALSE)</f>
        <v>Koolituskulud</v>
      </c>
      <c r="L13">
        <v>55</v>
      </c>
      <c r="M13" t="str">
        <f t="shared" si="1"/>
        <v>55</v>
      </c>
      <c r="N13" t="str">
        <f>VLOOKUP(Table2[[#This Row],[Tulu/kulu liik2]],Table5[[Tulu/kulu liik]:[Kontode koondnimetus]],4,FALSE)</f>
        <v>Muud tegevuskulud</v>
      </c>
      <c r="O13" t="str">
        <f>VLOOKUP(Table2[[#This Row],[Tulu/kulu liik2]],Table5[],6,FALSE)</f>
        <v>Majandamiskulud</v>
      </c>
      <c r="P13" s="3" t="str">
        <f>VLOOKUP(Table2[[#This Row],[Tulu/kulu liik2]],Table5[],5,FALSE)</f>
        <v>Põhitegevuse kulu</v>
      </c>
    </row>
    <row r="14" spans="1:16" x14ac:dyDescent="0.25">
      <c r="A14" s="8" t="str">
        <f t="shared" si="0"/>
        <v>01</v>
      </c>
      <c r="B14" s="8" t="s">
        <v>15</v>
      </c>
      <c r="C14" s="32" t="str">
        <f>VLOOKUP(Table2[[#This Row],[Tegevusala]],Table4[],2,FALSE)</f>
        <v xml:space="preserve"> Valla- ja linnavalitsus</v>
      </c>
      <c r="D14" s="32" t="str">
        <f>VLOOKUP(Table2[[#This Row],[Tegevusala]],Table4[[Tegevusala kood]:[Tegevusala alanimetus]],4,FALSE)</f>
        <v>Valla- ja linnavalitsus</v>
      </c>
      <c r="E14" s="32" t="str">
        <f>VLOOKUP(Table2[[#This Row],[Tegevusala nimetus2]],Table4[[Tegevusala nimetus]:[Tegevusala koondnimetus]],2,FALSE)</f>
        <v>Üldised valitsussektori teenused</v>
      </c>
      <c r="F14" s="8" t="s">
        <v>491</v>
      </c>
      <c r="G14" s="8" t="s">
        <v>442</v>
      </c>
      <c r="H14" s="43"/>
      <c r="I14" s="9"/>
      <c r="J14" s="8">
        <v>5513</v>
      </c>
      <c r="K14" s="32" t="str">
        <f>VLOOKUP(Table2[[#This Row],[Konto]],Table5[[Konto]:[Konto nimetus]],2,FALSE)</f>
        <v>Sõidukite ülalpidamise kulud</v>
      </c>
      <c r="L14" s="8">
        <v>55</v>
      </c>
      <c r="M14" s="8" t="str">
        <f t="shared" si="1"/>
        <v>55</v>
      </c>
      <c r="N14" s="8" t="str">
        <f>VLOOKUP(Table2[[#This Row],[Tulu/kulu liik2]],Table5[[Tulu/kulu liik]:[Kontode koondnimetus]],4,FALSE)</f>
        <v>Muud tegevuskulud</v>
      </c>
      <c r="O14" s="8" t="str">
        <f>VLOOKUP(Table2[[#This Row],[Tulu/kulu liik2]],Table5[],6,FALSE)</f>
        <v>Majandamiskulud</v>
      </c>
      <c r="P14" s="32" t="str">
        <f>VLOOKUP(Table2[[#This Row],[Tulu/kulu liik2]],Table5[],5,FALSE)</f>
        <v>Põhitegevuse kulu</v>
      </c>
    </row>
    <row r="15" spans="1:16" x14ac:dyDescent="0.25">
      <c r="A15" t="str">
        <f t="shared" si="0"/>
        <v>01</v>
      </c>
      <c r="B15" t="s">
        <v>15</v>
      </c>
      <c r="C15" s="3" t="str">
        <f>VLOOKUP(Table2[[#This Row],[Tegevusala]],Table4[],2,FALSE)</f>
        <v xml:space="preserve"> Valla- ja linnavalitsus</v>
      </c>
      <c r="D15" s="3" t="str">
        <f>VLOOKUP(Table2[[#This Row],[Tegevusala]],Table4[[Tegevusala kood]:[Tegevusala alanimetus]],4,FALSE)</f>
        <v>Valla- ja linnavalitsus</v>
      </c>
      <c r="E15" s="3" t="str">
        <f>VLOOKUP(Table2[[#This Row],[Tegevusala nimetus2]],Table4[[Tegevusala nimetus]:[Tegevusala koondnimetus]],2,FALSE)</f>
        <v>Üldised valitsussektori teenused</v>
      </c>
      <c r="F15" t="s">
        <v>491</v>
      </c>
      <c r="G15" t="s">
        <v>499</v>
      </c>
      <c r="H15" s="40">
        <v>2880</v>
      </c>
      <c r="I15" s="2" t="s">
        <v>502</v>
      </c>
      <c r="J15">
        <v>5514</v>
      </c>
      <c r="K15" s="3" t="str">
        <f>VLOOKUP(Table2[[#This Row],[Konto]],Table5[[Konto]:[Konto nimetus]],2,FALSE)</f>
        <v>Info- ja kommunikatsioonitehnoliigised kulud</v>
      </c>
      <c r="L15">
        <v>55</v>
      </c>
      <c r="M15" t="str">
        <f t="shared" si="1"/>
        <v>55</v>
      </c>
      <c r="N15" t="str">
        <f>VLOOKUP(Table2[[#This Row],[Tulu/kulu liik2]],Table5[[Tulu/kulu liik]:[Kontode koondnimetus]],4,FALSE)</f>
        <v>Muud tegevuskulud</v>
      </c>
      <c r="O15" t="str">
        <f>VLOOKUP(Table2[[#This Row],[Tulu/kulu liik2]],Table5[],6,FALSE)</f>
        <v>Majandamiskulud</v>
      </c>
      <c r="P15" s="3" t="str">
        <f>VLOOKUP(Table2[[#This Row],[Tulu/kulu liik2]],Table5[],5,FALSE)</f>
        <v>Põhitegevuse kulu</v>
      </c>
    </row>
    <row r="16" spans="1:16" x14ac:dyDescent="0.25">
      <c r="A16" t="str">
        <f t="shared" si="0"/>
        <v>01</v>
      </c>
      <c r="B16" t="s">
        <v>15</v>
      </c>
      <c r="C16" s="3" t="str">
        <f>VLOOKUP(Table2[[#This Row],[Tegevusala]],Table4[],2,FALSE)</f>
        <v xml:space="preserve"> Valla- ja linnavalitsus</v>
      </c>
      <c r="D16" s="3" t="str">
        <f>VLOOKUP(Table2[[#This Row],[Tegevusala]],Table4[[Tegevusala kood]:[Tegevusala alanimetus]],4,FALSE)</f>
        <v>Valla- ja linnavalitsus</v>
      </c>
      <c r="E16" s="3" t="str">
        <f>VLOOKUP(Table2[[#This Row],[Tegevusala nimetus2]],Table4[[Tegevusala nimetus]:[Tegevusala koondnimetus]],2,FALSE)</f>
        <v>Üldised valitsussektori teenused</v>
      </c>
      <c r="F16" t="s">
        <v>491</v>
      </c>
      <c r="G16" t="s">
        <v>625</v>
      </c>
      <c r="H16" s="40">
        <v>120</v>
      </c>
      <c r="J16">
        <v>4528</v>
      </c>
      <c r="K16" s="3" t="str">
        <f>VLOOKUP(Table2[[#This Row],[Konto]],Table5[[Konto]:[Konto nimetus]],2,FALSE)</f>
        <v>Liikmemaksud</v>
      </c>
      <c r="L16">
        <v>452</v>
      </c>
      <c r="M16" t="str">
        <f t="shared" si="1"/>
        <v>45</v>
      </c>
      <c r="N16" t="str">
        <f>VLOOKUP(Table2[[#This Row],[Tulu/kulu liik2]],Table5[[Tulu/kulu liik]:[Kontode koondnimetus]],4,FALSE)</f>
        <v>Antavad toetused tegevuskuludeks</v>
      </c>
      <c r="O16" t="str">
        <f>VLOOKUP(Table2[[#This Row],[Tulu/kulu liik2]],Table5[],6,FALSE)</f>
        <v>Mittesihtotstarbelised toetused</v>
      </c>
      <c r="P16" s="3" t="str">
        <f>VLOOKUP(Table2[[#This Row],[Tulu/kulu liik2]],Table5[],5,FALSE)</f>
        <v>Põhitegevuse kulu</v>
      </c>
    </row>
    <row r="17" spans="1:16" x14ac:dyDescent="0.25">
      <c r="A17" t="str">
        <f t="shared" si="0"/>
        <v>01</v>
      </c>
      <c r="B17" t="s">
        <v>15</v>
      </c>
      <c r="C17" s="3" t="str">
        <f>VLOOKUP(Table2[[#This Row],[Tegevusala]],Table4[],2,FALSE)</f>
        <v xml:space="preserve"> Valla- ja linnavalitsus</v>
      </c>
      <c r="D17" s="3" t="str">
        <f>VLOOKUP(Table2[[#This Row],[Tegevusala]],Table4[[Tegevusala kood]:[Tegevusala alanimetus]],4,FALSE)</f>
        <v>Valla- ja linnavalitsus</v>
      </c>
      <c r="E17" s="3" t="str">
        <f>VLOOKUP(Table2[[#This Row],[Tegevusala nimetus2]],Table4[[Tegevusala nimetus]:[Tegevusala koondnimetus]],2,FALSE)</f>
        <v>Üldised valitsussektori teenused</v>
      </c>
      <c r="F17" t="s">
        <v>491</v>
      </c>
      <c r="G17" t="s">
        <v>840</v>
      </c>
      <c r="H17" s="40">
        <v>30</v>
      </c>
      <c r="J17">
        <v>4528</v>
      </c>
      <c r="K17" s="3" t="str">
        <f>VLOOKUP(Table2[[#This Row],[Konto]],Table5[[Konto]:[Konto nimetus]],2,FALSE)</f>
        <v>Liikmemaksud</v>
      </c>
      <c r="L17">
        <v>452</v>
      </c>
      <c r="M17" t="str">
        <f t="shared" si="1"/>
        <v>45</v>
      </c>
      <c r="N17" s="3" t="str">
        <f>VLOOKUP(Table2[[#This Row],[Tulu/kulu liik2]],Table5[[Tulu/kulu liik]:[Kontode koondnimetus]],4,FALSE)</f>
        <v>Antavad toetused tegevuskuludeks</v>
      </c>
      <c r="O17" s="3" t="str">
        <f>VLOOKUP(Table2[[#This Row],[Tulu/kulu liik2]],Table5[],6,FALSE)</f>
        <v>Mittesihtotstarbelised toetused</v>
      </c>
      <c r="P17" s="3" t="str">
        <f>VLOOKUP(Table2[[#This Row],[Tulu/kulu liik2]],Table5[],5,FALSE)</f>
        <v>Põhitegevuse kulu</v>
      </c>
    </row>
    <row r="18" spans="1:16" x14ac:dyDescent="0.25">
      <c r="A18" t="str">
        <f t="shared" si="0"/>
        <v>01</v>
      </c>
      <c r="B18" t="s">
        <v>15</v>
      </c>
      <c r="C18" s="3" t="str">
        <f>VLOOKUP(Table2[[#This Row],[Tegevusala]],Table4[],2,FALSE)</f>
        <v xml:space="preserve"> Valla- ja linnavalitsus</v>
      </c>
      <c r="D18" s="3" t="str">
        <f>VLOOKUP(Table2[[#This Row],[Tegevusala]],Table4[[Tegevusala kood]:[Tegevusala alanimetus]],4,FALSE)</f>
        <v>Valla- ja linnavalitsus</v>
      </c>
      <c r="E18" s="3" t="str">
        <f>VLOOKUP(Table2[[#This Row],[Tegevusala nimetus2]],Table4[[Tegevusala nimetus]:[Tegevusala koondnimetus]],2,FALSE)</f>
        <v>Üldised valitsussektori teenused</v>
      </c>
      <c r="F18" t="s">
        <v>818</v>
      </c>
      <c r="G18" t="s">
        <v>1828</v>
      </c>
      <c r="H18" s="40">
        <v>1000</v>
      </c>
      <c r="J18">
        <v>5504</v>
      </c>
      <c r="K18" s="3" t="str">
        <f>VLOOKUP(Table2[[#This Row],[Konto]],Table5[[Konto]:[Konto nimetus]],2,FALSE)</f>
        <v>Koolituskulud</v>
      </c>
      <c r="L18">
        <v>55</v>
      </c>
      <c r="M18" t="str">
        <f t="shared" si="1"/>
        <v>55</v>
      </c>
      <c r="N18" s="3" t="str">
        <f>VLOOKUP(Table2[[#This Row],[Tulu/kulu liik2]],Table5[[Tulu/kulu liik]:[Kontode koondnimetus]],4,FALSE)</f>
        <v>Muud tegevuskulud</v>
      </c>
      <c r="O18" s="3" t="str">
        <f>VLOOKUP(Table2[[#This Row],[Tulu/kulu liik2]],Table5[],6,FALSE)</f>
        <v>Majandamiskulud</v>
      </c>
      <c r="P18" s="3" t="str">
        <f>VLOOKUP(Table2[[#This Row],[Tulu/kulu liik2]],Table5[],5,FALSE)</f>
        <v>Põhitegevuse kulu</v>
      </c>
    </row>
    <row r="19" spans="1:16" x14ac:dyDescent="0.25">
      <c r="A19" t="str">
        <f t="shared" si="0"/>
        <v>01</v>
      </c>
      <c r="B19" t="s">
        <v>15</v>
      </c>
      <c r="C19" s="3" t="str">
        <f>VLOOKUP(Table2[[#This Row],[Tegevusala]],Table4[],2,FALSE)</f>
        <v xml:space="preserve"> Valla- ja linnavalitsus</v>
      </c>
      <c r="D19" s="3" t="str">
        <f>VLOOKUP(Table2[[#This Row],[Tegevusala]],Table4[[Tegevusala kood]:[Tegevusala alanimetus]],4,FALSE)</f>
        <v>Valla- ja linnavalitsus</v>
      </c>
      <c r="E19" s="3" t="str">
        <f>VLOOKUP(Table2[[#This Row],[Tegevusala nimetus2]],Table4[[Tegevusala nimetus]:[Tegevusala koondnimetus]],2,FALSE)</f>
        <v>Üldised valitsussektori teenused</v>
      </c>
      <c r="F19" t="s">
        <v>491</v>
      </c>
      <c r="G19" t="s">
        <v>1954</v>
      </c>
      <c r="H19" s="40">
        <f>55*12</f>
        <v>660</v>
      </c>
      <c r="I19" s="2" t="s">
        <v>1955</v>
      </c>
      <c r="J19">
        <v>5500</v>
      </c>
      <c r="K19" s="3" t="str">
        <f>VLOOKUP(Table2[[#This Row],[Konto]],Table5[[Konto]:[Konto nimetus]],2,FALSE)</f>
        <v>Administreerimiskulud</v>
      </c>
      <c r="L19">
        <v>55</v>
      </c>
      <c r="M19" t="str">
        <f t="shared" si="1"/>
        <v>55</v>
      </c>
      <c r="N19" s="3" t="str">
        <f>VLOOKUP(Table2[[#This Row],[Tulu/kulu liik2]],Table5[[Tulu/kulu liik]:[Kontode koondnimetus]],4,FALSE)</f>
        <v>Muud tegevuskulud</v>
      </c>
      <c r="O19" s="3" t="str">
        <f>VLOOKUP(Table2[[#This Row],[Tulu/kulu liik2]],Table5[],6,FALSE)</f>
        <v>Majandamiskulud</v>
      </c>
      <c r="P19" s="3" t="str">
        <f>VLOOKUP(Table2[[#This Row],[Tulu/kulu liik2]],Table5[],5,FALSE)</f>
        <v>Põhitegevuse kulu</v>
      </c>
    </row>
    <row r="20" spans="1:16" s="33" customFormat="1" x14ac:dyDescent="0.25">
      <c r="A20" t="str">
        <f t="shared" si="0"/>
        <v>01</v>
      </c>
      <c r="B20" t="s">
        <v>15</v>
      </c>
      <c r="C20" s="3" t="str">
        <f>VLOOKUP(Table2[[#This Row],[Tegevusala]],Table4[],2,FALSE)</f>
        <v xml:space="preserve"> Valla- ja linnavalitsus</v>
      </c>
      <c r="D20" s="3" t="str">
        <f>VLOOKUP(Table2[[#This Row],[Tegevusala]],Table4[[Tegevusala kood]:[Tegevusala alanimetus]],4,FALSE)</f>
        <v>Valla- ja linnavalitsus</v>
      </c>
      <c r="E20" s="3" t="str">
        <f>VLOOKUP(Table2[[#This Row],[Tegevusala nimetus2]],Table4[[Tegevusala nimetus]:[Tegevusala koondnimetus]],2,FALSE)</f>
        <v>Üldised valitsussektori teenused</v>
      </c>
      <c r="F20" t="s">
        <v>491</v>
      </c>
      <c r="G20" t="s">
        <v>1954</v>
      </c>
      <c r="H20" s="40">
        <f>40*12</f>
        <v>480</v>
      </c>
      <c r="I20" s="2"/>
      <c r="J20">
        <v>5500</v>
      </c>
      <c r="K20" s="3" t="str">
        <f>VLOOKUP(Table2[[#This Row],[Konto]],Table5[[Konto]:[Konto nimetus]],2,FALSE)</f>
        <v>Administreerimiskulud</v>
      </c>
      <c r="L20">
        <v>55</v>
      </c>
      <c r="M20" t="str">
        <f t="shared" si="1"/>
        <v>55</v>
      </c>
      <c r="N20" s="3" t="str">
        <f>VLOOKUP(Table2[[#This Row],[Tulu/kulu liik2]],Table5[[Tulu/kulu liik]:[Kontode koondnimetus]],4,FALSE)</f>
        <v>Muud tegevuskulud</v>
      </c>
      <c r="O20" s="3" t="str">
        <f>VLOOKUP(Table2[[#This Row],[Tulu/kulu liik2]],Table5[],6,FALSE)</f>
        <v>Majandamiskulud</v>
      </c>
      <c r="P20" s="3" t="str">
        <f>VLOOKUP(Table2[[#This Row],[Tulu/kulu liik2]],Table5[],5,FALSE)</f>
        <v>Põhitegevuse kulu</v>
      </c>
    </row>
    <row r="21" spans="1:16" x14ac:dyDescent="0.25">
      <c r="A21" t="str">
        <f t="shared" si="0"/>
        <v>01</v>
      </c>
      <c r="B21" t="s">
        <v>15</v>
      </c>
      <c r="C21" s="3" t="str">
        <f>VLOOKUP(Table2[[#This Row],[Tegevusala]],Table4[],2,FALSE)</f>
        <v xml:space="preserve"> Valla- ja linnavalitsus</v>
      </c>
      <c r="D21" s="3" t="str">
        <f>VLOOKUP(Table2[[#This Row],[Tegevusala]],Table4[[Tegevusala kood]:[Tegevusala alanimetus]],4,FALSE)</f>
        <v>Valla- ja linnavalitsus</v>
      </c>
      <c r="E21" s="3" t="str">
        <f>VLOOKUP(Table2[[#This Row],[Tegevusala nimetus2]],Table4[[Tegevusala nimetus]:[Tegevusala koondnimetus]],2,FALSE)</f>
        <v>Üldised valitsussektori teenused</v>
      </c>
      <c r="F21" t="s">
        <v>1971</v>
      </c>
      <c r="G21" t="s">
        <v>1956</v>
      </c>
      <c r="H21" s="40">
        <v>500</v>
      </c>
      <c r="J21">
        <v>5500</v>
      </c>
      <c r="K21" s="3" t="str">
        <f>VLOOKUP(Table2[[#This Row],[Konto]],Table5[[Konto]:[Konto nimetus]],2,FALSE)</f>
        <v>Administreerimiskulud</v>
      </c>
      <c r="L21">
        <v>55</v>
      </c>
      <c r="M21" t="str">
        <f t="shared" si="1"/>
        <v>55</v>
      </c>
      <c r="N21" s="3" t="str">
        <f>VLOOKUP(Table2[[#This Row],[Tulu/kulu liik2]],Table5[[Tulu/kulu liik]:[Kontode koondnimetus]],4,FALSE)</f>
        <v>Muud tegevuskulud</v>
      </c>
      <c r="O21" s="3" t="str">
        <f>VLOOKUP(Table2[[#This Row],[Tulu/kulu liik2]],Table5[],6,FALSE)</f>
        <v>Majandamiskulud</v>
      </c>
      <c r="P21" s="3" t="str">
        <f>VLOOKUP(Table2[[#This Row],[Tulu/kulu liik2]],Table5[],5,FALSE)</f>
        <v>Põhitegevuse kulu</v>
      </c>
    </row>
    <row r="22" spans="1:16" x14ac:dyDescent="0.25">
      <c r="A22" t="str">
        <f t="shared" si="0"/>
        <v>01</v>
      </c>
      <c r="B22" t="s">
        <v>15</v>
      </c>
      <c r="C22" s="3" t="str">
        <f>VLOOKUP(Table2[[#This Row],[Tegevusala]],Table4[],2,FALSE)</f>
        <v xml:space="preserve"> Valla- ja linnavalitsus</v>
      </c>
      <c r="D22" s="3" t="str">
        <f>VLOOKUP(Table2[[#This Row],[Tegevusala]],Table4[[Tegevusala kood]:[Tegevusala alanimetus]],4,FALSE)</f>
        <v>Valla- ja linnavalitsus</v>
      </c>
      <c r="E22" s="3" t="str">
        <f>VLOOKUP(Table2[[#This Row],[Tegevusala nimetus2]],Table4[[Tegevusala nimetus]:[Tegevusala koondnimetus]],2,FALSE)</f>
        <v>Üldised valitsussektori teenused</v>
      </c>
      <c r="F22" t="s">
        <v>1971</v>
      </c>
      <c r="G22" t="s">
        <v>1957</v>
      </c>
      <c r="H22" s="40">
        <v>500</v>
      </c>
      <c r="J22">
        <v>5500</v>
      </c>
      <c r="K22" s="3" t="str">
        <f>VLOOKUP(Table2[[#This Row],[Konto]],Table5[[Konto]:[Konto nimetus]],2,FALSE)</f>
        <v>Administreerimiskulud</v>
      </c>
      <c r="L22">
        <v>55</v>
      </c>
      <c r="M22" t="str">
        <f t="shared" si="1"/>
        <v>55</v>
      </c>
      <c r="N22" s="3" t="str">
        <f>VLOOKUP(Table2[[#This Row],[Tulu/kulu liik2]],Table5[[Tulu/kulu liik]:[Kontode koondnimetus]],4,FALSE)</f>
        <v>Muud tegevuskulud</v>
      </c>
      <c r="O22" s="3" t="str">
        <f>VLOOKUP(Table2[[#This Row],[Tulu/kulu liik2]],Table5[],6,FALSE)</f>
        <v>Majandamiskulud</v>
      </c>
      <c r="P22" s="3" t="str">
        <f>VLOOKUP(Table2[[#This Row],[Tulu/kulu liik2]],Table5[],5,FALSE)</f>
        <v>Põhitegevuse kulu</v>
      </c>
    </row>
    <row r="23" spans="1:16" x14ac:dyDescent="0.25">
      <c r="A23" t="str">
        <f t="shared" si="0"/>
        <v>01</v>
      </c>
      <c r="B23" t="s">
        <v>15</v>
      </c>
      <c r="C23" s="3" t="str">
        <f>VLOOKUP(Table2[[#This Row],[Tegevusala]],Table4[],2,FALSE)</f>
        <v xml:space="preserve"> Valla- ja linnavalitsus</v>
      </c>
      <c r="D23" s="3" t="str">
        <f>VLOOKUP(Table2[[#This Row],[Tegevusala]],Table4[[Tegevusala kood]:[Tegevusala alanimetus]],4,FALSE)</f>
        <v>Valla- ja linnavalitsus</v>
      </c>
      <c r="E23" s="3" t="str">
        <f>VLOOKUP(Table2[[#This Row],[Tegevusala nimetus2]],Table4[[Tegevusala nimetus]:[Tegevusala koondnimetus]],2,FALSE)</f>
        <v>Üldised valitsussektori teenused</v>
      </c>
      <c r="F23" t="s">
        <v>1971</v>
      </c>
      <c r="G23" t="s">
        <v>864</v>
      </c>
      <c r="H23" s="40">
        <f>28*60</f>
        <v>1680</v>
      </c>
      <c r="J23">
        <v>5500</v>
      </c>
      <c r="K23" s="3" t="str">
        <f>VLOOKUP(Table2[[#This Row],[Konto]],Table5[[Konto]:[Konto nimetus]],2,FALSE)</f>
        <v>Administreerimiskulud</v>
      </c>
      <c r="L23">
        <v>55</v>
      </c>
      <c r="M23" t="str">
        <f t="shared" si="1"/>
        <v>55</v>
      </c>
      <c r="N23" s="3" t="str">
        <f>VLOOKUP(Table2[[#This Row],[Tulu/kulu liik2]],Table5[[Tulu/kulu liik]:[Kontode koondnimetus]],4,FALSE)</f>
        <v>Muud tegevuskulud</v>
      </c>
      <c r="O23" s="3" t="str">
        <f>VLOOKUP(Table2[[#This Row],[Tulu/kulu liik2]],Table5[],6,FALSE)</f>
        <v>Majandamiskulud</v>
      </c>
      <c r="P23" s="3" t="str">
        <f>VLOOKUP(Table2[[#This Row],[Tulu/kulu liik2]],Table5[],5,FALSE)</f>
        <v>Põhitegevuse kulu</v>
      </c>
    </row>
    <row r="24" spans="1:16" x14ac:dyDescent="0.25">
      <c r="A24" t="str">
        <f t="shared" si="0"/>
        <v>01</v>
      </c>
      <c r="B24" t="s">
        <v>15</v>
      </c>
      <c r="C24" s="3" t="str">
        <f>VLOOKUP(Table2[[#This Row],[Tegevusala]],Table4[],2,FALSE)</f>
        <v xml:space="preserve"> Valla- ja linnavalitsus</v>
      </c>
      <c r="D24" s="3" t="str">
        <f>VLOOKUP(Table2[[#This Row],[Tegevusala]],Table4[[Tegevusala kood]:[Tegevusala alanimetus]],4,FALSE)</f>
        <v>Valla- ja linnavalitsus</v>
      </c>
      <c r="E24" s="3" t="str">
        <f>VLOOKUP(Table2[[#This Row],[Tegevusala nimetus2]],Table4[[Tegevusala nimetus]:[Tegevusala koondnimetus]],2,FALSE)</f>
        <v>Üldised valitsussektori teenused</v>
      </c>
      <c r="F24" t="s">
        <v>1971</v>
      </c>
      <c r="G24" t="s">
        <v>1958</v>
      </c>
      <c r="H24" s="40">
        <f>80*12</f>
        <v>960</v>
      </c>
      <c r="J24">
        <v>5500</v>
      </c>
      <c r="K24" s="3" t="str">
        <f>VLOOKUP(Table2[[#This Row],[Konto]],Table5[[Konto]:[Konto nimetus]],2,FALSE)</f>
        <v>Administreerimiskulud</v>
      </c>
      <c r="L24">
        <v>55</v>
      </c>
      <c r="M24" t="str">
        <f t="shared" si="1"/>
        <v>55</v>
      </c>
      <c r="N24" s="3" t="str">
        <f>VLOOKUP(Table2[[#This Row],[Tulu/kulu liik2]],Table5[[Tulu/kulu liik]:[Kontode koondnimetus]],4,FALSE)</f>
        <v>Muud tegevuskulud</v>
      </c>
      <c r="O24" s="3" t="str">
        <f>VLOOKUP(Table2[[#This Row],[Tulu/kulu liik2]],Table5[],6,FALSE)</f>
        <v>Majandamiskulud</v>
      </c>
      <c r="P24" s="3" t="str">
        <f>VLOOKUP(Table2[[#This Row],[Tulu/kulu liik2]],Table5[],5,FALSE)</f>
        <v>Põhitegevuse kulu</v>
      </c>
    </row>
    <row r="25" spans="1:16" x14ac:dyDescent="0.25">
      <c r="A25" s="33" t="str">
        <f t="shared" si="0"/>
        <v>01</v>
      </c>
      <c r="B25" s="33" t="s">
        <v>15</v>
      </c>
      <c r="C25" s="34" t="str">
        <f>VLOOKUP(Table2[[#This Row],[Tegevusala]],Table4[],2,FALSE)</f>
        <v xml:space="preserve"> Valla- ja linnavalitsus</v>
      </c>
      <c r="D25" s="34" t="str">
        <f>VLOOKUP(Table2[[#This Row],[Tegevusala]],Table4[[Tegevusala kood]:[Tegevusala alanimetus]],4,FALSE)</f>
        <v>Valla- ja linnavalitsus</v>
      </c>
      <c r="E25" s="34" t="str">
        <f>VLOOKUP(Table2[[#This Row],[Tegevusala nimetus2]],Table4[[Tegevusala nimetus]:[Tegevusala koondnimetus]],2,FALSE)</f>
        <v>Üldised valitsussektori teenused</v>
      </c>
      <c r="F25" s="33" t="s">
        <v>1971</v>
      </c>
      <c r="G25" s="33" t="s">
        <v>1959</v>
      </c>
      <c r="H25" s="47">
        <v>1500</v>
      </c>
      <c r="I25" s="35"/>
      <c r="J25" s="33">
        <v>5500</v>
      </c>
      <c r="K25" s="34" t="str">
        <f>VLOOKUP(Table2[[#This Row],[Konto]],Table5[[Konto]:[Konto nimetus]],2,FALSE)</f>
        <v>Administreerimiskulud</v>
      </c>
      <c r="L25" s="33">
        <v>55</v>
      </c>
      <c r="M25" s="33" t="str">
        <f t="shared" si="1"/>
        <v>55</v>
      </c>
      <c r="N25" s="34" t="str">
        <f>VLOOKUP(Table2[[#This Row],[Tulu/kulu liik2]],Table5[[Tulu/kulu liik]:[Kontode koondnimetus]],4,FALSE)</f>
        <v>Muud tegevuskulud</v>
      </c>
      <c r="O25" s="34" t="str">
        <f>VLOOKUP(Table2[[#This Row],[Tulu/kulu liik2]],Table5[],6,FALSE)</f>
        <v>Majandamiskulud</v>
      </c>
      <c r="P25" s="34" t="str">
        <f>VLOOKUP(Table2[[#This Row],[Tulu/kulu liik2]],Table5[],5,FALSE)</f>
        <v>Põhitegevuse kulu</v>
      </c>
    </row>
    <row r="26" spans="1:16" x14ac:dyDescent="0.25">
      <c r="A26" t="str">
        <f t="shared" si="0"/>
        <v>01</v>
      </c>
      <c r="B26" t="s">
        <v>15</v>
      </c>
      <c r="C26" s="3" t="str">
        <f>VLOOKUP(Table2[[#This Row],[Tegevusala]],Table4[],2,FALSE)</f>
        <v xml:space="preserve"> Valla- ja linnavalitsus</v>
      </c>
      <c r="D26" s="3" t="str">
        <f>VLOOKUP(Table2[[#This Row],[Tegevusala]],Table4[[Tegevusala kood]:[Tegevusala alanimetus]],4,FALSE)</f>
        <v>Valla- ja linnavalitsus</v>
      </c>
      <c r="E26" s="3" t="str">
        <f>VLOOKUP(Table2[[#This Row],[Tegevusala nimetus2]],Table4[[Tegevusala nimetus]:[Tegevusala koondnimetus]],2,FALSE)</f>
        <v>Üldised valitsussektori teenused</v>
      </c>
      <c r="F26" t="s">
        <v>1971</v>
      </c>
      <c r="G26" t="s">
        <v>1960</v>
      </c>
      <c r="H26" s="40">
        <f>120*12</f>
        <v>1440</v>
      </c>
      <c r="J26">
        <v>5500</v>
      </c>
      <c r="K26" s="3" t="str">
        <f>VLOOKUP(Table2[[#This Row],[Konto]],Table5[[Konto]:[Konto nimetus]],2,FALSE)</f>
        <v>Administreerimiskulud</v>
      </c>
      <c r="L26">
        <v>55</v>
      </c>
      <c r="M26" t="str">
        <f t="shared" si="1"/>
        <v>55</v>
      </c>
      <c r="N26" s="3" t="str">
        <f>VLOOKUP(Table2[[#This Row],[Tulu/kulu liik2]],Table5[[Tulu/kulu liik]:[Kontode koondnimetus]],4,FALSE)</f>
        <v>Muud tegevuskulud</v>
      </c>
      <c r="O26" s="3" t="str">
        <f>VLOOKUP(Table2[[#This Row],[Tulu/kulu liik2]],Table5[],6,FALSE)</f>
        <v>Majandamiskulud</v>
      </c>
      <c r="P26" s="3" t="str">
        <f>VLOOKUP(Table2[[#This Row],[Tulu/kulu liik2]],Table5[],5,FALSE)</f>
        <v>Põhitegevuse kulu</v>
      </c>
    </row>
    <row r="27" spans="1:16" x14ac:dyDescent="0.25">
      <c r="A27" t="str">
        <f t="shared" si="0"/>
        <v>01</v>
      </c>
      <c r="B27" t="s">
        <v>15</v>
      </c>
      <c r="C27" s="3" t="str">
        <f>VLOOKUP(Table2[[#This Row],[Tegevusala]],Table4[],2,FALSE)</f>
        <v xml:space="preserve"> Valla- ja linnavalitsus</v>
      </c>
      <c r="D27" s="3" t="str">
        <f>VLOOKUP(Table2[[#This Row],[Tegevusala]],Table4[[Tegevusala kood]:[Tegevusala alanimetus]],4,FALSE)</f>
        <v>Valla- ja linnavalitsus</v>
      </c>
      <c r="E27" s="3" t="str">
        <f>VLOOKUP(Table2[[#This Row],[Tegevusala nimetus2]],Table4[[Tegevusala nimetus]:[Tegevusala koondnimetus]],2,FALSE)</f>
        <v>Üldised valitsussektori teenused</v>
      </c>
      <c r="F27" t="s">
        <v>1971</v>
      </c>
      <c r="G27" t="s">
        <v>1961</v>
      </c>
      <c r="H27" s="40">
        <v>600</v>
      </c>
      <c r="J27">
        <v>5500</v>
      </c>
      <c r="K27" s="3" t="str">
        <f>VLOOKUP(Table2[[#This Row],[Konto]],Table5[[Konto]:[Konto nimetus]],2,FALSE)</f>
        <v>Administreerimiskulud</v>
      </c>
      <c r="L27">
        <v>55</v>
      </c>
      <c r="M27" t="str">
        <f t="shared" si="1"/>
        <v>55</v>
      </c>
      <c r="N27" s="3" t="str">
        <f>VLOOKUP(Table2[[#This Row],[Tulu/kulu liik2]],Table5[[Tulu/kulu liik]:[Kontode koondnimetus]],4,FALSE)</f>
        <v>Muud tegevuskulud</v>
      </c>
      <c r="O27" s="3" t="str">
        <f>VLOOKUP(Table2[[#This Row],[Tulu/kulu liik2]],Table5[],6,FALSE)</f>
        <v>Majandamiskulud</v>
      </c>
      <c r="P27" s="3" t="str">
        <f>VLOOKUP(Table2[[#This Row],[Tulu/kulu liik2]],Table5[],5,FALSE)</f>
        <v>Põhitegevuse kulu</v>
      </c>
    </row>
    <row r="28" spans="1:16" x14ac:dyDescent="0.25">
      <c r="A28" t="str">
        <f t="shared" si="0"/>
        <v>01</v>
      </c>
      <c r="B28" t="s">
        <v>15</v>
      </c>
      <c r="C28" s="3" t="str">
        <f>VLOOKUP(Table2[[#This Row],[Tegevusala]],Table4[],2,FALSE)</f>
        <v xml:space="preserve"> Valla- ja linnavalitsus</v>
      </c>
      <c r="D28" s="3" t="str">
        <f>VLOOKUP(Table2[[#This Row],[Tegevusala]],Table4[[Tegevusala kood]:[Tegevusala alanimetus]],4,FALSE)</f>
        <v>Valla- ja linnavalitsus</v>
      </c>
      <c r="E28" s="3" t="str">
        <f>VLOOKUP(Table2[[#This Row],[Tegevusala nimetus2]],Table4[[Tegevusala nimetus]:[Tegevusala koondnimetus]],2,FALSE)</f>
        <v>Üldised valitsussektori teenused</v>
      </c>
      <c r="F28" t="s">
        <v>1971</v>
      </c>
      <c r="G28" t="s">
        <v>1962</v>
      </c>
      <c r="H28" s="40">
        <f>28*15</f>
        <v>420</v>
      </c>
      <c r="J28">
        <v>5500</v>
      </c>
      <c r="K28" s="3" t="str">
        <f>VLOOKUP(Table2[[#This Row],[Konto]],Table5[[Konto]:[Konto nimetus]],2,FALSE)</f>
        <v>Administreerimiskulud</v>
      </c>
      <c r="L28">
        <v>55</v>
      </c>
      <c r="M28" t="str">
        <f t="shared" si="1"/>
        <v>55</v>
      </c>
      <c r="N28" s="3" t="str">
        <f>VLOOKUP(Table2[[#This Row],[Tulu/kulu liik2]],Table5[[Tulu/kulu liik]:[Kontode koondnimetus]],4,FALSE)</f>
        <v>Muud tegevuskulud</v>
      </c>
      <c r="O28" s="3" t="str">
        <f>VLOOKUP(Table2[[#This Row],[Tulu/kulu liik2]],Table5[],6,FALSE)</f>
        <v>Majandamiskulud</v>
      </c>
      <c r="P28" s="3" t="str">
        <f>VLOOKUP(Table2[[#This Row],[Tulu/kulu liik2]],Table5[],5,FALSE)</f>
        <v>Põhitegevuse kulu</v>
      </c>
    </row>
    <row r="29" spans="1:16" x14ac:dyDescent="0.25">
      <c r="A29" t="str">
        <f t="shared" si="0"/>
        <v>01</v>
      </c>
      <c r="B29" t="s">
        <v>15</v>
      </c>
      <c r="C29" s="3" t="str">
        <f>VLOOKUP(Table2[[#This Row],[Tegevusala]],Table4[],2,FALSE)</f>
        <v xml:space="preserve"> Valla- ja linnavalitsus</v>
      </c>
      <c r="D29" s="3" t="str">
        <f>VLOOKUP(Table2[[#This Row],[Tegevusala]],Table4[[Tegevusala kood]:[Tegevusala alanimetus]],4,FALSE)</f>
        <v>Valla- ja linnavalitsus</v>
      </c>
      <c r="E29" s="3" t="str">
        <f>VLOOKUP(Table2[[#This Row],[Tegevusala nimetus2]],Table4[[Tegevusala nimetus]:[Tegevusala koondnimetus]],2,FALSE)</f>
        <v>Üldised valitsussektori teenused</v>
      </c>
      <c r="F29" t="s">
        <v>1971</v>
      </c>
      <c r="G29" t="s">
        <v>1963</v>
      </c>
      <c r="H29" s="40">
        <v>5000</v>
      </c>
      <c r="J29">
        <v>5500</v>
      </c>
      <c r="K29" s="3" t="str">
        <f>VLOOKUP(Table2[[#This Row],[Konto]],Table5[[Konto]:[Konto nimetus]],2,FALSE)</f>
        <v>Administreerimiskulud</v>
      </c>
      <c r="L29">
        <v>55</v>
      </c>
      <c r="M29" t="str">
        <f t="shared" si="1"/>
        <v>55</v>
      </c>
      <c r="N29" s="3" t="str">
        <f>VLOOKUP(Table2[[#This Row],[Tulu/kulu liik2]],Table5[[Tulu/kulu liik]:[Kontode koondnimetus]],4,FALSE)</f>
        <v>Muud tegevuskulud</v>
      </c>
      <c r="O29" s="3" t="str">
        <f>VLOOKUP(Table2[[#This Row],[Tulu/kulu liik2]],Table5[],6,FALSE)</f>
        <v>Majandamiskulud</v>
      </c>
      <c r="P29" s="3" t="str">
        <f>VLOOKUP(Table2[[#This Row],[Tulu/kulu liik2]],Table5[],5,FALSE)</f>
        <v>Põhitegevuse kulu</v>
      </c>
    </row>
    <row r="30" spans="1:16" x14ac:dyDescent="0.25">
      <c r="A30" t="str">
        <f t="shared" si="0"/>
        <v>01</v>
      </c>
      <c r="B30" t="s">
        <v>15</v>
      </c>
      <c r="C30" s="3" t="str">
        <f>VLOOKUP(Table2[[#This Row],[Tegevusala]],Table4[],2,FALSE)</f>
        <v xml:space="preserve"> Valla- ja linnavalitsus</v>
      </c>
      <c r="D30" s="3" t="str">
        <f>VLOOKUP(Table2[[#This Row],[Tegevusala]],Table4[[Tegevusala kood]:[Tegevusala alanimetus]],4,FALSE)</f>
        <v>Valla- ja linnavalitsus</v>
      </c>
      <c r="E30" s="3" t="str">
        <f>VLOOKUP(Table2[[#This Row],[Tegevusala nimetus2]],Table4[[Tegevusala nimetus]:[Tegevusala koondnimetus]],2,FALSE)</f>
        <v>Üldised valitsussektori teenused</v>
      </c>
      <c r="F30" t="s">
        <v>1971</v>
      </c>
      <c r="G30" t="s">
        <v>1964</v>
      </c>
      <c r="H30" s="40">
        <f>210*12</f>
        <v>2520</v>
      </c>
      <c r="J30">
        <v>5500</v>
      </c>
      <c r="K30" s="3" t="str">
        <f>VLOOKUP(Table2[[#This Row],[Konto]],Table5[[Konto]:[Konto nimetus]],2,FALSE)</f>
        <v>Administreerimiskulud</v>
      </c>
      <c r="L30">
        <v>55</v>
      </c>
      <c r="M30" t="str">
        <f t="shared" si="1"/>
        <v>55</v>
      </c>
      <c r="N30" s="3" t="str">
        <f>VLOOKUP(Table2[[#This Row],[Tulu/kulu liik2]],Table5[[Tulu/kulu liik]:[Kontode koondnimetus]],4,FALSE)</f>
        <v>Muud tegevuskulud</v>
      </c>
      <c r="O30" s="3" t="str">
        <f>VLOOKUP(Table2[[#This Row],[Tulu/kulu liik2]],Table5[],6,FALSE)</f>
        <v>Majandamiskulud</v>
      </c>
      <c r="P30" s="3" t="str">
        <f>VLOOKUP(Table2[[#This Row],[Tulu/kulu liik2]],Table5[],5,FALSE)</f>
        <v>Põhitegevuse kulu</v>
      </c>
    </row>
    <row r="31" spans="1:16" x14ac:dyDescent="0.25">
      <c r="A31" t="str">
        <f t="shared" si="0"/>
        <v>01</v>
      </c>
      <c r="B31" t="s">
        <v>15</v>
      </c>
      <c r="C31" s="3" t="str">
        <f>VLOOKUP(Table2[[#This Row],[Tegevusala]],Table4[],2,FALSE)</f>
        <v xml:space="preserve"> Valla- ja linnavalitsus</v>
      </c>
      <c r="D31" s="3" t="str">
        <f>VLOOKUP(Table2[[#This Row],[Tegevusala]],Table4[[Tegevusala kood]:[Tegevusala alanimetus]],4,FALSE)</f>
        <v>Valla- ja linnavalitsus</v>
      </c>
      <c r="E31" s="3" t="str">
        <f>VLOOKUP(Table2[[#This Row],[Tegevusala nimetus2]],Table4[[Tegevusala nimetus]:[Tegevusala koondnimetus]],2,FALSE)</f>
        <v>Üldised valitsussektori teenused</v>
      </c>
      <c r="F31" t="s">
        <v>1971</v>
      </c>
      <c r="G31" t="s">
        <v>1965</v>
      </c>
      <c r="H31" s="40">
        <f>290*12</f>
        <v>3480</v>
      </c>
      <c r="J31">
        <v>5500</v>
      </c>
      <c r="K31" s="3" t="str">
        <f>VLOOKUP(Table2[[#This Row],[Konto]],Table5[[Konto]:[Konto nimetus]],2,FALSE)</f>
        <v>Administreerimiskulud</v>
      </c>
      <c r="L31">
        <v>55</v>
      </c>
      <c r="M31" t="str">
        <f t="shared" si="1"/>
        <v>55</v>
      </c>
      <c r="N31" s="3" t="str">
        <f>VLOOKUP(Table2[[#This Row],[Tulu/kulu liik2]],Table5[[Tulu/kulu liik]:[Kontode koondnimetus]],4,FALSE)</f>
        <v>Muud tegevuskulud</v>
      </c>
      <c r="O31" s="3" t="str">
        <f>VLOOKUP(Table2[[#This Row],[Tulu/kulu liik2]],Table5[],6,FALSE)</f>
        <v>Majandamiskulud</v>
      </c>
      <c r="P31" s="3" t="str">
        <f>VLOOKUP(Table2[[#This Row],[Tulu/kulu liik2]],Table5[],5,FALSE)</f>
        <v>Põhitegevuse kulu</v>
      </c>
    </row>
    <row r="32" spans="1:16" x14ac:dyDescent="0.25">
      <c r="A32" t="str">
        <f t="shared" si="0"/>
        <v>01</v>
      </c>
      <c r="B32" t="s">
        <v>15</v>
      </c>
      <c r="C32" s="3" t="str">
        <f>VLOOKUP(Table2[[#This Row],[Tegevusala]],Table4[],2,FALSE)</f>
        <v xml:space="preserve"> Valla- ja linnavalitsus</v>
      </c>
      <c r="D32" s="3" t="str">
        <f>VLOOKUP(Table2[[#This Row],[Tegevusala]],Table4[[Tegevusala kood]:[Tegevusala alanimetus]],4,FALSE)</f>
        <v>Valla- ja linnavalitsus</v>
      </c>
      <c r="E32" s="3" t="str">
        <f>VLOOKUP(Table2[[#This Row],[Tegevusala nimetus2]],Table4[[Tegevusala nimetus]:[Tegevusala koondnimetus]],2,FALSE)</f>
        <v>Üldised valitsussektori teenused</v>
      </c>
      <c r="F32" t="s">
        <v>1971</v>
      </c>
      <c r="G32" t="s">
        <v>1966</v>
      </c>
      <c r="H32" s="40">
        <f>45*12</f>
        <v>540</v>
      </c>
      <c r="J32">
        <v>5500</v>
      </c>
      <c r="K32" s="3" t="str">
        <f>VLOOKUP(Table2[[#This Row],[Konto]],Table5[[Konto]:[Konto nimetus]],2,FALSE)</f>
        <v>Administreerimiskulud</v>
      </c>
      <c r="L32">
        <v>55</v>
      </c>
      <c r="M32" t="str">
        <f t="shared" si="1"/>
        <v>55</v>
      </c>
      <c r="N32" s="3" t="str">
        <f>VLOOKUP(Table2[[#This Row],[Tulu/kulu liik2]],Table5[[Tulu/kulu liik]:[Kontode koondnimetus]],4,FALSE)</f>
        <v>Muud tegevuskulud</v>
      </c>
      <c r="O32" s="3" t="str">
        <f>VLOOKUP(Table2[[#This Row],[Tulu/kulu liik2]],Table5[],6,FALSE)</f>
        <v>Majandamiskulud</v>
      </c>
      <c r="P32" s="3" t="str">
        <f>VLOOKUP(Table2[[#This Row],[Tulu/kulu liik2]],Table5[],5,FALSE)</f>
        <v>Põhitegevuse kulu</v>
      </c>
    </row>
    <row r="33" spans="1:16" x14ac:dyDescent="0.25">
      <c r="A33" s="33" t="str">
        <f t="shared" si="0"/>
        <v>01</v>
      </c>
      <c r="B33" s="33" t="s">
        <v>15</v>
      </c>
      <c r="C33" s="34" t="str">
        <f>VLOOKUP(Table2[[#This Row],[Tegevusala]],Table4[],2,FALSE)</f>
        <v xml:space="preserve"> Valla- ja linnavalitsus</v>
      </c>
      <c r="D33" s="34" t="str">
        <f>VLOOKUP(Table2[[#This Row],[Tegevusala]],Table4[[Tegevusala kood]:[Tegevusala alanimetus]],4,FALSE)</f>
        <v>Valla- ja linnavalitsus</v>
      </c>
      <c r="E33" s="34" t="str">
        <f>VLOOKUP(Table2[[#This Row],[Tegevusala nimetus2]],Table4[[Tegevusala nimetus]:[Tegevusala koondnimetus]],2,FALSE)</f>
        <v>Üldised valitsussektori teenused</v>
      </c>
      <c r="F33" s="33" t="s">
        <v>1971</v>
      </c>
      <c r="G33" s="33" t="s">
        <v>1967</v>
      </c>
      <c r="H33" s="47">
        <v>5500</v>
      </c>
      <c r="I33" s="35"/>
      <c r="J33" s="33">
        <v>5500</v>
      </c>
      <c r="K33" s="34" t="str">
        <f>VLOOKUP(Table2[[#This Row],[Konto]],Table5[[Konto]:[Konto nimetus]],2,FALSE)</f>
        <v>Administreerimiskulud</v>
      </c>
      <c r="L33" s="33">
        <v>55</v>
      </c>
      <c r="M33" s="33" t="str">
        <f t="shared" si="1"/>
        <v>55</v>
      </c>
      <c r="N33" s="34" t="str">
        <f>VLOOKUP(Table2[[#This Row],[Tulu/kulu liik2]],Table5[[Tulu/kulu liik]:[Kontode koondnimetus]],4,FALSE)</f>
        <v>Muud tegevuskulud</v>
      </c>
      <c r="O33" s="34" t="str">
        <f>VLOOKUP(Table2[[#This Row],[Tulu/kulu liik2]],Table5[],6,FALSE)</f>
        <v>Majandamiskulud</v>
      </c>
      <c r="P33" s="34" t="str">
        <f>VLOOKUP(Table2[[#This Row],[Tulu/kulu liik2]],Table5[],5,FALSE)</f>
        <v>Põhitegevuse kulu</v>
      </c>
    </row>
    <row r="34" spans="1:16" x14ac:dyDescent="0.25">
      <c r="A34" t="str">
        <f t="shared" si="0"/>
        <v>01</v>
      </c>
      <c r="B34" t="s">
        <v>15</v>
      </c>
      <c r="C34" s="3" t="str">
        <f>VLOOKUP(Table2[[#This Row],[Tegevusala]],Table4[],2,FALSE)</f>
        <v xml:space="preserve"> Valla- ja linnavalitsus</v>
      </c>
      <c r="D34" s="3" t="str">
        <f>VLOOKUP(Table2[[#This Row],[Tegevusala]],Table4[[Tegevusala kood]:[Tegevusala alanimetus]],4,FALSE)</f>
        <v>Valla- ja linnavalitsus</v>
      </c>
      <c r="E34" s="3" t="str">
        <f>VLOOKUP(Table2[[#This Row],[Tegevusala nimetus2]],Table4[[Tegevusala nimetus]:[Tegevusala koondnimetus]],2,FALSE)</f>
        <v>Üldised valitsussektori teenused</v>
      </c>
      <c r="F34" t="s">
        <v>1971</v>
      </c>
      <c r="G34" t="s">
        <v>1968</v>
      </c>
      <c r="H34" s="40">
        <f>550+450</f>
        <v>1000</v>
      </c>
      <c r="I34" s="2" t="s">
        <v>1969</v>
      </c>
      <c r="J34">
        <v>5500</v>
      </c>
      <c r="K34" s="3" t="str">
        <f>VLOOKUP(Table2[[#This Row],[Konto]],Table5[[Konto]:[Konto nimetus]],2,FALSE)</f>
        <v>Administreerimiskulud</v>
      </c>
      <c r="L34">
        <v>55</v>
      </c>
      <c r="M34" t="str">
        <f t="shared" si="1"/>
        <v>55</v>
      </c>
      <c r="N34" s="3" t="str">
        <f>VLOOKUP(Table2[[#This Row],[Tulu/kulu liik2]],Table5[[Tulu/kulu liik]:[Kontode koondnimetus]],4,FALSE)</f>
        <v>Muud tegevuskulud</v>
      </c>
      <c r="O34" s="3" t="str">
        <f>VLOOKUP(Table2[[#This Row],[Tulu/kulu liik2]],Table5[],6,FALSE)</f>
        <v>Majandamiskulud</v>
      </c>
      <c r="P34" s="3" t="str">
        <f>VLOOKUP(Table2[[#This Row],[Tulu/kulu liik2]],Table5[],5,FALSE)</f>
        <v>Põhitegevuse kulu</v>
      </c>
    </row>
    <row r="35" spans="1:16" x14ac:dyDescent="0.25">
      <c r="A35" t="str">
        <f t="shared" si="0"/>
        <v>01</v>
      </c>
      <c r="B35" t="s">
        <v>15</v>
      </c>
      <c r="C35" s="3" t="str">
        <f>VLOOKUP(Table2[[#This Row],[Tegevusala]],Table4[],2,FALSE)</f>
        <v xml:space="preserve"> Valla- ja linnavalitsus</v>
      </c>
      <c r="D35" s="3" t="str">
        <f>VLOOKUP(Table2[[#This Row],[Tegevusala]],Table4[[Tegevusala kood]:[Tegevusala alanimetus]],4,FALSE)</f>
        <v>Valla- ja linnavalitsus</v>
      </c>
      <c r="E35" s="3" t="str">
        <f>VLOOKUP(Table2[[#This Row],[Tegevusala nimetus2]],Table4[[Tegevusala nimetus]:[Tegevusala koondnimetus]],2,FALSE)</f>
        <v>Üldised valitsussektori teenused</v>
      </c>
      <c r="F35" t="s">
        <v>1971</v>
      </c>
      <c r="G35" t="s">
        <v>1970</v>
      </c>
      <c r="H35" s="40">
        <v>60</v>
      </c>
      <c r="J35">
        <v>5500</v>
      </c>
      <c r="K35" s="3" t="str">
        <f>VLOOKUP(Table2[[#This Row],[Konto]],Table5[[Konto]:[Konto nimetus]],2,FALSE)</f>
        <v>Administreerimiskulud</v>
      </c>
      <c r="L35">
        <v>55</v>
      </c>
      <c r="M35" t="str">
        <f t="shared" si="1"/>
        <v>55</v>
      </c>
      <c r="N35" s="3" t="str">
        <f>VLOOKUP(Table2[[#This Row],[Tulu/kulu liik2]],Table5[[Tulu/kulu liik]:[Kontode koondnimetus]],4,FALSE)</f>
        <v>Muud tegevuskulud</v>
      </c>
      <c r="O35" s="3" t="str">
        <f>VLOOKUP(Table2[[#This Row],[Tulu/kulu liik2]],Table5[],6,FALSE)</f>
        <v>Majandamiskulud</v>
      </c>
      <c r="P35" s="3" t="str">
        <f>VLOOKUP(Table2[[#This Row],[Tulu/kulu liik2]],Table5[],5,FALSE)</f>
        <v>Põhitegevuse kulu</v>
      </c>
    </row>
    <row r="36" spans="1:16" x14ac:dyDescent="0.25">
      <c r="A36" t="str">
        <f t="shared" si="0"/>
        <v>01</v>
      </c>
      <c r="B36" t="s">
        <v>15</v>
      </c>
      <c r="C36" s="3" t="str">
        <f>VLOOKUP(Table2[[#This Row],[Tegevusala]],Table4[],2,FALSE)</f>
        <v xml:space="preserve"> Valla- ja linnavalitsus</v>
      </c>
      <c r="D36" s="3" t="str">
        <f>VLOOKUP(Table2[[#This Row],[Tegevusala]],Table4[[Tegevusala kood]:[Tegevusala alanimetus]],4,FALSE)</f>
        <v>Valla- ja linnavalitsus</v>
      </c>
      <c r="E36" s="3" t="str">
        <f>VLOOKUP(Table2[[#This Row],[Tegevusala nimetus2]],Table4[[Tegevusala nimetus]:[Tegevusala koondnimetus]],2,FALSE)</f>
        <v>Üldised valitsussektori teenused</v>
      </c>
      <c r="F36" t="s">
        <v>818</v>
      </c>
      <c r="G36" t="s">
        <v>1972</v>
      </c>
      <c r="H36" s="40">
        <v>1500</v>
      </c>
      <c r="J36">
        <v>5503</v>
      </c>
      <c r="K36" s="3" t="str">
        <f>VLOOKUP(Table2[[#This Row],[Konto]],Table5[[Konto]:[Konto nimetus]],2,FALSE)</f>
        <v>Lähetuskulud</v>
      </c>
      <c r="L36">
        <v>55</v>
      </c>
      <c r="M36" t="str">
        <f t="shared" si="1"/>
        <v>55</v>
      </c>
      <c r="N36" s="3" t="str">
        <f>VLOOKUP(Table2[[#This Row],[Tulu/kulu liik2]],Table5[[Tulu/kulu liik]:[Kontode koondnimetus]],4,FALSE)</f>
        <v>Muud tegevuskulud</v>
      </c>
      <c r="O36" s="3" t="str">
        <f>VLOOKUP(Table2[[#This Row],[Tulu/kulu liik2]],Table5[],6,FALSE)</f>
        <v>Majandamiskulud</v>
      </c>
      <c r="P36" s="3" t="str">
        <f>VLOOKUP(Table2[[#This Row],[Tulu/kulu liik2]],Table5[],5,FALSE)</f>
        <v>Põhitegevuse kulu</v>
      </c>
    </row>
    <row r="37" spans="1:16" x14ac:dyDescent="0.25">
      <c r="A37" t="str">
        <f t="shared" si="0"/>
        <v>01</v>
      </c>
      <c r="B37" t="s">
        <v>15</v>
      </c>
      <c r="C37" s="3" t="str">
        <f>VLOOKUP(Table2[[#This Row],[Tegevusala]],Table4[],2,FALSE)</f>
        <v xml:space="preserve"> Valla- ja linnavalitsus</v>
      </c>
      <c r="D37" s="3" t="str">
        <f>VLOOKUP(Table2[[#This Row],[Tegevusala]],Table4[[Tegevusala kood]:[Tegevusala alanimetus]],4,FALSE)</f>
        <v>Valla- ja linnavalitsus</v>
      </c>
      <c r="E37" s="3" t="str">
        <f>VLOOKUP(Table2[[#This Row],[Tegevusala nimetus2]],Table4[[Tegevusala nimetus]:[Tegevusala koondnimetus]],2,FALSE)</f>
        <v>Üldised valitsussektori teenused</v>
      </c>
      <c r="F37" t="s">
        <v>1971</v>
      </c>
      <c r="G37" t="s">
        <v>1973</v>
      </c>
      <c r="H37" s="40">
        <v>5000</v>
      </c>
      <c r="I37" s="2" t="s">
        <v>1974</v>
      </c>
      <c r="J37">
        <v>5504</v>
      </c>
      <c r="K37" s="3" t="str">
        <f>VLOOKUP(Table2[[#This Row],[Konto]],Table5[[Konto]:[Konto nimetus]],2,FALSE)</f>
        <v>Koolituskulud</v>
      </c>
      <c r="L37">
        <v>55</v>
      </c>
      <c r="M37" t="str">
        <f t="shared" si="1"/>
        <v>55</v>
      </c>
      <c r="N37" s="3" t="str">
        <f>VLOOKUP(Table2[[#This Row],[Tulu/kulu liik2]],Table5[[Tulu/kulu liik]:[Kontode koondnimetus]],4,FALSE)</f>
        <v>Muud tegevuskulud</v>
      </c>
      <c r="O37" s="3" t="str">
        <f>VLOOKUP(Table2[[#This Row],[Tulu/kulu liik2]],Table5[],6,FALSE)</f>
        <v>Majandamiskulud</v>
      </c>
      <c r="P37" s="3" t="str">
        <f>VLOOKUP(Table2[[#This Row],[Tulu/kulu liik2]],Table5[],5,FALSE)</f>
        <v>Põhitegevuse kulu</v>
      </c>
    </row>
    <row r="38" spans="1:16" x14ac:dyDescent="0.25">
      <c r="A38" t="str">
        <f t="shared" si="0"/>
        <v>01</v>
      </c>
      <c r="B38" t="s">
        <v>15</v>
      </c>
      <c r="C38" s="3" t="str">
        <f>VLOOKUP(Table2[[#This Row],[Tegevusala]],Table4[],2,FALSE)</f>
        <v xml:space="preserve"> Valla- ja linnavalitsus</v>
      </c>
      <c r="D38" s="3" t="str">
        <f>VLOOKUP(Table2[[#This Row],[Tegevusala]],Table4[[Tegevusala kood]:[Tegevusala alanimetus]],4,FALSE)</f>
        <v>Valla- ja linnavalitsus</v>
      </c>
      <c r="E38" s="3" t="str">
        <f>VLOOKUP(Table2[[#This Row],[Tegevusala nimetus2]],Table4[[Tegevusala nimetus]:[Tegevusala koondnimetus]],2,FALSE)</f>
        <v>Üldised valitsussektori teenused</v>
      </c>
      <c r="F38" t="s">
        <v>1971</v>
      </c>
      <c r="G38" t="s">
        <v>1975</v>
      </c>
      <c r="H38" s="40">
        <v>2500</v>
      </c>
      <c r="J38">
        <v>5504</v>
      </c>
      <c r="K38" s="3" t="str">
        <f>VLOOKUP(Table2[[#This Row],[Konto]],Table5[[Konto]:[Konto nimetus]],2,FALSE)</f>
        <v>Koolituskulud</v>
      </c>
      <c r="L38">
        <v>55</v>
      </c>
      <c r="M38" t="str">
        <f t="shared" si="1"/>
        <v>55</v>
      </c>
      <c r="N38" s="3" t="str">
        <f>VLOOKUP(Table2[[#This Row],[Tulu/kulu liik2]],Table5[[Tulu/kulu liik]:[Kontode koondnimetus]],4,FALSE)</f>
        <v>Muud tegevuskulud</v>
      </c>
      <c r="O38" s="3" t="str">
        <f>VLOOKUP(Table2[[#This Row],[Tulu/kulu liik2]],Table5[],6,FALSE)</f>
        <v>Majandamiskulud</v>
      </c>
      <c r="P38" s="3" t="str">
        <f>VLOOKUP(Table2[[#This Row],[Tulu/kulu liik2]],Table5[],5,FALSE)</f>
        <v>Põhitegevuse kulu</v>
      </c>
    </row>
    <row r="39" spans="1:16" x14ac:dyDescent="0.25">
      <c r="A39" t="str">
        <f t="shared" si="0"/>
        <v>01</v>
      </c>
      <c r="B39" t="s">
        <v>15</v>
      </c>
      <c r="C39" s="3" t="str">
        <f>VLOOKUP(Table2[[#This Row],[Tegevusala]],Table4[],2,FALSE)</f>
        <v xml:space="preserve"> Valla- ja linnavalitsus</v>
      </c>
      <c r="D39" s="3" t="str">
        <f>VLOOKUP(Table2[[#This Row],[Tegevusala]],Table4[[Tegevusala kood]:[Tegevusala alanimetus]],4,FALSE)</f>
        <v>Valla- ja linnavalitsus</v>
      </c>
      <c r="E39" s="3" t="str">
        <f>VLOOKUP(Table2[[#This Row],[Tegevusala nimetus2]],Table4[[Tegevusala nimetus]:[Tegevusala koondnimetus]],2,FALSE)</f>
        <v>Üldised valitsussektori teenused</v>
      </c>
      <c r="F39" t="s">
        <v>818</v>
      </c>
      <c r="G39" t="s">
        <v>1976</v>
      </c>
      <c r="H39" s="40">
        <v>12000</v>
      </c>
      <c r="J39">
        <v>5504</v>
      </c>
      <c r="K39" s="3" t="str">
        <f>VLOOKUP(Table2[[#This Row],[Konto]],Table5[[Konto]:[Konto nimetus]],2,FALSE)</f>
        <v>Koolituskulud</v>
      </c>
      <c r="L39">
        <v>55</v>
      </c>
      <c r="M39" t="str">
        <f t="shared" si="1"/>
        <v>55</v>
      </c>
      <c r="N39" s="3" t="str">
        <f>VLOOKUP(Table2[[#This Row],[Tulu/kulu liik2]],Table5[[Tulu/kulu liik]:[Kontode koondnimetus]],4,FALSE)</f>
        <v>Muud tegevuskulud</v>
      </c>
      <c r="O39" s="3" t="str">
        <f>VLOOKUP(Table2[[#This Row],[Tulu/kulu liik2]],Table5[],6,FALSE)</f>
        <v>Majandamiskulud</v>
      </c>
      <c r="P39" s="3" t="str">
        <f>VLOOKUP(Table2[[#This Row],[Tulu/kulu liik2]],Table5[],5,FALSE)</f>
        <v>Põhitegevuse kulu</v>
      </c>
    </row>
    <row r="40" spans="1:16" x14ac:dyDescent="0.25">
      <c r="A40" t="str">
        <f t="shared" si="0"/>
        <v>01</v>
      </c>
      <c r="B40" t="s">
        <v>15</v>
      </c>
      <c r="C40" s="3" t="str">
        <f>VLOOKUP(Table2[[#This Row],[Tegevusala]],Table4[],2,FALSE)</f>
        <v xml:space="preserve"> Valla- ja linnavalitsus</v>
      </c>
      <c r="D40" s="3" t="str">
        <f>VLOOKUP(Table2[[#This Row],[Tegevusala]],Table4[[Tegevusala kood]:[Tegevusala alanimetus]],4,FALSE)</f>
        <v>Valla- ja linnavalitsus</v>
      </c>
      <c r="E40" s="3" t="str">
        <f>VLOOKUP(Table2[[#This Row],[Tegevusala nimetus2]],Table4[[Tegevusala nimetus]:[Tegevusala koondnimetus]],2,FALSE)</f>
        <v>Üldised valitsussektori teenused</v>
      </c>
      <c r="F40" t="s">
        <v>1971</v>
      </c>
      <c r="G40" t="s">
        <v>1977</v>
      </c>
      <c r="H40" s="40">
        <v>4800</v>
      </c>
      <c r="J40">
        <v>5511</v>
      </c>
      <c r="K40" s="3" t="str">
        <f>VLOOKUP(Table2[[#This Row],[Konto]],Table5[[Konto]:[Konto nimetus]],2,FALSE)</f>
        <v>Kinnistute, hoonete ja ruumide majandamiskulud</v>
      </c>
      <c r="L40">
        <v>55</v>
      </c>
      <c r="M40" t="str">
        <f t="shared" si="1"/>
        <v>55</v>
      </c>
      <c r="N40" s="3" t="str">
        <f>VLOOKUP(Table2[[#This Row],[Tulu/kulu liik2]],Table5[[Tulu/kulu liik]:[Kontode koondnimetus]],4,FALSE)</f>
        <v>Muud tegevuskulud</v>
      </c>
      <c r="O40" s="3" t="str">
        <f>VLOOKUP(Table2[[#This Row],[Tulu/kulu liik2]],Table5[],6,FALSE)</f>
        <v>Majandamiskulud</v>
      </c>
      <c r="P40" s="3" t="str">
        <f>VLOOKUP(Table2[[#This Row],[Tulu/kulu liik2]],Table5[],5,FALSE)</f>
        <v>Põhitegevuse kulu</v>
      </c>
    </row>
    <row r="41" spans="1:16" x14ac:dyDescent="0.25">
      <c r="A41" t="str">
        <f t="shared" si="0"/>
        <v>01</v>
      </c>
      <c r="B41" t="s">
        <v>15</v>
      </c>
      <c r="C41" s="3" t="str">
        <f>VLOOKUP(Table2[[#This Row],[Tegevusala]],Table4[],2,FALSE)</f>
        <v xml:space="preserve"> Valla- ja linnavalitsus</v>
      </c>
      <c r="D41" s="3" t="str">
        <f>VLOOKUP(Table2[[#This Row],[Tegevusala]],Table4[[Tegevusala kood]:[Tegevusala alanimetus]],4,FALSE)</f>
        <v>Valla- ja linnavalitsus</v>
      </c>
      <c r="E41" s="3" t="str">
        <f>VLOOKUP(Table2[[#This Row],[Tegevusala nimetus2]],Table4[[Tegevusala nimetus]:[Tegevusala koondnimetus]],2,FALSE)</f>
        <v>Üldised valitsussektori teenused</v>
      </c>
      <c r="F41" t="s">
        <v>818</v>
      </c>
      <c r="G41" t="s">
        <v>1978</v>
      </c>
      <c r="H41" s="40">
        <v>1440</v>
      </c>
      <c r="J41">
        <v>5511</v>
      </c>
      <c r="K41" s="3" t="str">
        <f>VLOOKUP(Table2[[#This Row],[Konto]],Table5[[Konto]:[Konto nimetus]],2,FALSE)</f>
        <v>Kinnistute, hoonete ja ruumide majandamiskulud</v>
      </c>
      <c r="L41">
        <v>55</v>
      </c>
      <c r="M41" t="str">
        <f t="shared" si="1"/>
        <v>55</v>
      </c>
      <c r="N41" s="3" t="str">
        <f>VLOOKUP(Table2[[#This Row],[Tulu/kulu liik2]],Table5[[Tulu/kulu liik]:[Kontode koondnimetus]],4,FALSE)</f>
        <v>Muud tegevuskulud</v>
      </c>
      <c r="O41" s="3" t="str">
        <f>VLOOKUP(Table2[[#This Row],[Tulu/kulu liik2]],Table5[],6,FALSE)</f>
        <v>Majandamiskulud</v>
      </c>
      <c r="P41" s="3" t="str">
        <f>VLOOKUP(Table2[[#This Row],[Tulu/kulu liik2]],Table5[],5,FALSE)</f>
        <v>Põhitegevuse kulu</v>
      </c>
    </row>
    <row r="42" spans="1:16" x14ac:dyDescent="0.25">
      <c r="A42" t="str">
        <f t="shared" si="0"/>
        <v>01</v>
      </c>
      <c r="B42" t="s">
        <v>15</v>
      </c>
      <c r="C42" s="3" t="str">
        <f>VLOOKUP(Table2[[#This Row],[Tegevusala]],Table4[],2,FALSE)</f>
        <v xml:space="preserve"> Valla- ja linnavalitsus</v>
      </c>
      <c r="D42" s="3" t="str">
        <f>VLOOKUP(Table2[[#This Row],[Tegevusala]],Table4[[Tegevusala kood]:[Tegevusala alanimetus]],4,FALSE)</f>
        <v>Valla- ja linnavalitsus</v>
      </c>
      <c r="E42" s="3" t="str">
        <f>VLOOKUP(Table2[[#This Row],[Tegevusala nimetus2]],Table4[[Tegevusala nimetus]:[Tegevusala koondnimetus]],2,FALSE)</f>
        <v>Üldised valitsussektori teenused</v>
      </c>
      <c r="F42" t="s">
        <v>818</v>
      </c>
      <c r="G42" t="s">
        <v>1979</v>
      </c>
      <c r="H42" s="40">
        <v>4800</v>
      </c>
      <c r="J42">
        <v>5511</v>
      </c>
      <c r="K42" s="3" t="str">
        <f>VLOOKUP(Table2[[#This Row],[Konto]],Table5[[Konto]:[Konto nimetus]],2,FALSE)</f>
        <v>Kinnistute, hoonete ja ruumide majandamiskulud</v>
      </c>
      <c r="L42">
        <v>55</v>
      </c>
      <c r="M42" t="str">
        <f t="shared" si="1"/>
        <v>55</v>
      </c>
      <c r="N42" s="3" t="str">
        <f>VLOOKUP(Table2[[#This Row],[Tulu/kulu liik2]],Table5[[Tulu/kulu liik]:[Kontode koondnimetus]],4,FALSE)</f>
        <v>Muud tegevuskulud</v>
      </c>
      <c r="O42" s="3" t="str">
        <f>VLOOKUP(Table2[[#This Row],[Tulu/kulu liik2]],Table5[],6,FALSE)</f>
        <v>Majandamiskulud</v>
      </c>
      <c r="P42" s="3" t="str">
        <f>VLOOKUP(Table2[[#This Row],[Tulu/kulu liik2]],Table5[],5,FALSE)</f>
        <v>Põhitegevuse kulu</v>
      </c>
    </row>
    <row r="43" spans="1:16" x14ac:dyDescent="0.25">
      <c r="A43" t="str">
        <f t="shared" si="0"/>
        <v>01</v>
      </c>
      <c r="B43" t="s">
        <v>15</v>
      </c>
      <c r="C43" s="3" t="str">
        <f>VLOOKUP(Table2[[#This Row],[Tegevusala]],Table4[],2,FALSE)</f>
        <v xml:space="preserve"> Valla- ja linnavalitsus</v>
      </c>
      <c r="D43" s="3" t="str">
        <f>VLOOKUP(Table2[[#This Row],[Tegevusala]],Table4[[Tegevusala kood]:[Tegevusala alanimetus]],4,FALSE)</f>
        <v>Valla- ja linnavalitsus</v>
      </c>
      <c r="E43" s="3" t="str">
        <f>VLOOKUP(Table2[[#This Row],[Tegevusala nimetus2]],Table4[[Tegevusala nimetus]:[Tegevusala koondnimetus]],2,FALSE)</f>
        <v>Üldised valitsussektori teenused</v>
      </c>
      <c r="F43" t="s">
        <v>818</v>
      </c>
      <c r="G43" t="s">
        <v>1980</v>
      </c>
      <c r="H43" s="40">
        <v>1800</v>
      </c>
      <c r="J43">
        <v>5511</v>
      </c>
      <c r="K43" s="3" t="str">
        <f>VLOOKUP(Table2[[#This Row],[Konto]],Table5[[Konto]:[Konto nimetus]],2,FALSE)</f>
        <v>Kinnistute, hoonete ja ruumide majandamiskulud</v>
      </c>
      <c r="L43">
        <v>55</v>
      </c>
      <c r="M43" t="str">
        <f t="shared" si="1"/>
        <v>55</v>
      </c>
      <c r="N43" s="3" t="str">
        <f>VLOOKUP(Table2[[#This Row],[Tulu/kulu liik2]],Table5[[Tulu/kulu liik]:[Kontode koondnimetus]],4,FALSE)</f>
        <v>Muud tegevuskulud</v>
      </c>
      <c r="O43" s="3" t="str">
        <f>VLOOKUP(Table2[[#This Row],[Tulu/kulu liik2]],Table5[],6,FALSE)</f>
        <v>Majandamiskulud</v>
      </c>
      <c r="P43" s="3" t="str">
        <f>VLOOKUP(Table2[[#This Row],[Tulu/kulu liik2]],Table5[],5,FALSE)</f>
        <v>Põhitegevuse kulu</v>
      </c>
    </row>
    <row r="44" spans="1:16" x14ac:dyDescent="0.25">
      <c r="A44" t="str">
        <f t="shared" si="0"/>
        <v>01</v>
      </c>
      <c r="B44" t="s">
        <v>15</v>
      </c>
      <c r="C44" s="3" t="str">
        <f>VLOOKUP(Table2[[#This Row],[Tegevusala]],Table4[],2,FALSE)</f>
        <v xml:space="preserve"> Valla- ja linnavalitsus</v>
      </c>
      <c r="D44" s="3" t="str">
        <f>VLOOKUP(Table2[[#This Row],[Tegevusala]],Table4[[Tegevusala kood]:[Tegevusala alanimetus]],4,FALSE)</f>
        <v>Valla- ja linnavalitsus</v>
      </c>
      <c r="E44" s="3" t="str">
        <f>VLOOKUP(Table2[[#This Row],[Tegevusala nimetus2]],Table4[[Tegevusala nimetus]:[Tegevusala koondnimetus]],2,FALSE)</f>
        <v>Üldised valitsussektori teenused</v>
      </c>
      <c r="F44" t="s">
        <v>818</v>
      </c>
      <c r="G44" t="s">
        <v>1981</v>
      </c>
      <c r="H44" s="40">
        <v>20700</v>
      </c>
      <c r="J44">
        <v>5511</v>
      </c>
      <c r="K44" s="3" t="str">
        <f>VLOOKUP(Table2[[#This Row],[Konto]],Table5[[Konto]:[Konto nimetus]],2,FALSE)</f>
        <v>Kinnistute, hoonete ja ruumide majandamiskulud</v>
      </c>
      <c r="L44">
        <v>55</v>
      </c>
      <c r="M44" t="str">
        <f t="shared" si="1"/>
        <v>55</v>
      </c>
      <c r="N44" s="3" t="str">
        <f>VLOOKUP(Table2[[#This Row],[Tulu/kulu liik2]],Table5[[Tulu/kulu liik]:[Kontode koondnimetus]],4,FALSE)</f>
        <v>Muud tegevuskulud</v>
      </c>
      <c r="O44" s="3" t="str">
        <f>VLOOKUP(Table2[[#This Row],[Tulu/kulu liik2]],Table5[],6,FALSE)</f>
        <v>Majandamiskulud</v>
      </c>
      <c r="P44" s="3" t="str">
        <f>VLOOKUP(Table2[[#This Row],[Tulu/kulu liik2]],Table5[],5,FALSE)</f>
        <v>Põhitegevuse kulu</v>
      </c>
    </row>
    <row r="45" spans="1:16" x14ac:dyDescent="0.25">
      <c r="A45" t="str">
        <f t="shared" si="0"/>
        <v>01</v>
      </c>
      <c r="B45" t="s">
        <v>15</v>
      </c>
      <c r="C45" s="3" t="str">
        <f>VLOOKUP(Table2[[#This Row],[Tegevusala]],Table4[],2,FALSE)</f>
        <v xml:space="preserve"> Valla- ja linnavalitsus</v>
      </c>
      <c r="D45" s="3" t="str">
        <f>VLOOKUP(Table2[[#This Row],[Tegevusala]],Table4[[Tegevusala kood]:[Tegevusala alanimetus]],4,FALSE)</f>
        <v>Valla- ja linnavalitsus</v>
      </c>
      <c r="E45" s="3" t="str">
        <f>VLOOKUP(Table2[[#This Row],[Tegevusala nimetus2]],Table4[[Tegevusala nimetus]:[Tegevusala koondnimetus]],2,FALSE)</f>
        <v>Üldised valitsussektori teenused</v>
      </c>
      <c r="F45" t="s">
        <v>818</v>
      </c>
      <c r="G45" t="s">
        <v>1841</v>
      </c>
      <c r="H45" s="40">
        <v>300</v>
      </c>
      <c r="J45">
        <v>5511</v>
      </c>
      <c r="K45" s="3" t="str">
        <f>VLOOKUP(Table2[[#This Row],[Konto]],Table5[[Konto]:[Konto nimetus]],2,FALSE)</f>
        <v>Kinnistute, hoonete ja ruumide majandamiskulud</v>
      </c>
      <c r="L45">
        <v>55</v>
      </c>
      <c r="M45" t="str">
        <f t="shared" si="1"/>
        <v>55</v>
      </c>
      <c r="N45" s="3" t="str">
        <f>VLOOKUP(Table2[[#This Row],[Tulu/kulu liik2]],Table5[[Tulu/kulu liik]:[Kontode koondnimetus]],4,FALSE)</f>
        <v>Muud tegevuskulud</v>
      </c>
      <c r="O45" s="3" t="str">
        <f>VLOOKUP(Table2[[#This Row],[Tulu/kulu liik2]],Table5[],6,FALSE)</f>
        <v>Majandamiskulud</v>
      </c>
      <c r="P45" s="3" t="str">
        <f>VLOOKUP(Table2[[#This Row],[Tulu/kulu liik2]],Table5[],5,FALSE)</f>
        <v>Põhitegevuse kulu</v>
      </c>
    </row>
    <row r="46" spans="1:16" x14ac:dyDescent="0.25">
      <c r="A46" t="str">
        <f t="shared" si="0"/>
        <v>01</v>
      </c>
      <c r="B46" t="s">
        <v>15</v>
      </c>
      <c r="C46" s="3" t="str">
        <f>VLOOKUP(Table2[[#This Row],[Tegevusala]],Table4[],2,FALSE)</f>
        <v xml:space="preserve"> Valla- ja linnavalitsus</v>
      </c>
      <c r="D46" s="3" t="str">
        <f>VLOOKUP(Table2[[#This Row],[Tegevusala]],Table4[[Tegevusala kood]:[Tegevusala alanimetus]],4,FALSE)</f>
        <v>Valla- ja linnavalitsus</v>
      </c>
      <c r="E46" s="3" t="str">
        <f>VLOOKUP(Table2[[#This Row],[Tegevusala nimetus2]],Table4[[Tegevusala nimetus]:[Tegevusala koondnimetus]],2,FALSE)</f>
        <v>Üldised valitsussektori teenused</v>
      </c>
      <c r="F46" t="s">
        <v>818</v>
      </c>
      <c r="G46" t="s">
        <v>569</v>
      </c>
      <c r="H46" s="40">
        <v>840</v>
      </c>
      <c r="J46">
        <v>5511</v>
      </c>
      <c r="K46" s="3" t="str">
        <f>VLOOKUP(Table2[[#This Row],[Konto]],Table5[[Konto]:[Konto nimetus]],2,FALSE)</f>
        <v>Kinnistute, hoonete ja ruumide majandamiskulud</v>
      </c>
      <c r="L46">
        <v>55</v>
      </c>
      <c r="M46" t="str">
        <f t="shared" si="1"/>
        <v>55</v>
      </c>
      <c r="N46" s="3" t="str">
        <f>VLOOKUP(Table2[[#This Row],[Tulu/kulu liik2]],Table5[[Tulu/kulu liik]:[Kontode koondnimetus]],4,FALSE)</f>
        <v>Muud tegevuskulud</v>
      </c>
      <c r="O46" s="3" t="str">
        <f>VLOOKUP(Table2[[#This Row],[Tulu/kulu liik2]],Table5[],6,FALSE)</f>
        <v>Majandamiskulud</v>
      </c>
      <c r="P46" s="3" t="str">
        <f>VLOOKUP(Table2[[#This Row],[Tulu/kulu liik2]],Table5[],5,FALSE)</f>
        <v>Põhitegevuse kulu</v>
      </c>
    </row>
    <row r="47" spans="1:16" x14ac:dyDescent="0.25">
      <c r="A47" t="str">
        <f t="shared" si="0"/>
        <v>01</v>
      </c>
      <c r="B47" t="s">
        <v>15</v>
      </c>
      <c r="C47" s="3" t="str">
        <f>VLOOKUP(Table2[[#This Row],[Tegevusala]],Table4[],2,FALSE)</f>
        <v xml:space="preserve"> Valla- ja linnavalitsus</v>
      </c>
      <c r="D47" s="3" t="str">
        <f>VLOOKUP(Table2[[#This Row],[Tegevusala]],Table4[[Tegevusala kood]:[Tegevusala alanimetus]],4,FALSE)</f>
        <v>Valla- ja linnavalitsus</v>
      </c>
      <c r="E47" s="3" t="str">
        <f>VLOOKUP(Table2[[#This Row],[Tegevusala nimetus2]],Table4[[Tegevusala nimetus]:[Tegevusala koondnimetus]],2,FALSE)</f>
        <v>Üldised valitsussektori teenused</v>
      </c>
      <c r="F47" t="s">
        <v>818</v>
      </c>
      <c r="G47" t="s">
        <v>1982</v>
      </c>
      <c r="H47" s="40">
        <v>260</v>
      </c>
      <c r="J47">
        <v>5511</v>
      </c>
      <c r="K47" s="3" t="str">
        <f>VLOOKUP(Table2[[#This Row],[Konto]],Table5[[Konto]:[Konto nimetus]],2,FALSE)</f>
        <v>Kinnistute, hoonete ja ruumide majandamiskulud</v>
      </c>
      <c r="L47">
        <v>55</v>
      </c>
      <c r="M47" t="str">
        <f t="shared" si="1"/>
        <v>55</v>
      </c>
      <c r="N47" s="3" t="str">
        <f>VLOOKUP(Table2[[#This Row],[Tulu/kulu liik2]],Table5[[Tulu/kulu liik]:[Kontode koondnimetus]],4,FALSE)</f>
        <v>Muud tegevuskulud</v>
      </c>
      <c r="O47" s="3" t="str">
        <f>VLOOKUP(Table2[[#This Row],[Tulu/kulu liik2]],Table5[],6,FALSE)</f>
        <v>Majandamiskulud</v>
      </c>
      <c r="P47" s="3" t="str">
        <f>VLOOKUP(Table2[[#This Row],[Tulu/kulu liik2]],Table5[],5,FALSE)</f>
        <v>Põhitegevuse kulu</v>
      </c>
    </row>
    <row r="48" spans="1:16" x14ac:dyDescent="0.25">
      <c r="A48" t="str">
        <f t="shared" si="0"/>
        <v>01</v>
      </c>
      <c r="B48" t="s">
        <v>15</v>
      </c>
      <c r="C48" s="3" t="str">
        <f>VLOOKUP(Table2[[#This Row],[Tegevusala]],Table4[],2,FALSE)</f>
        <v xml:space="preserve"> Valla- ja linnavalitsus</v>
      </c>
      <c r="D48" s="3" t="str">
        <f>VLOOKUP(Table2[[#This Row],[Tegevusala]],Table4[[Tegevusala kood]:[Tegevusala alanimetus]],4,FALSE)</f>
        <v>Valla- ja linnavalitsus</v>
      </c>
      <c r="E48" s="3" t="str">
        <f>VLOOKUP(Table2[[#This Row],[Tegevusala nimetus2]],Table4[[Tegevusala nimetus]:[Tegevusala koondnimetus]],2,FALSE)</f>
        <v>Üldised valitsussektori teenused</v>
      </c>
      <c r="F48" t="s">
        <v>818</v>
      </c>
      <c r="G48" t="s">
        <v>1983</v>
      </c>
      <c r="H48" s="40">
        <v>15000</v>
      </c>
      <c r="J48">
        <v>5511</v>
      </c>
      <c r="K48" s="3" t="str">
        <f>VLOOKUP(Table2[[#This Row],[Konto]],Table5[[Konto]:[Konto nimetus]],2,FALSE)</f>
        <v>Kinnistute, hoonete ja ruumide majandamiskulud</v>
      </c>
      <c r="L48">
        <v>55</v>
      </c>
      <c r="M48" t="str">
        <f t="shared" si="1"/>
        <v>55</v>
      </c>
      <c r="N48" s="3" t="str">
        <f>VLOOKUP(Table2[[#This Row],[Tulu/kulu liik2]],Table5[[Tulu/kulu liik]:[Kontode koondnimetus]],4,FALSE)</f>
        <v>Muud tegevuskulud</v>
      </c>
      <c r="O48" s="3" t="str">
        <f>VLOOKUP(Table2[[#This Row],[Tulu/kulu liik2]],Table5[],6,FALSE)</f>
        <v>Majandamiskulud</v>
      </c>
      <c r="P48" s="3" t="str">
        <f>VLOOKUP(Table2[[#This Row],[Tulu/kulu liik2]],Table5[],5,FALSE)</f>
        <v>Põhitegevuse kulu</v>
      </c>
    </row>
    <row r="49" spans="1:16" x14ac:dyDescent="0.25">
      <c r="A49" t="str">
        <f t="shared" si="0"/>
        <v>01</v>
      </c>
      <c r="B49" t="s">
        <v>15</v>
      </c>
      <c r="C49" s="3" t="str">
        <f>VLOOKUP(Table2[[#This Row],[Tegevusala]],Table4[],2,FALSE)</f>
        <v xml:space="preserve"> Valla- ja linnavalitsus</v>
      </c>
      <c r="D49" s="3" t="str">
        <f>VLOOKUP(Table2[[#This Row],[Tegevusala]],Table4[[Tegevusala kood]:[Tegevusala alanimetus]],4,FALSE)</f>
        <v>Valla- ja linnavalitsus</v>
      </c>
      <c r="E49" s="3" t="str">
        <f>VLOOKUP(Table2[[#This Row],[Tegevusala nimetus2]],Table4[[Tegevusala nimetus]:[Tegevusala koondnimetus]],2,FALSE)</f>
        <v>Üldised valitsussektori teenused</v>
      </c>
      <c r="F49" t="s">
        <v>1971</v>
      </c>
      <c r="G49" t="s">
        <v>442</v>
      </c>
      <c r="H49" s="40">
        <f>64*12</f>
        <v>768</v>
      </c>
      <c r="I49" s="2" t="s">
        <v>471</v>
      </c>
      <c r="J49">
        <v>5513</v>
      </c>
      <c r="K49" s="3" t="str">
        <f>VLOOKUP(Table2[[#This Row],[Konto]],Table5[[Konto]:[Konto nimetus]],2,FALSE)</f>
        <v>Sõidukite ülalpidamise kulud</v>
      </c>
      <c r="L49">
        <v>55</v>
      </c>
      <c r="M49" t="str">
        <f t="shared" si="1"/>
        <v>55</v>
      </c>
      <c r="N49" s="3" t="str">
        <f>VLOOKUP(Table2[[#This Row],[Tulu/kulu liik2]],Table5[[Tulu/kulu liik]:[Kontode koondnimetus]],4,FALSE)</f>
        <v>Muud tegevuskulud</v>
      </c>
      <c r="O49" s="3" t="str">
        <f>VLOOKUP(Table2[[#This Row],[Tulu/kulu liik2]],Table5[],6,FALSE)</f>
        <v>Majandamiskulud</v>
      </c>
      <c r="P49" s="3" t="str">
        <f>VLOOKUP(Table2[[#This Row],[Tulu/kulu liik2]],Table5[],5,FALSE)</f>
        <v>Põhitegevuse kulu</v>
      </c>
    </row>
    <row r="50" spans="1:16" x14ac:dyDescent="0.25">
      <c r="A50" t="str">
        <f t="shared" si="0"/>
        <v>01</v>
      </c>
      <c r="B50" t="s">
        <v>15</v>
      </c>
      <c r="C50" s="3" t="str">
        <f>VLOOKUP(Table2[[#This Row],[Tegevusala]],Table4[],2,FALSE)</f>
        <v xml:space="preserve"> Valla- ja linnavalitsus</v>
      </c>
      <c r="D50" s="3" t="str">
        <f>VLOOKUP(Table2[[#This Row],[Tegevusala]],Table4[[Tegevusala kood]:[Tegevusala alanimetus]],4,FALSE)</f>
        <v>Valla- ja linnavalitsus</v>
      </c>
      <c r="E50" s="3" t="str">
        <f>VLOOKUP(Table2[[#This Row],[Tegevusala nimetus2]],Table4[[Tegevusala nimetus]:[Tegevusala koondnimetus]],2,FALSE)</f>
        <v>Üldised valitsussektori teenused</v>
      </c>
      <c r="F50" t="s">
        <v>1971</v>
      </c>
      <c r="G50" t="s">
        <v>442</v>
      </c>
      <c r="H50" s="40">
        <v>768</v>
      </c>
      <c r="I50" s="2" t="s">
        <v>1984</v>
      </c>
      <c r="J50">
        <v>5513</v>
      </c>
      <c r="K50" s="3" t="str">
        <f>VLOOKUP(Table2[[#This Row],[Konto]],Table5[[Konto]:[Konto nimetus]],2,FALSE)</f>
        <v>Sõidukite ülalpidamise kulud</v>
      </c>
      <c r="L50">
        <v>55</v>
      </c>
      <c r="M50" t="str">
        <f t="shared" si="1"/>
        <v>55</v>
      </c>
      <c r="N50" s="3" t="str">
        <f>VLOOKUP(Table2[[#This Row],[Tulu/kulu liik2]],Table5[[Tulu/kulu liik]:[Kontode koondnimetus]],4,FALSE)</f>
        <v>Muud tegevuskulud</v>
      </c>
      <c r="O50" s="3" t="str">
        <f>VLOOKUP(Table2[[#This Row],[Tulu/kulu liik2]],Table5[],6,FALSE)</f>
        <v>Majandamiskulud</v>
      </c>
      <c r="P50" s="3" t="str">
        <f>VLOOKUP(Table2[[#This Row],[Tulu/kulu liik2]],Table5[],5,FALSE)</f>
        <v>Põhitegevuse kulu</v>
      </c>
    </row>
    <row r="51" spans="1:16" x14ac:dyDescent="0.25">
      <c r="A51" t="str">
        <f t="shared" si="0"/>
        <v>01</v>
      </c>
      <c r="B51" t="s">
        <v>15</v>
      </c>
      <c r="C51" s="3" t="str">
        <f>VLOOKUP(Table2[[#This Row],[Tegevusala]],Table4[],2,FALSE)</f>
        <v xml:space="preserve"> Valla- ja linnavalitsus</v>
      </c>
      <c r="D51" s="3" t="str">
        <f>VLOOKUP(Table2[[#This Row],[Tegevusala]],Table4[[Tegevusala kood]:[Tegevusala alanimetus]],4,FALSE)</f>
        <v>Valla- ja linnavalitsus</v>
      </c>
      <c r="E51" s="3" t="str">
        <f>VLOOKUP(Table2[[#This Row],[Tegevusala nimetus2]],Table4[[Tegevusala nimetus]:[Tegevusala koondnimetus]],2,FALSE)</f>
        <v>Üldised valitsussektori teenused</v>
      </c>
      <c r="F51" t="s">
        <v>818</v>
      </c>
      <c r="G51" t="s">
        <v>442</v>
      </c>
      <c r="H51" s="40">
        <f>12*150</f>
        <v>1800</v>
      </c>
      <c r="I51" s="2" t="s">
        <v>1985</v>
      </c>
      <c r="J51">
        <v>5513</v>
      </c>
      <c r="K51" s="3" t="str">
        <f>VLOOKUP(Table2[[#This Row],[Konto]],Table5[[Konto]:[Konto nimetus]],2,FALSE)</f>
        <v>Sõidukite ülalpidamise kulud</v>
      </c>
      <c r="L51">
        <v>55</v>
      </c>
      <c r="M51" t="str">
        <f t="shared" si="1"/>
        <v>55</v>
      </c>
      <c r="N51" s="3" t="str">
        <f>VLOOKUP(Table2[[#This Row],[Tulu/kulu liik2]],Table5[[Tulu/kulu liik]:[Kontode koondnimetus]],4,FALSE)</f>
        <v>Muud tegevuskulud</v>
      </c>
      <c r="O51" s="3" t="str">
        <f>VLOOKUP(Table2[[#This Row],[Tulu/kulu liik2]],Table5[],6,FALSE)</f>
        <v>Majandamiskulud</v>
      </c>
      <c r="P51" s="3" t="str">
        <f>VLOOKUP(Table2[[#This Row],[Tulu/kulu liik2]],Table5[],5,FALSE)</f>
        <v>Põhitegevuse kulu</v>
      </c>
    </row>
    <row r="52" spans="1:16" x14ac:dyDescent="0.25">
      <c r="A52" t="str">
        <f t="shared" si="0"/>
        <v>01</v>
      </c>
      <c r="B52" t="s">
        <v>15</v>
      </c>
      <c r="C52" s="3" t="str">
        <f>VLOOKUP(Table2[[#This Row],[Tegevusala]],Table4[],2,FALSE)</f>
        <v xml:space="preserve"> Valla- ja linnavalitsus</v>
      </c>
      <c r="D52" s="3" t="str">
        <f>VLOOKUP(Table2[[#This Row],[Tegevusala]],Table4[[Tegevusala kood]:[Tegevusala alanimetus]],4,FALSE)</f>
        <v>Valla- ja linnavalitsus</v>
      </c>
      <c r="E52" s="3" t="str">
        <f>VLOOKUP(Table2[[#This Row],[Tegevusala nimetus2]],Table4[[Tegevusala nimetus]:[Tegevusala koondnimetus]],2,FALSE)</f>
        <v>Üldised valitsussektori teenused</v>
      </c>
      <c r="F52" t="s">
        <v>818</v>
      </c>
      <c r="G52" t="s">
        <v>1986</v>
      </c>
      <c r="H52" s="40">
        <v>5227.2000000000007</v>
      </c>
      <c r="J52">
        <v>5513</v>
      </c>
      <c r="K52" s="3" t="str">
        <f>VLOOKUP(Table2[[#This Row],[Konto]],Table5[[Konto]:[Konto nimetus]],2,FALSE)</f>
        <v>Sõidukite ülalpidamise kulud</v>
      </c>
      <c r="L52">
        <v>55</v>
      </c>
      <c r="M52" t="str">
        <f t="shared" si="1"/>
        <v>55</v>
      </c>
      <c r="N52" s="3" t="str">
        <f>VLOOKUP(Table2[[#This Row],[Tulu/kulu liik2]],Table5[[Tulu/kulu liik]:[Kontode koondnimetus]],4,FALSE)</f>
        <v>Muud tegevuskulud</v>
      </c>
      <c r="O52" s="3" t="str">
        <f>VLOOKUP(Table2[[#This Row],[Tulu/kulu liik2]],Table5[],6,FALSE)</f>
        <v>Majandamiskulud</v>
      </c>
      <c r="P52" s="3" t="str">
        <f>VLOOKUP(Table2[[#This Row],[Tulu/kulu liik2]],Table5[],5,FALSE)</f>
        <v>Põhitegevuse kulu</v>
      </c>
    </row>
    <row r="53" spans="1:16" x14ac:dyDescent="0.25">
      <c r="A53" t="str">
        <f t="shared" si="0"/>
        <v>01</v>
      </c>
      <c r="B53" t="s">
        <v>15</v>
      </c>
      <c r="C53" s="3" t="str">
        <f>VLOOKUP(Table2[[#This Row],[Tegevusala]],Table4[],2,FALSE)</f>
        <v xml:space="preserve"> Valla- ja linnavalitsus</v>
      </c>
      <c r="D53" s="3" t="str">
        <f>VLOOKUP(Table2[[#This Row],[Tegevusala]],Table4[[Tegevusala kood]:[Tegevusala alanimetus]],4,FALSE)</f>
        <v>Valla- ja linnavalitsus</v>
      </c>
      <c r="E53" s="3" t="str">
        <f>VLOOKUP(Table2[[#This Row],[Tegevusala nimetus2]],Table4[[Tegevusala nimetus]:[Tegevusala koondnimetus]],2,FALSE)</f>
        <v>Üldised valitsussektori teenused</v>
      </c>
      <c r="F53" t="s">
        <v>818</v>
      </c>
      <c r="G53" t="s">
        <v>1987</v>
      </c>
      <c r="H53" s="40">
        <v>650</v>
      </c>
      <c r="J53">
        <v>5513</v>
      </c>
      <c r="K53" s="3" t="str">
        <f>VLOOKUP(Table2[[#This Row],[Konto]],Table5[[Konto]:[Konto nimetus]],2,FALSE)</f>
        <v>Sõidukite ülalpidamise kulud</v>
      </c>
      <c r="L53">
        <v>55</v>
      </c>
      <c r="M53" t="str">
        <f t="shared" si="1"/>
        <v>55</v>
      </c>
      <c r="N53" s="3" t="str">
        <f>VLOOKUP(Table2[[#This Row],[Tulu/kulu liik2]],Table5[[Tulu/kulu liik]:[Kontode koondnimetus]],4,FALSE)</f>
        <v>Muud tegevuskulud</v>
      </c>
      <c r="O53" s="3" t="str">
        <f>VLOOKUP(Table2[[#This Row],[Tulu/kulu liik2]],Table5[],6,FALSE)</f>
        <v>Majandamiskulud</v>
      </c>
      <c r="P53" s="3" t="str">
        <f>VLOOKUP(Table2[[#This Row],[Tulu/kulu liik2]],Table5[],5,FALSE)</f>
        <v>Põhitegevuse kulu</v>
      </c>
    </row>
    <row r="54" spans="1:16" x14ac:dyDescent="0.25">
      <c r="A54" t="str">
        <f t="shared" si="0"/>
        <v>01</v>
      </c>
      <c r="B54" t="s">
        <v>15</v>
      </c>
      <c r="C54" s="3" t="str">
        <f>VLOOKUP(Table2[[#This Row],[Tegevusala]],Table4[],2,FALSE)</f>
        <v xml:space="preserve"> Valla- ja linnavalitsus</v>
      </c>
      <c r="D54" s="3" t="str">
        <f>VLOOKUP(Table2[[#This Row],[Tegevusala]],Table4[[Tegevusala kood]:[Tegevusala alanimetus]],4,FALSE)</f>
        <v>Valla- ja linnavalitsus</v>
      </c>
      <c r="E54" s="3" t="str">
        <f>VLOOKUP(Table2[[#This Row],[Tegevusala nimetus2]],Table4[[Tegevusala nimetus]:[Tegevusala koondnimetus]],2,FALSE)</f>
        <v>Üldised valitsussektori teenused</v>
      </c>
      <c r="F54" t="s">
        <v>818</v>
      </c>
      <c r="G54" t="s">
        <v>1988</v>
      </c>
      <c r="H54" s="40">
        <v>4800</v>
      </c>
      <c r="J54">
        <v>5513</v>
      </c>
      <c r="K54" s="3" t="str">
        <f>VLOOKUP(Table2[[#This Row],[Konto]],Table5[[Konto]:[Konto nimetus]],2,FALSE)</f>
        <v>Sõidukite ülalpidamise kulud</v>
      </c>
      <c r="L54">
        <v>55</v>
      </c>
      <c r="M54" t="str">
        <f t="shared" si="1"/>
        <v>55</v>
      </c>
      <c r="N54" s="3" t="str">
        <f>VLOOKUP(Table2[[#This Row],[Tulu/kulu liik2]],Table5[[Tulu/kulu liik]:[Kontode koondnimetus]],4,FALSE)</f>
        <v>Muud tegevuskulud</v>
      </c>
      <c r="O54" s="3" t="str">
        <f>VLOOKUP(Table2[[#This Row],[Tulu/kulu liik2]],Table5[],6,FALSE)</f>
        <v>Majandamiskulud</v>
      </c>
      <c r="P54" s="3" t="str">
        <f>VLOOKUP(Table2[[#This Row],[Tulu/kulu liik2]],Table5[],5,FALSE)</f>
        <v>Põhitegevuse kulu</v>
      </c>
    </row>
    <row r="55" spans="1:16" x14ac:dyDescent="0.25">
      <c r="A55" t="str">
        <f t="shared" si="0"/>
        <v>01</v>
      </c>
      <c r="B55" t="s">
        <v>15</v>
      </c>
      <c r="C55" s="3" t="str">
        <f>VLOOKUP(Table2[[#This Row],[Tegevusala]],Table4[],2,FALSE)</f>
        <v xml:space="preserve"> Valla- ja linnavalitsus</v>
      </c>
      <c r="D55" s="3" t="str">
        <f>VLOOKUP(Table2[[#This Row],[Tegevusala]],Table4[[Tegevusala kood]:[Tegevusala alanimetus]],4,FALSE)</f>
        <v>Valla- ja linnavalitsus</v>
      </c>
      <c r="E55" s="3" t="str">
        <f>VLOOKUP(Table2[[#This Row],[Tegevusala nimetus2]],Table4[[Tegevusala nimetus]:[Tegevusala koondnimetus]],2,FALSE)</f>
        <v>Üldised valitsussektori teenused</v>
      </c>
      <c r="F55" t="s">
        <v>818</v>
      </c>
      <c r="G55" t="s">
        <v>1989</v>
      </c>
      <c r="H55" s="40">
        <v>1500</v>
      </c>
      <c r="J55">
        <v>5513</v>
      </c>
      <c r="K55" s="3" t="str">
        <f>VLOOKUP(Table2[[#This Row],[Konto]],Table5[[Konto]:[Konto nimetus]],2,FALSE)</f>
        <v>Sõidukite ülalpidamise kulud</v>
      </c>
      <c r="L55">
        <v>55</v>
      </c>
      <c r="M55" t="str">
        <f t="shared" si="1"/>
        <v>55</v>
      </c>
      <c r="N55" s="3" t="str">
        <f>VLOOKUP(Table2[[#This Row],[Tulu/kulu liik2]],Table5[[Tulu/kulu liik]:[Kontode koondnimetus]],4,FALSE)</f>
        <v>Muud tegevuskulud</v>
      </c>
      <c r="O55" s="3" t="str">
        <f>VLOOKUP(Table2[[#This Row],[Tulu/kulu liik2]],Table5[],6,FALSE)</f>
        <v>Majandamiskulud</v>
      </c>
      <c r="P55" s="3" t="str">
        <f>VLOOKUP(Table2[[#This Row],[Tulu/kulu liik2]],Table5[],5,FALSE)</f>
        <v>Põhitegevuse kulu</v>
      </c>
    </row>
    <row r="56" spans="1:16" x14ac:dyDescent="0.25">
      <c r="A56" t="str">
        <f t="shared" si="0"/>
        <v>01</v>
      </c>
      <c r="B56" t="s">
        <v>15</v>
      </c>
      <c r="C56" s="3" t="str">
        <f>VLOOKUP(Table2[[#This Row],[Tegevusala]],Table4[],2,FALSE)</f>
        <v xml:space="preserve"> Valla- ja linnavalitsus</v>
      </c>
      <c r="D56" s="3" t="str">
        <f>VLOOKUP(Table2[[#This Row],[Tegevusala]],Table4[[Tegevusala kood]:[Tegevusala alanimetus]],4,FALSE)</f>
        <v>Valla- ja linnavalitsus</v>
      </c>
      <c r="E56" s="3" t="str">
        <f>VLOOKUP(Table2[[#This Row],[Tegevusala nimetus2]],Table4[[Tegevusala nimetus]:[Tegevusala koondnimetus]],2,FALSE)</f>
        <v>Üldised valitsussektori teenused</v>
      </c>
      <c r="F56" t="s">
        <v>1971</v>
      </c>
      <c r="G56" t="s">
        <v>1993</v>
      </c>
      <c r="H56" s="40">
        <v>4395.2</v>
      </c>
      <c r="I56" s="2" t="s">
        <v>1994</v>
      </c>
      <c r="J56">
        <v>5514</v>
      </c>
      <c r="K56" s="3" t="str">
        <f>VLOOKUP(Table2[[#This Row],[Konto]],Table5[[Konto]:[Konto nimetus]],2,FALSE)</f>
        <v>Info- ja kommunikatsioonitehnoliigised kulud</v>
      </c>
      <c r="L56">
        <v>55</v>
      </c>
      <c r="M56" t="str">
        <f t="shared" si="1"/>
        <v>55</v>
      </c>
      <c r="N56" s="3" t="str">
        <f>VLOOKUP(Table2[[#This Row],[Tulu/kulu liik2]],Table5[[Tulu/kulu liik]:[Kontode koondnimetus]],4,FALSE)</f>
        <v>Muud tegevuskulud</v>
      </c>
      <c r="O56" s="3" t="str">
        <f>VLOOKUP(Table2[[#This Row],[Tulu/kulu liik2]],Table5[],6,FALSE)</f>
        <v>Majandamiskulud</v>
      </c>
      <c r="P56" s="3" t="str">
        <f>VLOOKUP(Table2[[#This Row],[Tulu/kulu liik2]],Table5[],5,FALSE)</f>
        <v>Põhitegevuse kulu</v>
      </c>
    </row>
    <row r="57" spans="1:16" x14ac:dyDescent="0.25">
      <c r="A57" t="str">
        <f t="shared" si="0"/>
        <v>01</v>
      </c>
      <c r="B57" t="s">
        <v>15</v>
      </c>
      <c r="C57" s="3" t="str">
        <f>VLOOKUP(Table2[[#This Row],[Tegevusala]],Table4[],2,FALSE)</f>
        <v xml:space="preserve"> Valla- ja linnavalitsus</v>
      </c>
      <c r="D57" s="3" t="str">
        <f>VLOOKUP(Table2[[#This Row],[Tegevusala]],Table4[[Tegevusala kood]:[Tegevusala alanimetus]],4,FALSE)</f>
        <v>Valla- ja linnavalitsus</v>
      </c>
      <c r="E57" s="3" t="str">
        <f>VLOOKUP(Table2[[#This Row],[Tegevusala nimetus2]],Table4[[Tegevusala nimetus]:[Tegevusala koondnimetus]],2,FALSE)</f>
        <v>Üldised valitsussektori teenused</v>
      </c>
      <c r="F57" t="s">
        <v>1971</v>
      </c>
      <c r="G57" t="s">
        <v>1995</v>
      </c>
      <c r="H57" s="40">
        <v>1500</v>
      </c>
      <c r="J57">
        <v>5514</v>
      </c>
      <c r="K57" s="3" t="str">
        <f>VLOOKUP(Table2[[#This Row],[Konto]],Table5[[Konto]:[Konto nimetus]],2,FALSE)</f>
        <v>Info- ja kommunikatsioonitehnoliigised kulud</v>
      </c>
      <c r="L57">
        <v>55</v>
      </c>
      <c r="M57" t="str">
        <f t="shared" si="1"/>
        <v>55</v>
      </c>
      <c r="N57" s="3" t="str">
        <f>VLOOKUP(Table2[[#This Row],[Tulu/kulu liik2]],Table5[[Tulu/kulu liik]:[Kontode koondnimetus]],4,FALSE)</f>
        <v>Muud tegevuskulud</v>
      </c>
      <c r="O57" s="3" t="str">
        <f>VLOOKUP(Table2[[#This Row],[Tulu/kulu liik2]],Table5[],6,FALSE)</f>
        <v>Majandamiskulud</v>
      </c>
      <c r="P57" s="3" t="str">
        <f>VLOOKUP(Table2[[#This Row],[Tulu/kulu liik2]],Table5[],5,FALSE)</f>
        <v>Põhitegevuse kulu</v>
      </c>
    </row>
    <row r="58" spans="1:16" x14ac:dyDescent="0.25">
      <c r="A58" t="str">
        <f t="shared" si="0"/>
        <v>01</v>
      </c>
      <c r="B58" t="s">
        <v>15</v>
      </c>
      <c r="C58" s="3" t="str">
        <f>VLOOKUP(Table2[[#This Row],[Tegevusala]],Table4[],2,FALSE)</f>
        <v xml:space="preserve"> Valla- ja linnavalitsus</v>
      </c>
      <c r="D58" s="3" t="str">
        <f>VLOOKUP(Table2[[#This Row],[Tegevusala]],Table4[[Tegevusala kood]:[Tegevusala alanimetus]],4,FALSE)</f>
        <v>Valla- ja linnavalitsus</v>
      </c>
      <c r="E58" s="3" t="str">
        <f>VLOOKUP(Table2[[#This Row],[Tegevusala nimetus2]],Table4[[Tegevusala nimetus]:[Tegevusala koondnimetus]],2,FALSE)</f>
        <v>Üldised valitsussektori teenused</v>
      </c>
      <c r="F58" t="s">
        <v>818</v>
      </c>
      <c r="G58" t="s">
        <v>1996</v>
      </c>
      <c r="H58" s="40">
        <v>660</v>
      </c>
      <c r="J58">
        <v>5515</v>
      </c>
      <c r="K58" s="3" t="str">
        <f>VLOOKUP(Table2[[#This Row],[Konto]],Table5[[Konto]:[Konto nimetus]],2,FALSE)</f>
        <v>Inventari kulud, v.a infotehnoloogia ja kaitseotstarbelised kulud</v>
      </c>
      <c r="L58">
        <v>55</v>
      </c>
      <c r="M58" t="str">
        <f t="shared" si="1"/>
        <v>55</v>
      </c>
      <c r="N58" s="3" t="str">
        <f>VLOOKUP(Table2[[#This Row],[Tulu/kulu liik2]],Table5[[Tulu/kulu liik]:[Kontode koondnimetus]],4,FALSE)</f>
        <v>Muud tegevuskulud</v>
      </c>
      <c r="O58" s="3" t="str">
        <f>VLOOKUP(Table2[[#This Row],[Tulu/kulu liik2]],Table5[],6,FALSE)</f>
        <v>Majandamiskulud</v>
      </c>
      <c r="P58" s="3" t="str">
        <f>VLOOKUP(Table2[[#This Row],[Tulu/kulu liik2]],Table5[],5,FALSE)</f>
        <v>Põhitegevuse kulu</v>
      </c>
    </row>
    <row r="59" spans="1:16" x14ac:dyDescent="0.25">
      <c r="A59" t="str">
        <f t="shared" si="0"/>
        <v>01</v>
      </c>
      <c r="B59" t="s">
        <v>15</v>
      </c>
      <c r="C59" s="3" t="str">
        <f>VLOOKUP(Table2[[#This Row],[Tegevusala]],Table4[],2,FALSE)</f>
        <v xml:space="preserve"> Valla- ja linnavalitsus</v>
      </c>
      <c r="D59" s="3" t="str">
        <f>VLOOKUP(Table2[[#This Row],[Tegevusala]],Table4[[Tegevusala kood]:[Tegevusala alanimetus]],4,FALSE)</f>
        <v>Valla- ja linnavalitsus</v>
      </c>
      <c r="E59" s="3" t="str">
        <f>VLOOKUP(Table2[[#This Row],[Tegevusala nimetus2]],Table4[[Tegevusala nimetus]:[Tegevusala koondnimetus]],2,FALSE)</f>
        <v>Üldised valitsussektori teenused</v>
      </c>
      <c r="F59" t="s">
        <v>818</v>
      </c>
      <c r="G59" t="s">
        <v>1997</v>
      </c>
      <c r="H59" s="40">
        <v>1500</v>
      </c>
      <c r="J59">
        <v>5515</v>
      </c>
      <c r="K59" s="3" t="str">
        <f>VLOOKUP(Table2[[#This Row],[Konto]],Table5[[Konto]:[Konto nimetus]],2,FALSE)</f>
        <v>Inventari kulud, v.a infotehnoloogia ja kaitseotstarbelised kulud</v>
      </c>
      <c r="L59">
        <v>55</v>
      </c>
      <c r="M59" t="str">
        <f t="shared" si="1"/>
        <v>55</v>
      </c>
      <c r="N59" s="3" t="str">
        <f>VLOOKUP(Table2[[#This Row],[Tulu/kulu liik2]],Table5[[Tulu/kulu liik]:[Kontode koondnimetus]],4,FALSE)</f>
        <v>Muud tegevuskulud</v>
      </c>
      <c r="O59" s="3" t="str">
        <f>VLOOKUP(Table2[[#This Row],[Tulu/kulu liik2]],Table5[],6,FALSE)</f>
        <v>Majandamiskulud</v>
      </c>
      <c r="P59" s="3" t="str">
        <f>VLOOKUP(Table2[[#This Row],[Tulu/kulu liik2]],Table5[],5,FALSE)</f>
        <v>Põhitegevuse kulu</v>
      </c>
    </row>
    <row r="60" spans="1:16" x14ac:dyDescent="0.25">
      <c r="A60" t="str">
        <f t="shared" si="0"/>
        <v>01</v>
      </c>
      <c r="B60" t="s">
        <v>15</v>
      </c>
      <c r="C60" s="3" t="str">
        <f>VLOOKUP(Table2[[#This Row],[Tegevusala]],Table4[],2,FALSE)</f>
        <v xml:space="preserve"> Valla- ja linnavalitsus</v>
      </c>
      <c r="D60" s="3" t="str">
        <f>VLOOKUP(Table2[[#This Row],[Tegevusala]],Table4[[Tegevusala kood]:[Tegevusala alanimetus]],4,FALSE)</f>
        <v>Valla- ja linnavalitsus</v>
      </c>
      <c r="E60" s="3" t="str">
        <f>VLOOKUP(Table2[[#This Row],[Tegevusala nimetus2]],Table4[[Tegevusala nimetus]:[Tegevusala koondnimetus]],2,FALSE)</f>
        <v>Üldised valitsussektori teenused</v>
      </c>
      <c r="F60" t="s">
        <v>1971</v>
      </c>
      <c r="G60" t="s">
        <v>1998</v>
      </c>
      <c r="H60" s="40">
        <v>3500</v>
      </c>
      <c r="J60">
        <v>5522</v>
      </c>
      <c r="K60" s="3" t="str">
        <f>VLOOKUP(Table2[[#This Row],[Konto]],Table5[[Konto]:[Konto nimetus]],2,FALSE)</f>
        <v>Meditsiinikulud ja hügieenitarbed</v>
      </c>
      <c r="L60">
        <v>55</v>
      </c>
      <c r="M60" t="str">
        <f t="shared" si="1"/>
        <v>55</v>
      </c>
      <c r="N60" s="3" t="str">
        <f>VLOOKUP(Table2[[#This Row],[Tulu/kulu liik2]],Table5[[Tulu/kulu liik]:[Kontode koondnimetus]],4,FALSE)</f>
        <v>Muud tegevuskulud</v>
      </c>
      <c r="O60" s="3" t="str">
        <f>VLOOKUP(Table2[[#This Row],[Tulu/kulu liik2]],Table5[],6,FALSE)</f>
        <v>Majandamiskulud</v>
      </c>
      <c r="P60" s="3" t="str">
        <f>VLOOKUP(Table2[[#This Row],[Tulu/kulu liik2]],Table5[],5,FALSE)</f>
        <v>Põhitegevuse kulu</v>
      </c>
    </row>
    <row r="61" spans="1:16" x14ac:dyDescent="0.25">
      <c r="A61" t="str">
        <f t="shared" si="0"/>
        <v>01</v>
      </c>
      <c r="B61" t="s">
        <v>15</v>
      </c>
      <c r="C61" s="3" t="str">
        <f>VLOOKUP(Table2[[#This Row],[Tegevusala]],Table4[],2,FALSE)</f>
        <v xml:space="preserve"> Valla- ja linnavalitsus</v>
      </c>
      <c r="D61" s="3" t="str">
        <f>VLOOKUP(Table2[[#This Row],[Tegevusala]],Table4[[Tegevusala kood]:[Tegevusala alanimetus]],4,FALSE)</f>
        <v>Valla- ja linnavalitsus</v>
      </c>
      <c r="E61" s="3" t="str">
        <f>VLOOKUP(Table2[[#This Row],[Tegevusala nimetus2]],Table4[[Tegevusala nimetus]:[Tegevusala koondnimetus]],2,FALSE)</f>
        <v>Üldised valitsussektori teenused</v>
      </c>
      <c r="F61" t="s">
        <v>1971</v>
      </c>
      <c r="G61" t="s">
        <v>1999</v>
      </c>
      <c r="H61" s="40">
        <v>1000</v>
      </c>
      <c r="I61" s="2" t="s">
        <v>2000</v>
      </c>
      <c r="J61">
        <v>5522</v>
      </c>
      <c r="K61" s="3" t="str">
        <f>VLOOKUP(Table2[[#This Row],[Konto]],Table5[[Konto]:[Konto nimetus]],2,FALSE)</f>
        <v>Meditsiinikulud ja hügieenitarbed</v>
      </c>
      <c r="L61">
        <v>55</v>
      </c>
      <c r="M61" t="str">
        <f t="shared" si="1"/>
        <v>55</v>
      </c>
      <c r="N61" s="3" t="str">
        <f>VLOOKUP(Table2[[#This Row],[Tulu/kulu liik2]],Table5[[Tulu/kulu liik]:[Kontode koondnimetus]],4,FALSE)</f>
        <v>Muud tegevuskulud</v>
      </c>
      <c r="O61" s="3" t="str">
        <f>VLOOKUP(Table2[[#This Row],[Tulu/kulu liik2]],Table5[],6,FALSE)</f>
        <v>Majandamiskulud</v>
      </c>
      <c r="P61" s="3" t="str">
        <f>VLOOKUP(Table2[[#This Row],[Tulu/kulu liik2]],Table5[],5,FALSE)</f>
        <v>Põhitegevuse kulu</v>
      </c>
    </row>
    <row r="62" spans="1:16" x14ac:dyDescent="0.25">
      <c r="A62" t="str">
        <f t="shared" si="0"/>
        <v>01</v>
      </c>
      <c r="B62" t="s">
        <v>15</v>
      </c>
      <c r="C62" s="3" t="str">
        <f>VLOOKUP(Table2[[#This Row],[Tegevusala]],Table4[],2,FALSE)</f>
        <v xml:space="preserve"> Valla- ja linnavalitsus</v>
      </c>
      <c r="D62" s="3" t="str">
        <f>VLOOKUP(Table2[[#This Row],[Tegevusala]],Table4[[Tegevusala kood]:[Tegevusala alanimetus]],4,FALSE)</f>
        <v>Valla- ja linnavalitsus</v>
      </c>
      <c r="E62" s="3" t="str">
        <f>VLOOKUP(Table2[[#This Row],[Tegevusala nimetus2]],Table4[[Tegevusala nimetus]:[Tegevusala koondnimetus]],2,FALSE)</f>
        <v>Üldised valitsussektori teenused</v>
      </c>
      <c r="F62" t="s">
        <v>1971</v>
      </c>
      <c r="G62" t="s">
        <v>2001</v>
      </c>
      <c r="H62" s="40">
        <v>200</v>
      </c>
      <c r="J62">
        <v>5523</v>
      </c>
      <c r="K62" s="3" t="str">
        <f>VLOOKUP(Table2[[#This Row],[Konto]],Table5[[Konto]:[Konto nimetus]],2,FALSE)</f>
        <v>Teavikud ja kunstiesemed</v>
      </c>
      <c r="L62">
        <v>55</v>
      </c>
      <c r="M62" t="str">
        <f t="shared" si="1"/>
        <v>55</v>
      </c>
      <c r="N62" s="3" t="str">
        <f>VLOOKUP(Table2[[#This Row],[Tulu/kulu liik2]],Table5[[Tulu/kulu liik]:[Kontode koondnimetus]],4,FALSE)</f>
        <v>Muud tegevuskulud</v>
      </c>
      <c r="O62" s="3" t="str">
        <f>VLOOKUP(Table2[[#This Row],[Tulu/kulu liik2]],Table5[],6,FALSE)</f>
        <v>Majandamiskulud</v>
      </c>
      <c r="P62" s="3" t="str">
        <f>VLOOKUP(Table2[[#This Row],[Tulu/kulu liik2]],Table5[],5,FALSE)</f>
        <v>Põhitegevuse kulu</v>
      </c>
    </row>
    <row r="63" spans="1:16" x14ac:dyDescent="0.25">
      <c r="A63" t="str">
        <f t="shared" si="0"/>
        <v>01</v>
      </c>
      <c r="B63" t="s">
        <v>15</v>
      </c>
      <c r="C63" s="3" t="str">
        <f>VLOOKUP(Table2[[#This Row],[Tegevusala]],Table4[],2,FALSE)</f>
        <v xml:space="preserve"> Valla- ja linnavalitsus</v>
      </c>
      <c r="D63" s="3" t="str">
        <f>VLOOKUP(Table2[[#This Row],[Tegevusala]],Table4[[Tegevusala kood]:[Tegevusala alanimetus]],4,FALSE)</f>
        <v>Valla- ja linnavalitsus</v>
      </c>
      <c r="E63" s="3" t="str">
        <f>VLOOKUP(Table2[[#This Row],[Tegevusala nimetus2]],Table4[[Tegevusala nimetus]:[Tegevusala koondnimetus]],2,FALSE)</f>
        <v>Üldised valitsussektori teenused</v>
      </c>
      <c r="F63" t="s">
        <v>1971</v>
      </c>
      <c r="G63" t="s">
        <v>2004</v>
      </c>
      <c r="H63" s="40">
        <v>300</v>
      </c>
      <c r="J63">
        <v>5500</v>
      </c>
      <c r="K63" s="3" t="str">
        <f>VLOOKUP(Table2[[#This Row],[Konto]],Table5[[Konto]:[Konto nimetus]],2,FALSE)</f>
        <v>Administreerimiskulud</v>
      </c>
      <c r="L63">
        <v>55</v>
      </c>
      <c r="M63" t="str">
        <f t="shared" si="1"/>
        <v>55</v>
      </c>
      <c r="N63" s="3" t="str">
        <f>VLOOKUP(Table2[[#This Row],[Tulu/kulu liik2]],Table5[[Tulu/kulu liik]:[Kontode koondnimetus]],4,FALSE)</f>
        <v>Muud tegevuskulud</v>
      </c>
      <c r="O63" s="3" t="str">
        <f>VLOOKUP(Table2[[#This Row],[Tulu/kulu liik2]],Table5[],6,FALSE)</f>
        <v>Majandamiskulud</v>
      </c>
      <c r="P63" s="3" t="str">
        <f>VLOOKUP(Table2[[#This Row],[Tulu/kulu liik2]],Table5[],5,FALSE)</f>
        <v>Põhitegevuse kulu</v>
      </c>
    </row>
    <row r="64" spans="1:16" x14ac:dyDescent="0.25">
      <c r="A64" t="str">
        <f t="shared" si="0"/>
        <v>01</v>
      </c>
      <c r="B64" t="s">
        <v>15</v>
      </c>
      <c r="C64" s="3" t="str">
        <f>VLOOKUP(Table2[[#This Row],[Tegevusala]],Table4[],2,FALSE)</f>
        <v xml:space="preserve"> Valla- ja linnavalitsus</v>
      </c>
      <c r="D64" s="3" t="str">
        <f>VLOOKUP(Table2[[#This Row],[Tegevusala]],Table4[[Tegevusala kood]:[Tegevusala alanimetus]],4,FALSE)</f>
        <v>Valla- ja linnavalitsus</v>
      </c>
      <c r="E64" s="3" t="str">
        <f>VLOOKUP(Table2[[#This Row],[Tegevusala nimetus2]],Table4[[Tegevusala nimetus]:[Tegevusala koondnimetus]],2,FALSE)</f>
        <v>Üldised valitsussektori teenused</v>
      </c>
      <c r="F64" t="s">
        <v>1971</v>
      </c>
      <c r="G64" t="s">
        <v>2005</v>
      </c>
      <c r="H64" s="40">
        <v>11200</v>
      </c>
      <c r="I64" s="2" t="s">
        <v>2006</v>
      </c>
      <c r="J64">
        <v>5540</v>
      </c>
      <c r="K64" s="3" t="str">
        <f>VLOOKUP(Table2[[#This Row],[Konto]],Table5[[Konto]:[Konto nimetus]],2,FALSE)</f>
        <v>Mitmesugused majanduskulud</v>
      </c>
      <c r="L64">
        <v>55</v>
      </c>
      <c r="M64" t="str">
        <f t="shared" si="1"/>
        <v>55</v>
      </c>
      <c r="N64" s="3" t="str">
        <f>VLOOKUP(Table2[[#This Row],[Tulu/kulu liik2]],Table5[[Tulu/kulu liik]:[Kontode koondnimetus]],4,FALSE)</f>
        <v>Muud tegevuskulud</v>
      </c>
      <c r="O64" s="3" t="str">
        <f>VLOOKUP(Table2[[#This Row],[Tulu/kulu liik2]],Table5[],6,FALSE)</f>
        <v>Majandamiskulud</v>
      </c>
      <c r="P64" s="3" t="str">
        <f>VLOOKUP(Table2[[#This Row],[Tulu/kulu liik2]],Table5[],5,FALSE)</f>
        <v>Põhitegevuse kulu</v>
      </c>
    </row>
    <row r="65" spans="1:16" hidden="1" x14ac:dyDescent="0.25">
      <c r="A65" t="str">
        <f t="shared" si="0"/>
        <v>01</v>
      </c>
      <c r="B65" t="s">
        <v>15</v>
      </c>
      <c r="C65" s="3" t="str">
        <f>VLOOKUP(Table2[[#This Row],[Tegevusala]],Table4[],2,FALSE)</f>
        <v xml:space="preserve"> Valla- ja linnavalitsus</v>
      </c>
      <c r="D65" s="3" t="str">
        <f>VLOOKUP(Table2[[#This Row],[Tegevusala]],Table4[[Tegevusala kood]:[Tegevusala alanimetus]],4,FALSE)</f>
        <v>Valla- ja linnavalitsus</v>
      </c>
      <c r="E65" s="3" t="str">
        <f>VLOOKUP(Table2[[#This Row],[Tegevusala nimetus2]],Table4[[Tegevusala nimetus]:[Tegevusala koondnimetus]],2,FALSE)</f>
        <v>Üldised valitsussektori teenused</v>
      </c>
      <c r="F65" t="s">
        <v>842</v>
      </c>
      <c r="G65" t="s">
        <v>79</v>
      </c>
      <c r="H65" s="40">
        <v>-512000</v>
      </c>
      <c r="J65">
        <v>3030</v>
      </c>
      <c r="K65" s="3" t="str">
        <f>VLOOKUP(Table2[[#This Row],[Konto]],Table5[[Konto]:[Konto nimetus]],2,FALSE)</f>
        <v>Maamaks</v>
      </c>
      <c r="L65">
        <v>3030</v>
      </c>
      <c r="M65" t="str">
        <f t="shared" si="1"/>
        <v>30</v>
      </c>
      <c r="N65" s="3" t="str">
        <f>VLOOKUP(Table2[[#This Row],[Tulu/kulu liik2]],Table5[[Tulu/kulu liik]:[Kontode koondnimetus]],4,FALSE)</f>
        <v>Maksutulud</v>
      </c>
      <c r="O65" s="34" t="str">
        <f>VLOOKUP(Table2[[#This Row],[Tulu/kulu liik2]],Table5[],6,FALSE)</f>
        <v>Maamaks</v>
      </c>
      <c r="P65" s="3" t="str">
        <f>VLOOKUP(Table2[[#This Row],[Tulu/kulu liik2]],Table5[],5,FALSE)</f>
        <v>Põhitegevuse tulu</v>
      </c>
    </row>
    <row r="66" spans="1:16" hidden="1" x14ac:dyDescent="0.25">
      <c r="A66" t="str">
        <f t="shared" ref="A66:A129" si="2">LEFT(B66,2)</f>
        <v>01</v>
      </c>
      <c r="B66" t="s">
        <v>15</v>
      </c>
      <c r="C66" s="3" t="str">
        <f>VLOOKUP(Table2[[#This Row],[Tegevusala]],Table4[],2,FALSE)</f>
        <v xml:space="preserve"> Valla- ja linnavalitsus</v>
      </c>
      <c r="D66" s="3" t="str">
        <f>VLOOKUP(Table2[[#This Row],[Tegevusala]],Table4[[Tegevusala kood]:[Tegevusala alanimetus]],4,FALSE)</f>
        <v>Valla- ja linnavalitsus</v>
      </c>
      <c r="E66" s="3" t="str">
        <f>VLOOKUP(Table2[[#This Row],[Tegevusala nimetus2]],Table4[[Tegevusala nimetus]:[Tegevusala koondnimetus]],2,FALSE)</f>
        <v>Üldised valitsussektori teenused</v>
      </c>
      <c r="F66" t="s">
        <v>841</v>
      </c>
      <c r="G66" t="s">
        <v>2040</v>
      </c>
      <c r="H66" s="40">
        <v>10000</v>
      </c>
      <c r="J66">
        <v>1551</v>
      </c>
      <c r="K66" s="3" t="str">
        <f>VLOOKUP(Table2[[#This Row],[Konto]],Table5[[Konto]:[Konto nimetus]],2,FALSE)</f>
        <v>Rajatiste ja hoonete soetamine ja renoveerimine</v>
      </c>
      <c r="L66">
        <v>15</v>
      </c>
      <c r="M66" t="str">
        <f t="shared" ref="M66:M129" si="3">LEFT(J66,2)</f>
        <v>15</v>
      </c>
      <c r="N66" s="3" t="str">
        <f>VLOOKUP(Table2[[#This Row],[Tulu/kulu liik2]],Table5[[Tulu/kulu liik]:[Kontode koondnimetus]],4,FALSE)</f>
        <v>Põhivara soetus (-)</v>
      </c>
      <c r="O66" s="34" t="str">
        <f>VLOOKUP(Table2[[#This Row],[Tulu/kulu liik2]],Table5[],6,FALSE)</f>
        <v>Põhivara soetus (-)</v>
      </c>
      <c r="P66" s="3" t="str">
        <f>VLOOKUP(Table2[[#This Row],[Tulu/kulu liik2]],Table5[],5,FALSE)</f>
        <v>Investeerimistegevus</v>
      </c>
    </row>
    <row r="67" spans="1:16" hidden="1" x14ac:dyDescent="0.25">
      <c r="A67" t="str">
        <f t="shared" si="2"/>
        <v>01</v>
      </c>
      <c r="B67" t="s">
        <v>15</v>
      </c>
      <c r="C67" s="3" t="str">
        <f>VLOOKUP(Table2[[#This Row],[Tegevusala]],Table4[],2,FALSE)</f>
        <v xml:space="preserve"> Valla- ja linnavalitsus</v>
      </c>
      <c r="D67" s="3" t="str">
        <f>VLOOKUP(Table2[[#This Row],[Tegevusala]],Table4[[Tegevusala kood]:[Tegevusala alanimetus]],4,FALSE)</f>
        <v>Valla- ja linnavalitsus</v>
      </c>
      <c r="E67" s="3" t="str">
        <f>VLOOKUP(Table2[[#This Row],[Tegevusala nimetus2]],Table4[[Tegevusala nimetus]:[Tegevusala koondnimetus]],2,FALSE)</f>
        <v>Üldised valitsussektori teenused</v>
      </c>
      <c r="F67" t="s">
        <v>841</v>
      </c>
      <c r="G67" t="s">
        <v>2041</v>
      </c>
      <c r="H67" s="40">
        <v>25000</v>
      </c>
      <c r="J67">
        <v>1551</v>
      </c>
      <c r="K67" s="3" t="str">
        <f>VLOOKUP(Table2[[#This Row],[Konto]],Table5[[Konto]:[Konto nimetus]],2,FALSE)</f>
        <v>Rajatiste ja hoonete soetamine ja renoveerimine</v>
      </c>
      <c r="L67">
        <v>15</v>
      </c>
      <c r="M67" t="str">
        <f t="shared" si="3"/>
        <v>15</v>
      </c>
      <c r="N67" s="3" t="str">
        <f>VLOOKUP(Table2[[#This Row],[Tulu/kulu liik2]],Table5[[Tulu/kulu liik]:[Kontode koondnimetus]],4,FALSE)</f>
        <v>Põhivara soetus (-)</v>
      </c>
      <c r="O67" s="34" t="str">
        <f>VLOOKUP(Table2[[#This Row],[Tulu/kulu liik2]],Table5[],6,FALSE)</f>
        <v>Põhivara soetus (-)</v>
      </c>
      <c r="P67" s="3" t="str">
        <f>VLOOKUP(Table2[[#This Row],[Tulu/kulu liik2]],Table5[],5,FALSE)</f>
        <v>Investeerimistegevus</v>
      </c>
    </row>
    <row r="68" spans="1:16" hidden="1" x14ac:dyDescent="0.25">
      <c r="A68" t="str">
        <f t="shared" si="2"/>
        <v>01</v>
      </c>
      <c r="B68" t="s">
        <v>15</v>
      </c>
      <c r="C68" s="3" t="str">
        <f>VLOOKUP(Table2[[#This Row],[Tegevusala]],Table4[],2,FALSE)</f>
        <v xml:space="preserve"> Valla- ja linnavalitsus</v>
      </c>
      <c r="D68" s="3" t="str">
        <f>VLOOKUP(Table2[[#This Row],[Tegevusala]],Table4[[Tegevusala kood]:[Tegevusala alanimetus]],4,FALSE)</f>
        <v>Valla- ja linnavalitsus</v>
      </c>
      <c r="E68" s="3" t="str">
        <f>VLOOKUP(Table2[[#This Row],[Tegevusala nimetus2]],Table4[[Tegevusala nimetus]:[Tegevusala koondnimetus]],2,FALSE)</f>
        <v>Üldised valitsussektori teenused</v>
      </c>
      <c r="F68" t="s">
        <v>624</v>
      </c>
      <c r="G68" t="s">
        <v>2042</v>
      </c>
      <c r="H68" s="40">
        <v>30000</v>
      </c>
      <c r="J68">
        <v>1551</v>
      </c>
      <c r="K68" s="3" t="str">
        <f>VLOOKUP(Table2[[#This Row],[Konto]],Table5[[Konto]:[Konto nimetus]],2,FALSE)</f>
        <v>Rajatiste ja hoonete soetamine ja renoveerimine</v>
      </c>
      <c r="L68">
        <v>15</v>
      </c>
      <c r="M68" t="str">
        <f t="shared" si="3"/>
        <v>15</v>
      </c>
      <c r="N68" s="3" t="str">
        <f>VLOOKUP(Table2[[#This Row],[Tulu/kulu liik2]],Table5[[Tulu/kulu liik]:[Kontode koondnimetus]],4,FALSE)</f>
        <v>Põhivara soetus (-)</v>
      </c>
      <c r="O68" s="34" t="str">
        <f>VLOOKUP(Table2[[#This Row],[Tulu/kulu liik2]],Table5[],6,FALSE)</f>
        <v>Põhivara soetus (-)</v>
      </c>
      <c r="P68" s="3" t="str">
        <f>VLOOKUP(Table2[[#This Row],[Tulu/kulu liik2]],Table5[],5,FALSE)</f>
        <v>Investeerimistegevus</v>
      </c>
    </row>
    <row r="69" spans="1:16" hidden="1" x14ac:dyDescent="0.25">
      <c r="A69" s="33" t="str">
        <f t="shared" si="2"/>
        <v>01</v>
      </c>
      <c r="B69" s="33" t="s">
        <v>15</v>
      </c>
      <c r="C69" s="34" t="str">
        <f>VLOOKUP(Table2[[#This Row],[Tegevusala]],Table4[],2,FALSE)</f>
        <v xml:space="preserve"> Valla- ja linnavalitsus</v>
      </c>
      <c r="D69" s="34" t="str">
        <f>VLOOKUP(Table2[[#This Row],[Tegevusala]],Table4[[Tegevusala kood]:[Tegevusala alanimetus]],4,FALSE)</f>
        <v>Valla- ja linnavalitsus</v>
      </c>
      <c r="E69" s="34" t="str">
        <f>VLOOKUP(Table2[[#This Row],[Tegevusala nimetus2]],Table4[[Tegevusala nimetus]:[Tegevusala koondnimetus]],2,FALSE)</f>
        <v>Üldised valitsussektori teenused</v>
      </c>
      <c r="F69" s="33" t="s">
        <v>648</v>
      </c>
      <c r="G69" s="33" t="s">
        <v>2043</v>
      </c>
      <c r="H69" s="47">
        <v>54000</v>
      </c>
      <c r="I69" s="35"/>
      <c r="J69" s="33">
        <v>1564</v>
      </c>
      <c r="K69" s="34" t="str">
        <f>VLOOKUP(Table2[[#This Row],[Konto]],Table5[[Konto]:[Konto nimetus]],2,FALSE)</f>
        <v>Arenguväljaminekud</v>
      </c>
      <c r="L69" s="33">
        <v>15</v>
      </c>
      <c r="M69" s="33" t="str">
        <f t="shared" si="3"/>
        <v>15</v>
      </c>
      <c r="N69" s="34" t="str">
        <f>VLOOKUP(Table2[[#This Row],[Tulu/kulu liik2]],Table5[[Tulu/kulu liik]:[Kontode koondnimetus]],4,FALSE)</f>
        <v>Põhivara soetus (-)</v>
      </c>
      <c r="O69" s="34" t="str">
        <f>VLOOKUP(Table2[[#This Row],[Tulu/kulu liik2]],Table5[],6,FALSE)</f>
        <v>Põhivara soetus (-)</v>
      </c>
      <c r="P69" s="34" t="str">
        <f>VLOOKUP(Table2[[#This Row],[Tulu/kulu liik2]],Table5[],5,FALSE)</f>
        <v>Investeerimistegevus</v>
      </c>
    </row>
    <row r="70" spans="1:16" hidden="1" x14ac:dyDescent="0.25">
      <c r="A70" s="8" t="str">
        <f t="shared" si="2"/>
        <v>01</v>
      </c>
      <c r="B70" s="8" t="s">
        <v>15</v>
      </c>
      <c r="C70" s="32" t="str">
        <f>VLOOKUP(Table2[[#This Row],[Tegevusala]],Table4[],2,FALSE)</f>
        <v xml:space="preserve"> Valla- ja linnavalitsus</v>
      </c>
      <c r="D70" s="32" t="str">
        <f>VLOOKUP(Table2[[#This Row],[Tegevusala]],Table4[[Tegevusala kood]:[Tegevusala alanimetus]],4,FALSE)</f>
        <v>Valla- ja linnavalitsus</v>
      </c>
      <c r="E70" s="32" t="str">
        <f>VLOOKUP(Table2[[#This Row],[Tegevusala nimetus2]],Table4[[Tegevusala nimetus]:[Tegevusala koondnimetus]],2,FALSE)</f>
        <v>Üldised valitsussektori teenused</v>
      </c>
      <c r="F70" s="8" t="s">
        <v>624</v>
      </c>
      <c r="G70" s="8" t="s">
        <v>81</v>
      </c>
      <c r="H70" s="43">
        <v>-1188323</v>
      </c>
      <c r="I70" s="9"/>
      <c r="J70" s="8">
        <v>35200</v>
      </c>
      <c r="K70" s="32" t="str">
        <f>VLOOKUP(Table2[[#This Row],[Konto]],Table5[[Konto]:[Konto nimetus]],2,FALSE)</f>
        <v>Tasandusfond</v>
      </c>
      <c r="L70" s="8">
        <v>35200</v>
      </c>
      <c r="M70" s="8" t="str">
        <f t="shared" si="3"/>
        <v>35</v>
      </c>
      <c r="N70" s="32" t="str">
        <f>VLOOKUP(Table2[[#This Row],[Tulu/kulu liik2]],Table5[[Tulu/kulu liik]:[Kontode koondnimetus]],4,FALSE)</f>
        <v>Saadavad toetused tegevuskuludeks</v>
      </c>
      <c r="O70" s="32" t="str">
        <f>VLOOKUP(Table2[[#This Row],[Tulu/kulu liik2]],Table5[],6,FALSE)</f>
        <v>Tasandusfond</v>
      </c>
      <c r="P70" s="32" t="str">
        <f>VLOOKUP(Table2[[#This Row],[Tulu/kulu liik2]],Table5[],5,FALSE)</f>
        <v>Põhitegevuse tulu</v>
      </c>
    </row>
    <row r="71" spans="1:16" hidden="1" x14ac:dyDescent="0.25">
      <c r="A71" s="8" t="str">
        <f t="shared" si="2"/>
        <v>01</v>
      </c>
      <c r="B71" s="8" t="s">
        <v>15</v>
      </c>
      <c r="C71" s="32" t="str">
        <f>VLOOKUP(Table2[[#This Row],[Tegevusala]],Table4[],2,FALSE)</f>
        <v xml:space="preserve"> Valla- ja linnavalitsus</v>
      </c>
      <c r="D71" s="32" t="str">
        <f>VLOOKUP(Table2[[#This Row],[Tegevusala]],Table4[[Tegevusala kood]:[Tegevusala alanimetus]],4,FALSE)</f>
        <v>Valla- ja linnavalitsus</v>
      </c>
      <c r="E71" s="32" t="str">
        <f>VLOOKUP(Table2[[#This Row],[Tegevusala nimetus2]],Table4[[Tegevusala nimetus]:[Tegevusala koondnimetus]],2,FALSE)</f>
        <v>Üldised valitsussektori teenused</v>
      </c>
      <c r="F71" s="8" t="s">
        <v>1548</v>
      </c>
      <c r="G71" s="8" t="s">
        <v>2110</v>
      </c>
      <c r="H71" s="43">
        <v>-1862253</v>
      </c>
      <c r="I71" s="9"/>
      <c r="J71" s="8">
        <v>35201</v>
      </c>
      <c r="K71" s="32" t="str">
        <f>VLOOKUP(Table2[[#This Row],[Konto]],Table5[[Konto]:[Konto nimetus]],2,FALSE)</f>
        <v>Toetusfond</v>
      </c>
      <c r="L71" s="8">
        <v>35201</v>
      </c>
      <c r="M71" s="8" t="str">
        <f t="shared" si="3"/>
        <v>35</v>
      </c>
      <c r="N71" s="32" t="str">
        <f>VLOOKUP(Table2[[#This Row],[Tulu/kulu liik2]],Table5[[Tulu/kulu liik]:[Kontode koondnimetus]],4,FALSE)</f>
        <v>Saadavad toetused tegevuskuludeks</v>
      </c>
      <c r="O71" s="32" t="str">
        <f>VLOOKUP(Table2[[#This Row],[Tulu/kulu liik2]],Table5[],6,FALSE)</f>
        <v>Toetusfond</v>
      </c>
      <c r="P71" s="32" t="str">
        <f>VLOOKUP(Table2[[#This Row],[Tulu/kulu liik2]],Table5[],5,FALSE)</f>
        <v>Põhitegevuse tulu</v>
      </c>
    </row>
    <row r="72" spans="1:16" x14ac:dyDescent="0.25">
      <c r="A72" t="str">
        <f t="shared" si="2"/>
        <v>01</v>
      </c>
      <c r="B72" t="s">
        <v>15</v>
      </c>
      <c r="C72" s="3" t="str">
        <f>VLOOKUP(Table2[[#This Row],[Tegevusala]],Table4[],2,FALSE)</f>
        <v xml:space="preserve"> Valla- ja linnavalitsus</v>
      </c>
      <c r="D72" s="3" t="str">
        <f>VLOOKUP(Table2[[#This Row],[Tegevusala]],Table4[[Tegevusala kood]:[Tegevusala alanimetus]],4,FALSE)</f>
        <v>Valla- ja linnavalitsus</v>
      </c>
      <c r="E72" s="3" t="str">
        <f>VLOOKUP(Table2[[#This Row],[Tegevusala nimetus2]],Table4[[Tegevusala nimetus]:[Tegevusala koondnimetus]],2,FALSE)</f>
        <v>Üldised valitsussektori teenused</v>
      </c>
      <c r="F72" t="s">
        <v>1971</v>
      </c>
      <c r="G72" t="s">
        <v>2158</v>
      </c>
      <c r="H72" s="40">
        <v>1500</v>
      </c>
      <c r="J72">
        <v>5532</v>
      </c>
      <c r="K72" s="3" t="str">
        <f>VLOOKUP(Table2[[#This Row],[Konto]],Table5[[Konto]:[Konto nimetus]],2,FALSE)</f>
        <v>Eri- ja vormiriietus</v>
      </c>
      <c r="L72">
        <v>55</v>
      </c>
      <c r="M72" t="str">
        <f t="shared" si="3"/>
        <v>55</v>
      </c>
      <c r="N72" s="3" t="str">
        <f>VLOOKUP(Table2[[#This Row],[Tulu/kulu liik2]],Table5[[Tulu/kulu liik]:[Kontode koondnimetus]],4,FALSE)</f>
        <v>Muud tegevuskulud</v>
      </c>
      <c r="O72" s="34" t="str">
        <f>VLOOKUP(Table2[[#This Row],[Tulu/kulu liik2]],Table5[],6,FALSE)</f>
        <v>Majandamiskulud</v>
      </c>
      <c r="P72" s="3" t="str">
        <f>VLOOKUP(Table2[[#This Row],[Tulu/kulu liik2]],Table5[],5,FALSE)</f>
        <v>Põhitegevuse kulu</v>
      </c>
    </row>
    <row r="73" spans="1:16" x14ac:dyDescent="0.25">
      <c r="A73" t="str">
        <f t="shared" si="2"/>
        <v>01</v>
      </c>
      <c r="B73" t="s">
        <v>15</v>
      </c>
      <c r="C73" s="3" t="str">
        <f>VLOOKUP(Table2[[#This Row],[Tegevusala]],Table4[],2,FALSE)</f>
        <v xml:space="preserve"> Valla- ja linnavalitsus</v>
      </c>
      <c r="D73" s="3" t="str">
        <f>VLOOKUP(Table2[[#This Row],[Tegevusala]],Table4[[Tegevusala kood]:[Tegevusala alanimetus]],4,FALSE)</f>
        <v>Valla- ja linnavalitsus</v>
      </c>
      <c r="E73" s="3" t="str">
        <f>VLOOKUP(Table2[[#This Row],[Tegevusala nimetus2]],Table4[[Tegevusala nimetus]:[Tegevusala koondnimetus]],2,FALSE)</f>
        <v>Üldised valitsussektori teenused</v>
      </c>
      <c r="F73" t="s">
        <v>491</v>
      </c>
      <c r="G73" t="s">
        <v>2176</v>
      </c>
      <c r="H73" s="40">
        <v>4188</v>
      </c>
      <c r="J73">
        <v>5514</v>
      </c>
      <c r="K73" s="3" t="str">
        <f>VLOOKUP(Table2[[#This Row],[Konto]],Table5[[Konto]:[Konto nimetus]],2,FALSE)</f>
        <v>Info- ja kommunikatsioonitehnoliigised kulud</v>
      </c>
      <c r="L73">
        <v>55</v>
      </c>
      <c r="M73" t="str">
        <f t="shared" si="3"/>
        <v>55</v>
      </c>
      <c r="N73" s="3" t="str">
        <f>VLOOKUP(Table2[[#This Row],[Tulu/kulu liik2]],Table5[[Tulu/kulu liik]:[Kontode koondnimetus]],4,FALSE)</f>
        <v>Muud tegevuskulud</v>
      </c>
      <c r="O73" s="34" t="str">
        <f>VLOOKUP(Table2[[#This Row],[Tulu/kulu liik2]],Table5[],6,FALSE)</f>
        <v>Majandamiskulud</v>
      </c>
      <c r="P73" s="3" t="str">
        <f>VLOOKUP(Table2[[#This Row],[Tulu/kulu liik2]],Table5[],5,FALSE)</f>
        <v>Põhitegevuse kulu</v>
      </c>
    </row>
    <row r="74" spans="1:16" x14ac:dyDescent="0.25">
      <c r="A74" t="str">
        <f t="shared" si="2"/>
        <v>01</v>
      </c>
      <c r="B74" t="s">
        <v>15</v>
      </c>
      <c r="C74" s="3" t="str">
        <f>VLOOKUP(Table2[[#This Row],[Tegevusala]],Table4[],2,FALSE)</f>
        <v xml:space="preserve"> Valla- ja linnavalitsus</v>
      </c>
      <c r="D74" s="3" t="str">
        <f>VLOOKUP(Table2[[#This Row],[Tegevusala]],Table4[[Tegevusala kood]:[Tegevusala alanimetus]],4,FALSE)</f>
        <v>Valla- ja linnavalitsus</v>
      </c>
      <c r="E74" s="3" t="str">
        <f>VLOOKUP(Table2[[#This Row],[Tegevusala nimetus2]],Table4[[Tegevusala nimetus]:[Tegevusala koondnimetus]],2,FALSE)</f>
        <v>Üldised valitsussektori teenused</v>
      </c>
      <c r="F74" t="s">
        <v>491</v>
      </c>
      <c r="G74" t="s">
        <v>2177</v>
      </c>
      <c r="H74" s="40">
        <f>12*311</f>
        <v>3732</v>
      </c>
      <c r="J74">
        <v>5514</v>
      </c>
      <c r="K74" s="3" t="str">
        <f>VLOOKUP(Table2[[#This Row],[Konto]],Table5[[Konto]:[Konto nimetus]],2,FALSE)</f>
        <v>Info- ja kommunikatsioonitehnoliigised kulud</v>
      </c>
      <c r="L74">
        <v>55</v>
      </c>
      <c r="M74" t="str">
        <f t="shared" si="3"/>
        <v>55</v>
      </c>
      <c r="N74" s="3" t="str">
        <f>VLOOKUP(Table2[[#This Row],[Tulu/kulu liik2]],Table5[[Tulu/kulu liik]:[Kontode koondnimetus]],4,FALSE)</f>
        <v>Muud tegevuskulud</v>
      </c>
      <c r="O74" s="34" t="str">
        <f>VLOOKUP(Table2[[#This Row],[Tulu/kulu liik2]],Table5[],6,FALSE)</f>
        <v>Majandamiskulud</v>
      </c>
      <c r="P74" s="3" t="str">
        <f>VLOOKUP(Table2[[#This Row],[Tulu/kulu liik2]],Table5[],5,FALSE)</f>
        <v>Põhitegevuse kulu</v>
      </c>
    </row>
    <row r="75" spans="1:16" x14ac:dyDescent="0.25">
      <c r="A75" s="87" t="str">
        <f t="shared" si="2"/>
        <v>01</v>
      </c>
      <c r="B75" s="87" t="s">
        <v>15</v>
      </c>
      <c r="C75" s="88" t="str">
        <f>VLOOKUP(Table2[[#This Row],[Tegevusala]],Table4[],2,FALSE)</f>
        <v xml:space="preserve"> Valla- ja linnavalitsus</v>
      </c>
      <c r="D75" s="88" t="str">
        <f>VLOOKUP(Table2[[#This Row],[Tegevusala]],Table4[[Tegevusala kood]:[Tegevusala alanimetus]],4,FALSE)</f>
        <v>Valla- ja linnavalitsus</v>
      </c>
      <c r="E75" s="88" t="str">
        <f>VLOOKUP(Table2[[#This Row],[Tegevusala nimetus2]],Table4[[Tegevusala nimetus]:[Tegevusala koondnimetus]],2,FALSE)</f>
        <v>Üldised valitsussektori teenused</v>
      </c>
      <c r="F75" s="87" t="s">
        <v>818</v>
      </c>
      <c r="G75" s="87" t="s">
        <v>2180</v>
      </c>
      <c r="H75" s="89">
        <v>85000</v>
      </c>
      <c r="I75" s="90" t="s">
        <v>2181</v>
      </c>
      <c r="J75" s="87">
        <v>5540</v>
      </c>
      <c r="K75" s="88" t="str">
        <f>VLOOKUP(Table2[[#This Row],[Konto]],Table5[[Konto]:[Konto nimetus]],2,FALSE)</f>
        <v>Mitmesugused majanduskulud</v>
      </c>
      <c r="L75" s="87">
        <v>55</v>
      </c>
      <c r="M75" s="87" t="str">
        <f t="shared" si="3"/>
        <v>55</v>
      </c>
      <c r="N75" s="88" t="str">
        <f>VLOOKUP(Table2[[#This Row],[Tulu/kulu liik2]],Table5[[Tulu/kulu liik]:[Kontode koondnimetus]],4,FALSE)</f>
        <v>Muud tegevuskulud</v>
      </c>
      <c r="O75" s="88" t="str">
        <f>VLOOKUP(Table2[[#This Row],[Tulu/kulu liik2]],Table5[],6,FALSE)</f>
        <v>Majandamiskulud</v>
      </c>
      <c r="P75" s="88" t="str">
        <f>VLOOKUP(Table2[[#This Row],[Tulu/kulu liik2]],Table5[],5,FALSE)</f>
        <v>Põhitegevuse kulu</v>
      </c>
    </row>
    <row r="76" spans="1:16" x14ac:dyDescent="0.25">
      <c r="A76" s="8" t="str">
        <f t="shared" si="2"/>
        <v>01</v>
      </c>
      <c r="B76" s="8" t="s">
        <v>17</v>
      </c>
      <c r="C76" s="32" t="str">
        <f>VLOOKUP(Table2[[#This Row],[Tegevusala]],Table4[],2,FALSE)</f>
        <v xml:space="preserve"> Kohaliku omavalitsuse üksuse reservfond</v>
      </c>
      <c r="D76" s="32" t="str">
        <f>VLOOKUP(Table2[[#This Row],[Tegevusala]],Table4[[Tegevusala kood]:[Tegevusala alanimetus]],4,FALSE)</f>
        <v>Kohaliku omavalitsuse üksuse reservfond</v>
      </c>
      <c r="E76" s="32" t="str">
        <f>VLOOKUP(Table2[[#This Row],[Tegevusala nimetus2]],Table4[[Tegevusala nimetus]:[Tegevusala koondnimetus]],2,FALSE)</f>
        <v>Üldised valitsussektori teenused</v>
      </c>
      <c r="F76" s="8" t="s">
        <v>624</v>
      </c>
      <c r="G76" s="8" t="s">
        <v>561</v>
      </c>
      <c r="H76" s="43">
        <f>EA_aruanne!E18*0.005</f>
        <v>57769.017578999999</v>
      </c>
      <c r="I76" s="9" t="s">
        <v>839</v>
      </c>
      <c r="J76" s="8">
        <v>608</v>
      </c>
      <c r="K76" s="32" t="str">
        <f>VLOOKUP(Table2[[#This Row],[Konto]],Table5[[Konto]:[Konto nimetus]],2,FALSE)</f>
        <v>Muud tegevuskulud</v>
      </c>
      <c r="L76" s="8">
        <v>60</v>
      </c>
      <c r="M76" s="8" t="str">
        <f t="shared" si="3"/>
        <v>60</v>
      </c>
      <c r="N76" s="32" t="str">
        <f>VLOOKUP(Table2[[#This Row],[Tulu/kulu liik2]],Table5[[Tulu/kulu liik]:[Kontode koondnimetus]],4,FALSE)</f>
        <v>Muud tegevuskulud</v>
      </c>
      <c r="O76" s="32" t="str">
        <f>VLOOKUP(Table2[[#This Row],[Tulu/kulu liik2]],Table5[],6,FALSE)</f>
        <v>Muud kulud</v>
      </c>
      <c r="P76" s="32" t="str">
        <f>VLOOKUP(Table2[[#This Row],[Tulu/kulu liik2]],Table5[],5,FALSE)</f>
        <v>Põhitegevuse kulu</v>
      </c>
    </row>
    <row r="77" spans="1:16" hidden="1" x14ac:dyDescent="0.25">
      <c r="A77" t="str">
        <f t="shared" si="2"/>
        <v>01</v>
      </c>
      <c r="B77" t="s">
        <v>17</v>
      </c>
      <c r="C77" s="3" t="str">
        <f>VLOOKUP(Table2[[#This Row],[Tegevusala]],Table4[],2,FALSE)</f>
        <v xml:space="preserve"> Kohaliku omavalitsuse üksuse reservfond</v>
      </c>
      <c r="D77" s="3" t="str">
        <f>VLOOKUP(Table2[[#This Row],[Tegevusala]],Table4[[Tegevusala kood]:[Tegevusala alanimetus]],4,FALSE)</f>
        <v>Kohaliku omavalitsuse üksuse reservfond</v>
      </c>
      <c r="E77" s="3" t="str">
        <f>VLOOKUP(Table2[[#This Row],[Tegevusala nimetus2]],Table4[[Tegevusala nimetus]:[Tegevusala koondnimetus]],2,FALSE)</f>
        <v>Üldised valitsussektori teenused</v>
      </c>
      <c r="F77" t="s">
        <v>818</v>
      </c>
      <c r="G77" t="s">
        <v>1947</v>
      </c>
      <c r="H77" s="40">
        <v>25000</v>
      </c>
      <c r="J77">
        <v>1551</v>
      </c>
      <c r="K77" s="3" t="str">
        <f>VLOOKUP(Table2[[#This Row],[Konto]],Table5[[Konto]:[Konto nimetus]],2,FALSE)</f>
        <v>Rajatiste ja hoonete soetamine ja renoveerimine</v>
      </c>
      <c r="L77">
        <v>15</v>
      </c>
      <c r="M77" t="str">
        <f t="shared" si="3"/>
        <v>15</v>
      </c>
      <c r="N77" s="3" t="str">
        <f>VLOOKUP(Table2[[#This Row],[Tulu/kulu liik2]],Table5[[Tulu/kulu liik]:[Kontode koondnimetus]],4,FALSE)</f>
        <v>Põhivara soetus (-)</v>
      </c>
      <c r="O77" s="3" t="str">
        <f>VLOOKUP(Table2[[#This Row],[Tulu/kulu liik2]],Table5[],6,FALSE)</f>
        <v>Põhivara soetus (-)</v>
      </c>
      <c r="P77" s="3" t="str">
        <f>VLOOKUP(Table2[[#This Row],[Tulu/kulu liik2]],Table5[],5,FALSE)</f>
        <v>Investeerimistegevus</v>
      </c>
    </row>
    <row r="78" spans="1:16" hidden="1" x14ac:dyDescent="0.25">
      <c r="A78" t="str">
        <f t="shared" si="2"/>
        <v>01</v>
      </c>
      <c r="B78" t="s">
        <v>21</v>
      </c>
      <c r="C78" s="3" t="str">
        <f>VLOOKUP(Table2[[#This Row],[Tegevusala]],Table4[],2,FALSE)</f>
        <v xml:space="preserve"> Valitsussektori võla teenindamine</v>
      </c>
      <c r="D78" s="3" t="str">
        <f>VLOOKUP(Table2[[#This Row],[Tegevusala]],Table4[[Tegevusala kood]:[Tegevusala alanimetus]],4,FALSE)</f>
        <v>Valitsussektori võla teenindamine</v>
      </c>
      <c r="E78" s="3" t="str">
        <f>VLOOKUP(Table2[[#This Row],[Tegevusala nimetus2]],Table4[[Tegevusala nimetus]:[Tegevusala koondnimetus]],2,FALSE)</f>
        <v>Üldised valitsussektori teenused</v>
      </c>
      <c r="F78" t="s">
        <v>624</v>
      </c>
      <c r="G78" t="s">
        <v>645</v>
      </c>
      <c r="H78" s="40">
        <v>516524.05</v>
      </c>
      <c r="J78">
        <v>208168</v>
      </c>
      <c r="K78" s="3" t="str">
        <f>VLOOKUP(Table2[[#This Row],[Konto]],Table5[[Konto]:[Konto nimetus]],2,FALSE)</f>
        <v>Laenude tasumine</v>
      </c>
      <c r="L78">
        <v>2586</v>
      </c>
      <c r="M78" t="str">
        <f t="shared" si="3"/>
        <v>20</v>
      </c>
      <c r="N78" s="3" t="str">
        <f>VLOOKUP(Table2[[#This Row],[Tulu/kulu liik2]],Table5[[Tulu/kulu liik]:[Kontode koondnimetus]],4,FALSE)</f>
        <v>Kohustuste tasumine (-)</v>
      </c>
      <c r="O78" s="3" t="str">
        <f>VLOOKUP(Table2[[#This Row],[Tulu/kulu liik2]],Table5[],6,FALSE)</f>
        <v>Kohustuste tasumine (-)</v>
      </c>
      <c r="P78" s="3" t="str">
        <f>VLOOKUP(Table2[[#This Row],[Tulu/kulu liik2]],Table5[],5,FALSE)</f>
        <v>Finantseerimistegevus</v>
      </c>
    </row>
    <row r="79" spans="1:16" hidden="1" x14ac:dyDescent="0.25">
      <c r="A79" t="str">
        <f t="shared" si="2"/>
        <v>01</v>
      </c>
      <c r="B79" t="s">
        <v>21</v>
      </c>
      <c r="C79" s="3" t="str">
        <f>VLOOKUP(Table2[[#This Row],[Tegevusala]],Table4[],2,FALSE)</f>
        <v xml:space="preserve"> Valitsussektori võla teenindamine</v>
      </c>
      <c r="D79" s="3" t="str">
        <f>VLOOKUP(Table2[[#This Row],[Tegevusala]],Table4[[Tegevusala kood]:[Tegevusala alanimetus]],4,FALSE)</f>
        <v>Valitsussektori võla teenindamine</v>
      </c>
      <c r="E79" s="3" t="str">
        <f>VLOOKUP(Table2[[#This Row],[Tegevusala nimetus2]],Table4[[Tegevusala nimetus]:[Tegevusala koondnimetus]],2,FALSE)</f>
        <v>Üldised valitsussektori teenused</v>
      </c>
      <c r="F79" t="s">
        <v>624</v>
      </c>
      <c r="G79" t="s">
        <v>646</v>
      </c>
      <c r="H79" s="40">
        <v>27847.13</v>
      </c>
      <c r="J79">
        <v>6501</v>
      </c>
      <c r="K79" s="3" t="str">
        <f>VLOOKUP(Table2[[#This Row],[Konto]],Table5[[Konto]:[Konto nimetus]],2,FALSE)</f>
        <v>Intressi-, viivise- ja kohustistasukulud võetud laenudelt</v>
      </c>
      <c r="L79">
        <v>650</v>
      </c>
      <c r="M79" t="str">
        <f t="shared" si="3"/>
        <v>65</v>
      </c>
      <c r="N79" s="3" t="str">
        <f>VLOOKUP(Table2[[#This Row],[Tulu/kulu liik2]],Table5[[Tulu/kulu liik]:[Kontode koondnimetus]],4,FALSE)</f>
        <v>Finantskulud (-)</v>
      </c>
      <c r="O79" s="3" t="str">
        <f>VLOOKUP(Table2[[#This Row],[Tulu/kulu liik2]],Table5[],6,FALSE)</f>
        <v>Finantskulud (-)</v>
      </c>
      <c r="P79" s="3" t="str">
        <f>VLOOKUP(Table2[[#This Row],[Tulu/kulu liik2]],Table5[],5,FALSE)</f>
        <v>Investeerimistegevus</v>
      </c>
    </row>
    <row r="80" spans="1:16" hidden="1" x14ac:dyDescent="0.25">
      <c r="A80" t="str">
        <f t="shared" si="2"/>
        <v>01</v>
      </c>
      <c r="B80" t="s">
        <v>21</v>
      </c>
      <c r="C80" s="3" t="str">
        <f>VLOOKUP(Table2[[#This Row],[Tegevusala]],Table4[],2,FALSE)</f>
        <v xml:space="preserve"> Valitsussektori võla teenindamine</v>
      </c>
      <c r="D80" s="3" t="str">
        <f>VLOOKUP(Table2[[#This Row],[Tegevusala]],Table4[[Tegevusala kood]:[Tegevusala alanimetus]],4,FALSE)</f>
        <v>Valitsussektori võla teenindamine</v>
      </c>
      <c r="E80" s="3" t="str">
        <f>VLOOKUP(Table2[[#This Row],[Tegevusala nimetus2]],Table4[[Tegevusala nimetus]:[Tegevusala koondnimetus]],2,FALSE)</f>
        <v>Üldised valitsussektori teenused</v>
      </c>
      <c r="F80" t="s">
        <v>491</v>
      </c>
      <c r="G80" t="s">
        <v>2010</v>
      </c>
      <c r="H80" s="40">
        <v>-130</v>
      </c>
      <c r="J80">
        <v>655</v>
      </c>
      <c r="K80" s="3" t="str">
        <f>VLOOKUP(Table2[[#This Row],[Konto]],Table5[[Konto]:[Konto nimetus]],2,FALSE)</f>
        <v>Intressitulud</v>
      </c>
      <c r="L80">
        <v>655</v>
      </c>
      <c r="M80" t="str">
        <f t="shared" si="3"/>
        <v>65</v>
      </c>
      <c r="N80" s="3" t="str">
        <f>VLOOKUP(Table2[[#This Row],[Tulu/kulu liik2]],Table5[[Tulu/kulu liik]:[Kontode koondnimetus]],4,FALSE)</f>
        <v>Finantstulud (+)</v>
      </c>
      <c r="O80" s="34" t="str">
        <f>VLOOKUP(Table2[[#This Row],[Tulu/kulu liik2]],Table5[],6,FALSE)</f>
        <v>Finantstulud (+)</v>
      </c>
      <c r="P80" s="3" t="str">
        <f>VLOOKUP(Table2[[#This Row],[Tulu/kulu liik2]],Table5[],5,FALSE)</f>
        <v>Investeerimistegevus</v>
      </c>
    </row>
    <row r="81" spans="1:16" hidden="1" x14ac:dyDescent="0.25">
      <c r="A81" t="str">
        <f t="shared" si="2"/>
        <v>01</v>
      </c>
      <c r="B81" t="s">
        <v>21</v>
      </c>
      <c r="C81" s="3" t="str">
        <f>VLOOKUP(Table2[[#This Row],[Tegevusala]],Table4[],2,FALSE)</f>
        <v xml:space="preserve"> Valitsussektori võla teenindamine</v>
      </c>
      <c r="D81" s="3" t="str">
        <f>VLOOKUP(Table2[[#This Row],[Tegevusala]],Table4[[Tegevusala kood]:[Tegevusala alanimetus]],4,FALSE)</f>
        <v>Valitsussektori võla teenindamine</v>
      </c>
      <c r="E81" s="3" t="str">
        <f>VLOOKUP(Table2[[#This Row],[Tegevusala nimetus2]],Table4[[Tegevusala nimetus]:[Tegevusala koondnimetus]],2,FALSE)</f>
        <v>Üldised valitsussektori teenused</v>
      </c>
      <c r="F81" t="s">
        <v>624</v>
      </c>
      <c r="G81" t="s">
        <v>2025</v>
      </c>
      <c r="H81" s="40">
        <v>-2100000</v>
      </c>
      <c r="J81">
        <v>25852</v>
      </c>
      <c r="K81" s="3" t="str">
        <f>VLOOKUP(Table2[[#This Row],[Konto]],Table5[[Konto]:[Konto nimetus]],2,FALSE)</f>
        <v>Laenude võtmine muudelt residentidelt</v>
      </c>
      <c r="L81">
        <v>2585</v>
      </c>
      <c r="M81" t="str">
        <f t="shared" si="3"/>
        <v>25</v>
      </c>
      <c r="N81" s="3" t="str">
        <f>VLOOKUP(Table2[[#This Row],[Tulu/kulu liik2]],Table5[[Tulu/kulu liik]:[Kontode koondnimetus]],4,FALSE)</f>
        <v>Kohustuste võtmine (+)</v>
      </c>
      <c r="O81" s="34" t="str">
        <f>VLOOKUP(Table2[[#This Row],[Tulu/kulu liik2]],Table5[],6,FALSE)</f>
        <v>Kohustuste võtmine (+)</v>
      </c>
      <c r="P81" s="3" t="str">
        <f>VLOOKUP(Table2[[#This Row],[Tulu/kulu liik2]],Table5[],5,FALSE)</f>
        <v>Finantseerimistegevus</v>
      </c>
    </row>
    <row r="82" spans="1:16" hidden="1" x14ac:dyDescent="0.25">
      <c r="A82" t="str">
        <f t="shared" si="2"/>
        <v>01</v>
      </c>
      <c r="B82" t="s">
        <v>21</v>
      </c>
      <c r="C82" s="3" t="str">
        <f>VLOOKUP(Table2[[#This Row],[Tegevusala]],Table4[],2,FALSE)</f>
        <v xml:space="preserve"> Valitsussektori võla teenindamine</v>
      </c>
      <c r="D82" s="3" t="str">
        <f>VLOOKUP(Table2[[#This Row],[Tegevusala]],Table4[[Tegevusala kood]:[Tegevusala alanimetus]],4,FALSE)</f>
        <v>Valitsussektori võla teenindamine</v>
      </c>
      <c r="E82" s="3" t="str">
        <f>VLOOKUP(Table2[[#This Row],[Tegevusala nimetus2]],Table4[[Tegevusala nimetus]:[Tegevusala koondnimetus]],2,FALSE)</f>
        <v>Üldised valitsussektori teenused</v>
      </c>
      <c r="F82" t="s">
        <v>624</v>
      </c>
      <c r="G82" t="s">
        <v>2066</v>
      </c>
      <c r="H82" s="40">
        <f>115000+55200</f>
        <v>170200</v>
      </c>
      <c r="J82">
        <v>208168</v>
      </c>
      <c r="K82" s="3" t="str">
        <f>VLOOKUP(Table2[[#This Row],[Konto]],Table5[[Konto]:[Konto nimetus]],2,FALSE)</f>
        <v>Laenude tasumine</v>
      </c>
      <c r="L82">
        <v>2586</v>
      </c>
      <c r="M82" t="str">
        <f t="shared" si="3"/>
        <v>20</v>
      </c>
      <c r="N82" s="3" t="str">
        <f>VLOOKUP(Table2[[#This Row],[Tulu/kulu liik2]],Table5[[Tulu/kulu liik]:[Kontode koondnimetus]],4,FALSE)</f>
        <v>Kohustuste tasumine (-)</v>
      </c>
      <c r="O82" s="34" t="str">
        <f>VLOOKUP(Table2[[#This Row],[Tulu/kulu liik2]],Table5[],6,FALSE)</f>
        <v>Kohustuste tasumine (-)</v>
      </c>
      <c r="P82" s="3" t="str">
        <f>VLOOKUP(Table2[[#This Row],[Tulu/kulu liik2]],Table5[],5,FALSE)</f>
        <v>Finantseerimistegevus</v>
      </c>
    </row>
    <row r="83" spans="1:16" x14ac:dyDescent="0.25">
      <c r="A83" t="str">
        <f t="shared" si="2"/>
        <v>01</v>
      </c>
      <c r="B83" t="s">
        <v>23</v>
      </c>
      <c r="C83" s="3" t="str">
        <f>VLOOKUP(Table2[[#This Row],[Tegevusala]],Table4[],2,FALSE)</f>
        <v xml:space="preserve"> Üldiseloomuga ülekanded valitsussektoris</v>
      </c>
      <c r="D83" s="3" t="str">
        <f>VLOOKUP(Table2[[#This Row],[Tegevusala]],Table4[[Tegevusala kood]:[Tegevusala alanimetus]],4,FALSE)</f>
        <v>Üldiseloomuga ülekanded valitsussektoris</v>
      </c>
      <c r="E83" s="3" t="str">
        <f>VLOOKUP(Table2[[#This Row],[Tegevusala nimetus2]],Table4[[Tegevusala nimetus]:[Tegevusala koondnimetus]],2,FALSE)</f>
        <v>Üldised valitsussektori teenused</v>
      </c>
      <c r="F83" t="s">
        <v>624</v>
      </c>
      <c r="G83" t="s">
        <v>604</v>
      </c>
      <c r="H83" s="40">
        <v>5828</v>
      </c>
      <c r="J83">
        <v>4528</v>
      </c>
      <c r="K83" s="3" t="str">
        <f>VLOOKUP(Table2[[#This Row],[Konto]],Table5[[Konto]:[Konto nimetus]],2,FALSE)</f>
        <v>Liikmemaksud</v>
      </c>
      <c r="L83">
        <v>452</v>
      </c>
      <c r="M83" t="str">
        <f t="shared" si="3"/>
        <v>45</v>
      </c>
      <c r="N83" t="str">
        <f>VLOOKUP(Table2[[#This Row],[Tulu/kulu liik2]],Table5[[Tulu/kulu liik]:[Kontode koondnimetus]],4,FALSE)</f>
        <v>Antavad toetused tegevuskuludeks</v>
      </c>
      <c r="O83" t="str">
        <f>VLOOKUP(Table2[[#This Row],[Tulu/kulu liik2]],Table5[],6,FALSE)</f>
        <v>Mittesihtotstarbelised toetused</v>
      </c>
      <c r="P83" s="3" t="str">
        <f>VLOOKUP(Table2[[#This Row],[Tulu/kulu liik2]],Table5[],5,FALSE)</f>
        <v>Põhitegevuse kulu</v>
      </c>
    </row>
    <row r="84" spans="1:16" x14ac:dyDescent="0.25">
      <c r="A84" t="str">
        <f t="shared" si="2"/>
        <v>01</v>
      </c>
      <c r="B84" t="s">
        <v>23</v>
      </c>
      <c r="C84" s="3" t="str">
        <f>VLOOKUP(Table2[[#This Row],[Tegevusala]],Table4[],2,FALSE)</f>
        <v xml:space="preserve"> Üldiseloomuga ülekanded valitsussektoris</v>
      </c>
      <c r="D84" s="3" t="str">
        <f>VLOOKUP(Table2[[#This Row],[Tegevusala]],Table4[[Tegevusala kood]:[Tegevusala alanimetus]],4,FALSE)</f>
        <v>Üldiseloomuga ülekanded valitsussektoris</v>
      </c>
      <c r="E84" s="3" t="str">
        <f>VLOOKUP(Table2[[#This Row],[Tegevusala nimetus2]],Table4[[Tegevusala nimetus]:[Tegevusala koondnimetus]],2,FALSE)</f>
        <v>Üldised valitsussektori teenused</v>
      </c>
      <c r="F84" t="s">
        <v>805</v>
      </c>
      <c r="G84" t="s">
        <v>2047</v>
      </c>
      <c r="H84" s="40">
        <v>4474</v>
      </c>
      <c r="J84">
        <v>4528</v>
      </c>
      <c r="K84" s="3" t="str">
        <f>VLOOKUP(Table2[[#This Row],[Konto]],Table5[[Konto]:[Konto nimetus]],2,FALSE)</f>
        <v>Liikmemaksud</v>
      </c>
      <c r="L84">
        <v>452</v>
      </c>
      <c r="M84" t="str">
        <f t="shared" si="3"/>
        <v>45</v>
      </c>
      <c r="N84" s="3" t="str">
        <f>VLOOKUP(Table2[[#This Row],[Tulu/kulu liik2]],Table5[[Tulu/kulu liik]:[Kontode koondnimetus]],4,FALSE)</f>
        <v>Antavad toetused tegevuskuludeks</v>
      </c>
      <c r="O84" s="34" t="str">
        <f>VLOOKUP(Table2[[#This Row],[Tulu/kulu liik2]],Table5[],6,FALSE)</f>
        <v>Mittesihtotstarbelised toetused</v>
      </c>
      <c r="P84" s="3" t="str">
        <f>VLOOKUP(Table2[[#This Row],[Tulu/kulu liik2]],Table5[],5,FALSE)</f>
        <v>Põhitegevuse kulu</v>
      </c>
    </row>
    <row r="85" spans="1:16" x14ac:dyDescent="0.25">
      <c r="A85" s="8" t="str">
        <f t="shared" si="2"/>
        <v>01</v>
      </c>
      <c r="B85" s="8" t="s">
        <v>23</v>
      </c>
      <c r="C85" s="32" t="str">
        <f>VLOOKUP(Table2[[#This Row],[Tegevusala]],Table4[],2,FALSE)</f>
        <v xml:space="preserve"> Üldiseloomuga ülekanded valitsussektoris</v>
      </c>
      <c r="D85" s="32" t="str">
        <f>VLOOKUP(Table2[[#This Row],[Tegevusala]],Table4[[Tegevusala kood]:[Tegevusala alanimetus]],4,FALSE)</f>
        <v>Üldiseloomuga ülekanded valitsussektoris</v>
      </c>
      <c r="E85" s="32" t="str">
        <f>VLOOKUP(Table2[[#This Row],[Tegevusala nimetus2]],Table4[[Tegevusala nimetus]:[Tegevusala koondnimetus]],2,FALSE)</f>
        <v>Üldised valitsussektori teenused</v>
      </c>
      <c r="F85" s="8" t="s">
        <v>624</v>
      </c>
      <c r="G85" s="8" t="s">
        <v>2068</v>
      </c>
      <c r="H85" s="43">
        <v>1500</v>
      </c>
      <c r="I85" s="9"/>
      <c r="J85" s="8">
        <v>4528</v>
      </c>
      <c r="K85" s="32" t="str">
        <f>VLOOKUP(Table2[[#This Row],[Konto]],Table5[[Konto]:[Konto nimetus]],2,FALSE)</f>
        <v>Liikmemaksud</v>
      </c>
      <c r="L85" s="8">
        <v>452</v>
      </c>
      <c r="M85" s="8" t="str">
        <f t="shared" si="3"/>
        <v>45</v>
      </c>
      <c r="N85" s="32" t="str">
        <f>VLOOKUP(Table2[[#This Row],[Tulu/kulu liik2]],Table5[[Tulu/kulu liik]:[Kontode koondnimetus]],4,FALSE)</f>
        <v>Antavad toetused tegevuskuludeks</v>
      </c>
      <c r="O85" s="32" t="str">
        <f>VLOOKUP(Table2[[#This Row],[Tulu/kulu liik2]],Table5[],6,FALSE)</f>
        <v>Mittesihtotstarbelised toetused</v>
      </c>
      <c r="P85" s="32" t="str">
        <f>VLOOKUP(Table2[[#This Row],[Tulu/kulu liik2]],Table5[],5,FALSE)</f>
        <v>Põhitegevuse kulu</v>
      </c>
    </row>
    <row r="86" spans="1:16" x14ac:dyDescent="0.25">
      <c r="A86" s="8" t="str">
        <f t="shared" si="2"/>
        <v>01</v>
      </c>
      <c r="B86" s="8" t="s">
        <v>23</v>
      </c>
      <c r="C86" s="32" t="str">
        <f>VLOOKUP(Table2[[#This Row],[Tegevusala]],Table4[],2,FALSE)</f>
        <v xml:space="preserve"> Üldiseloomuga ülekanded valitsussektoris</v>
      </c>
      <c r="D86" s="32" t="str">
        <f>VLOOKUP(Table2[[#This Row],[Tegevusala]],Table4[[Tegevusala kood]:[Tegevusala alanimetus]],4,FALSE)</f>
        <v>Üldiseloomuga ülekanded valitsussektoris</v>
      </c>
      <c r="E86" s="32" t="str">
        <f>VLOOKUP(Table2[[#This Row],[Tegevusala nimetus2]],Table4[[Tegevusala nimetus]:[Tegevusala koondnimetus]],2,FALSE)</f>
        <v>Üldised valitsussektori teenused</v>
      </c>
      <c r="F86" s="8" t="s">
        <v>624</v>
      </c>
      <c r="G86" s="8" t="s">
        <v>2069</v>
      </c>
      <c r="H86" s="43">
        <v>432</v>
      </c>
      <c r="I86" s="9" t="s">
        <v>2070</v>
      </c>
      <c r="J86" s="8">
        <v>4528</v>
      </c>
      <c r="K86" s="32" t="str">
        <f>VLOOKUP(Table2[[#This Row],[Konto]],Table5[[Konto]:[Konto nimetus]],2,FALSE)</f>
        <v>Liikmemaksud</v>
      </c>
      <c r="L86" s="8">
        <v>452</v>
      </c>
      <c r="M86" s="8" t="str">
        <f t="shared" si="3"/>
        <v>45</v>
      </c>
      <c r="N86" s="32" t="str">
        <f>VLOOKUP(Table2[[#This Row],[Tulu/kulu liik2]],Table5[[Tulu/kulu liik]:[Kontode koondnimetus]],4,FALSE)</f>
        <v>Antavad toetused tegevuskuludeks</v>
      </c>
      <c r="O86" s="32" t="str">
        <f>VLOOKUP(Table2[[#This Row],[Tulu/kulu liik2]],Table5[],6,FALSE)</f>
        <v>Mittesihtotstarbelised toetused</v>
      </c>
      <c r="P86" s="32" t="str">
        <f>VLOOKUP(Table2[[#This Row],[Tulu/kulu liik2]],Table5[],5,FALSE)</f>
        <v>Põhitegevuse kulu</v>
      </c>
    </row>
    <row r="87" spans="1:16" x14ac:dyDescent="0.25">
      <c r="A87" s="8" t="str">
        <f t="shared" si="2"/>
        <v>01</v>
      </c>
      <c r="B87" s="8" t="s">
        <v>23</v>
      </c>
      <c r="C87" s="32" t="str">
        <f>VLOOKUP(Table2[[#This Row],[Tegevusala]],Table4[],2,FALSE)</f>
        <v xml:space="preserve"> Üldiseloomuga ülekanded valitsussektoris</v>
      </c>
      <c r="D87" s="32" t="str">
        <f>VLOOKUP(Table2[[#This Row],[Tegevusala]],Table4[[Tegevusala kood]:[Tegevusala alanimetus]],4,FALSE)</f>
        <v>Üldiseloomuga ülekanded valitsussektoris</v>
      </c>
      <c r="E87" s="32" t="str">
        <f>VLOOKUP(Table2[[#This Row],[Tegevusala nimetus2]],Table4[[Tegevusala nimetus]:[Tegevusala koondnimetus]],2,FALSE)</f>
        <v>Üldised valitsussektori teenused</v>
      </c>
      <c r="F87" s="8" t="s">
        <v>624</v>
      </c>
      <c r="G87" s="8" t="s">
        <v>2071</v>
      </c>
      <c r="H87" s="43">
        <f>8264/4</f>
        <v>2066</v>
      </c>
      <c r="I87" s="9" t="s">
        <v>2072</v>
      </c>
      <c r="J87" s="8">
        <v>4528</v>
      </c>
      <c r="K87" s="32" t="str">
        <f>VLOOKUP(Table2[[#This Row],[Konto]],Table5[[Konto]:[Konto nimetus]],2,FALSE)</f>
        <v>Liikmemaksud</v>
      </c>
      <c r="L87" s="8">
        <v>452</v>
      </c>
      <c r="M87" s="8" t="str">
        <f t="shared" si="3"/>
        <v>45</v>
      </c>
      <c r="N87" s="32" t="str">
        <f>VLOOKUP(Table2[[#This Row],[Tulu/kulu liik2]],Table5[[Tulu/kulu liik]:[Kontode koondnimetus]],4,FALSE)</f>
        <v>Antavad toetused tegevuskuludeks</v>
      </c>
      <c r="O87" s="32" t="str">
        <f>VLOOKUP(Table2[[#This Row],[Tulu/kulu liik2]],Table5[],6,FALSE)</f>
        <v>Mittesihtotstarbelised toetused</v>
      </c>
      <c r="P87" s="32" t="str">
        <f>VLOOKUP(Table2[[#This Row],[Tulu/kulu liik2]],Table5[],5,FALSE)</f>
        <v>Põhitegevuse kulu</v>
      </c>
    </row>
    <row r="88" spans="1:16" x14ac:dyDescent="0.25">
      <c r="A88" t="str">
        <f t="shared" si="2"/>
        <v>01</v>
      </c>
      <c r="B88" s="33" t="s">
        <v>23</v>
      </c>
      <c r="C88" s="3" t="str">
        <f>VLOOKUP(Table2[[#This Row],[Tegevusala]],Table4[],2,FALSE)</f>
        <v xml:space="preserve"> Üldiseloomuga ülekanded valitsussektoris</v>
      </c>
      <c r="D88" s="3" t="str">
        <f>VLOOKUP(Table2[[#This Row],[Tegevusala]],Table4[[Tegevusala kood]:[Tegevusala alanimetus]],4,FALSE)</f>
        <v>Üldiseloomuga ülekanded valitsussektoris</v>
      </c>
      <c r="E88" s="3" t="str">
        <f>VLOOKUP(Table2[[#This Row],[Tegevusala nimetus2]],Table4[[Tegevusala nimetus]:[Tegevusala koondnimetus]],2,FALSE)</f>
        <v>Üldised valitsussektori teenused</v>
      </c>
      <c r="F88" t="s">
        <v>624</v>
      </c>
      <c r="G88" t="s">
        <v>2095</v>
      </c>
      <c r="H88" s="40">
        <v>14248</v>
      </c>
      <c r="J88">
        <v>4528</v>
      </c>
      <c r="K88" s="3" t="str">
        <f>VLOOKUP(Table2[[#This Row],[Konto]],Table5[[Konto]:[Konto nimetus]],2,FALSE)</f>
        <v>Liikmemaksud</v>
      </c>
      <c r="L88">
        <v>452</v>
      </c>
      <c r="M88" t="str">
        <f t="shared" si="3"/>
        <v>45</v>
      </c>
      <c r="N88" s="3" t="str">
        <f>VLOOKUP(Table2[[#This Row],[Tulu/kulu liik2]],Table5[[Tulu/kulu liik]:[Kontode koondnimetus]],4,FALSE)</f>
        <v>Antavad toetused tegevuskuludeks</v>
      </c>
      <c r="O88" s="34" t="str">
        <f>VLOOKUP(Table2[[#This Row],[Tulu/kulu liik2]],Table5[],6,FALSE)</f>
        <v>Mittesihtotstarbelised toetused</v>
      </c>
      <c r="P88" s="3" t="str">
        <f>VLOOKUP(Table2[[#This Row],[Tulu/kulu liik2]],Table5[],5,FALSE)</f>
        <v>Põhitegevuse kulu</v>
      </c>
    </row>
    <row r="89" spans="1:16" x14ac:dyDescent="0.25">
      <c r="A89" t="str">
        <f t="shared" si="2"/>
        <v>02</v>
      </c>
      <c r="B89" t="s">
        <v>25</v>
      </c>
      <c r="C89" s="3" t="str">
        <f>VLOOKUP(Table2[[#This Row],[Tegevusala]],Table4[],2,FALSE)</f>
        <v xml:space="preserve"> Muu riigikaitse</v>
      </c>
      <c r="D89" s="3" t="str">
        <f>VLOOKUP(Table2[[#This Row],[Tegevusala]],Table4[[Tegevusala kood]:[Tegevusala alanimetus]],4,FALSE)</f>
        <v>Muu riigikaitse</v>
      </c>
      <c r="E89" s="3" t="str">
        <f>VLOOKUP(Table2[[#This Row],[Tegevusala nimetus2]],Table4[[Tegevusala nimetus]:[Tegevusala koondnimetus]],2,FALSE)</f>
        <v>Riigikaitse</v>
      </c>
      <c r="F89" t="s">
        <v>624</v>
      </c>
      <c r="G89" t="s">
        <v>2117</v>
      </c>
      <c r="H89" s="40">
        <v>1000</v>
      </c>
      <c r="J89">
        <v>5525</v>
      </c>
      <c r="K89" s="3" t="str">
        <f>VLOOKUP(Table2[[#This Row],[Konto]],Table5[[Konto]:[Konto nimetus]],2,FALSE)</f>
        <v>Kommunikatsiooni-, kultuuri- ja vaba aja sisustamise kulud</v>
      </c>
      <c r="L89">
        <v>55</v>
      </c>
      <c r="M89" t="str">
        <f t="shared" si="3"/>
        <v>55</v>
      </c>
      <c r="N89" s="3" t="str">
        <f>VLOOKUP(Table2[[#This Row],[Tulu/kulu liik2]],Table5[[Tulu/kulu liik]:[Kontode koondnimetus]],4,FALSE)</f>
        <v>Muud tegevuskulud</v>
      </c>
      <c r="O89" s="34" t="str">
        <f>VLOOKUP(Table2[[#This Row],[Tulu/kulu liik2]],Table5[],6,FALSE)</f>
        <v>Majandamiskulud</v>
      </c>
      <c r="P89" s="3" t="str">
        <f>VLOOKUP(Table2[[#This Row],[Tulu/kulu liik2]],Table5[],5,FALSE)</f>
        <v>Põhitegevuse kulu</v>
      </c>
    </row>
    <row r="90" spans="1:16" x14ac:dyDescent="0.25">
      <c r="A90" t="str">
        <f t="shared" si="2"/>
        <v>03</v>
      </c>
      <c r="B90" t="s">
        <v>27</v>
      </c>
      <c r="C90" s="3" t="str">
        <f>VLOOKUP(Table2[[#This Row],[Tegevusala]],Table4[],2,FALSE)</f>
        <v xml:space="preserve"> Päästeteenused</v>
      </c>
      <c r="D90" s="3" t="str">
        <f>VLOOKUP(Table2[[#This Row],[Tegevusala]],Table4[[Tegevusala kood]:[Tegevusala alanimetus]],4,FALSE)</f>
        <v>Päästeteenused</v>
      </c>
      <c r="E90" s="3" t="str">
        <f>VLOOKUP(Table2[[#This Row],[Tegevusala nimetus2]],Table4[[Tegevusala nimetus]:[Tegevusala koondnimetus]],2,FALSE)</f>
        <v>Avalik kord ja julgeolek</v>
      </c>
      <c r="F90" t="s">
        <v>818</v>
      </c>
      <c r="G90" t="s">
        <v>861</v>
      </c>
      <c r="H90" s="40">
        <v>15250</v>
      </c>
      <c r="J90">
        <v>45008</v>
      </c>
      <c r="K90" s="3" t="str">
        <f>VLOOKUP(Table2[[#This Row],[Konto]],Table5[[Konto]:[Konto nimetus]],2,FALSE)</f>
        <v>Sihtotstarbelised eraldised muudele residentidele</v>
      </c>
      <c r="L90">
        <v>4500</v>
      </c>
      <c r="M90" t="str">
        <f t="shared" si="3"/>
        <v>45</v>
      </c>
      <c r="N90" s="3" t="str">
        <f>VLOOKUP(Table2[[#This Row],[Tulu/kulu liik2]],Table5[[Tulu/kulu liik]:[Kontode koondnimetus]],4,FALSE)</f>
        <v>Antavad toetused tegevuskuludeks</v>
      </c>
      <c r="O90" s="3" t="str">
        <f>VLOOKUP(Table2[[#This Row],[Tulu/kulu liik2]],Table5[],6,FALSE)</f>
        <v>Sihtotstarbelised toetused tegevuskuludeks</v>
      </c>
      <c r="P90" s="3" t="str">
        <f>VLOOKUP(Table2[[#This Row],[Tulu/kulu liik2]],Table5[],5,FALSE)</f>
        <v>Põhitegevuse kulu</v>
      </c>
    </row>
    <row r="91" spans="1:16" x14ac:dyDescent="0.25">
      <c r="A91" t="str">
        <f t="shared" si="2"/>
        <v>03</v>
      </c>
      <c r="B91" s="73" t="s">
        <v>27</v>
      </c>
      <c r="C91" s="3" t="str">
        <f>VLOOKUP(Table2[[#This Row],[Tegevusala]],Table4[],2,FALSE)</f>
        <v xml:space="preserve"> Päästeteenused</v>
      </c>
      <c r="D91" s="3" t="str">
        <f>VLOOKUP(Table2[[#This Row],[Tegevusala]],Table4[[Tegevusala kood]:[Tegevusala alanimetus]],4,FALSE)</f>
        <v>Päästeteenused</v>
      </c>
      <c r="E91" s="3" t="str">
        <f>VLOOKUP(Table2[[#This Row],[Tegevusala nimetus2]],Table4[[Tegevusala nimetus]:[Tegevusala koondnimetus]],2,FALSE)</f>
        <v>Avalik kord ja julgeolek</v>
      </c>
      <c r="F91" t="s">
        <v>770</v>
      </c>
      <c r="G91" t="s">
        <v>943</v>
      </c>
      <c r="H91" s="40">
        <f>12*75</f>
        <v>900</v>
      </c>
      <c r="J91">
        <v>5511</v>
      </c>
      <c r="K91" s="3" t="str">
        <f>VLOOKUP(Table2[[#This Row],[Konto]],Table5[[Konto]:[Konto nimetus]],2,FALSE)</f>
        <v>Kinnistute, hoonete ja ruumide majandamiskulud</v>
      </c>
      <c r="L91">
        <v>55</v>
      </c>
      <c r="M91" t="str">
        <f t="shared" si="3"/>
        <v>55</v>
      </c>
      <c r="N91" s="3" t="str">
        <f>VLOOKUP(Table2[[#This Row],[Tulu/kulu liik2]],Table5[[Tulu/kulu liik]:[Kontode koondnimetus]],4,FALSE)</f>
        <v>Muud tegevuskulud</v>
      </c>
      <c r="O91" s="34" t="str">
        <f>VLOOKUP(Table2[[#This Row],[Tulu/kulu liik2]],Table5[],6,FALSE)</f>
        <v>Majandamiskulud</v>
      </c>
      <c r="P91" s="3" t="str">
        <f>VLOOKUP(Table2[[#This Row],[Tulu/kulu liik2]],Table5[],5,FALSE)</f>
        <v>Põhitegevuse kulu</v>
      </c>
    </row>
    <row r="92" spans="1:16" s="33" customFormat="1" x14ac:dyDescent="0.25">
      <c r="A92" t="str">
        <f t="shared" si="2"/>
        <v>03</v>
      </c>
      <c r="B92" s="73" t="s">
        <v>27</v>
      </c>
      <c r="C92" s="3" t="str">
        <f>VLOOKUP(Table2[[#This Row],[Tegevusala]],Table4[],2,FALSE)</f>
        <v xml:space="preserve"> Päästeteenused</v>
      </c>
      <c r="D92" s="3" t="str">
        <f>VLOOKUP(Table2[[#This Row],[Tegevusala]],Table4[[Tegevusala kood]:[Tegevusala alanimetus]],4,FALSE)</f>
        <v>Päästeteenused</v>
      </c>
      <c r="E92" s="3" t="str">
        <f>VLOOKUP(Table2[[#This Row],[Tegevusala nimetus2]],Table4[[Tegevusala nimetus]:[Tegevusala koondnimetus]],2,FALSE)</f>
        <v>Avalik kord ja julgeolek</v>
      </c>
      <c r="F92" t="s">
        <v>770</v>
      </c>
      <c r="G92" t="s">
        <v>2144</v>
      </c>
      <c r="H92" s="40">
        <v>700</v>
      </c>
      <c r="I92" s="2"/>
      <c r="J92">
        <v>5513</v>
      </c>
      <c r="K92" s="3" t="str">
        <f>VLOOKUP(Table2[[#This Row],[Konto]],Table5[[Konto]:[Konto nimetus]],2,FALSE)</f>
        <v>Sõidukite ülalpidamise kulud</v>
      </c>
      <c r="L92">
        <v>55</v>
      </c>
      <c r="M92" t="str">
        <f t="shared" si="3"/>
        <v>55</v>
      </c>
      <c r="N92" s="3" t="str">
        <f>VLOOKUP(Table2[[#This Row],[Tulu/kulu liik2]],Table5[[Tulu/kulu liik]:[Kontode koondnimetus]],4,FALSE)</f>
        <v>Muud tegevuskulud</v>
      </c>
      <c r="O92" s="34" t="str">
        <f>VLOOKUP(Table2[[#This Row],[Tulu/kulu liik2]],Table5[],6,FALSE)</f>
        <v>Majandamiskulud</v>
      </c>
      <c r="P92" s="3" t="str">
        <f>VLOOKUP(Table2[[#This Row],[Tulu/kulu liik2]],Table5[],5,FALSE)</f>
        <v>Põhitegevuse kulu</v>
      </c>
    </row>
    <row r="93" spans="1:16" x14ac:dyDescent="0.25">
      <c r="A93" s="8" t="str">
        <f t="shared" si="2"/>
        <v>04</v>
      </c>
      <c r="B93" s="8" t="s">
        <v>31</v>
      </c>
      <c r="C93" s="32" t="str">
        <f>VLOOKUP(Table2[[#This Row],[Tegevusala]],Table4[],2,FALSE)</f>
        <v>Maanteetransport</v>
      </c>
      <c r="D93" s="32" t="str">
        <f>VLOOKUP(Table2[[#This Row],[Tegevusala]],Table4[[Tegevusala kood]:[Tegevusala alanimetus]],4,FALSE)</f>
        <v>Maanteetransport</v>
      </c>
      <c r="E93" s="32" t="str">
        <f>VLOOKUP(Table2[[#This Row],[Tegevusala nimetus2]],Table4[[Tegevusala nimetus]:[Tegevusala koondnimetus]],2,FALSE)</f>
        <v>Majandus</v>
      </c>
      <c r="F93" s="8" t="s">
        <v>805</v>
      </c>
      <c r="G93" s="8" t="s">
        <v>804</v>
      </c>
      <c r="H93" s="43">
        <v>486305</v>
      </c>
      <c r="I93" s="9" t="s">
        <v>82</v>
      </c>
      <c r="J93" s="8">
        <v>5512</v>
      </c>
      <c r="K93" s="32" t="str">
        <f>VLOOKUP(Table2[[#This Row],[Konto]],Table5[[Konto]:[Konto nimetus]],2,FALSE)</f>
        <v>Rajatiste majandamiskulud</v>
      </c>
      <c r="L93" s="8">
        <v>55</v>
      </c>
      <c r="M93" s="8" t="str">
        <f t="shared" si="3"/>
        <v>55</v>
      </c>
      <c r="N93" s="32" t="str">
        <f>VLOOKUP(Table2[[#This Row],[Tulu/kulu liik2]],Table5[[Tulu/kulu liik]:[Kontode koondnimetus]],4,FALSE)</f>
        <v>Muud tegevuskulud</v>
      </c>
      <c r="O93" s="32" t="str">
        <f>VLOOKUP(Table2[[#This Row],[Tulu/kulu liik2]],Table5[],6,FALSE)</f>
        <v>Majandamiskulud</v>
      </c>
      <c r="P93" s="32" t="str">
        <f>VLOOKUP(Table2[[#This Row],[Tulu/kulu liik2]],Table5[],5,FALSE)</f>
        <v>Põhitegevuse kulu</v>
      </c>
    </row>
    <row r="94" spans="1:16" s="33" customFormat="1" hidden="1" x14ac:dyDescent="0.25">
      <c r="A94" s="8" t="str">
        <f t="shared" si="2"/>
        <v>04</v>
      </c>
      <c r="B94" s="8" t="s">
        <v>31</v>
      </c>
      <c r="C94" s="32" t="str">
        <f>VLOOKUP(Table2[[#This Row],[Tegevusala]],Table4[],2,FALSE)</f>
        <v>Maanteetransport</v>
      </c>
      <c r="D94" s="32" t="str">
        <f>VLOOKUP(Table2[[#This Row],[Tegevusala]],Table4[[Tegevusala kood]:[Tegevusala alanimetus]],4,FALSE)</f>
        <v>Maanteetransport</v>
      </c>
      <c r="E94" s="32" t="str">
        <f>VLOOKUP(Table2[[#This Row],[Tegevusala nimetus2]],Table4[[Tegevusala nimetus]:[Tegevusala koondnimetus]],2,FALSE)</f>
        <v>Majandus</v>
      </c>
      <c r="F94" s="8" t="s">
        <v>805</v>
      </c>
      <c r="G94" s="8" t="s">
        <v>82</v>
      </c>
      <c r="H94" s="43">
        <v>-486305</v>
      </c>
      <c r="I94" s="8" t="s">
        <v>804</v>
      </c>
      <c r="J94" s="8">
        <v>35201</v>
      </c>
      <c r="K94" s="32" t="str">
        <f>VLOOKUP(Table2[[#This Row],[Konto]],Table5[[Konto]:[Konto nimetus]],2,FALSE)</f>
        <v>Toetusfond</v>
      </c>
      <c r="L94" s="8">
        <v>35201</v>
      </c>
      <c r="M94" s="8" t="str">
        <f t="shared" si="3"/>
        <v>35</v>
      </c>
      <c r="N94" s="32" t="str">
        <f>VLOOKUP(Table2[[#This Row],[Tulu/kulu liik2]],Table5[[Tulu/kulu liik]:[Kontode koondnimetus]],4,FALSE)</f>
        <v>Saadavad toetused tegevuskuludeks</v>
      </c>
      <c r="O94" s="32" t="str">
        <f>VLOOKUP(Table2[[#This Row],[Tulu/kulu liik2]],Table5[],6,FALSE)</f>
        <v>Toetusfond</v>
      </c>
      <c r="P94" s="32" t="str">
        <f>VLOOKUP(Table2[[#This Row],[Tulu/kulu liik2]],Table5[],5,FALSE)</f>
        <v>Põhitegevuse tulu</v>
      </c>
    </row>
    <row r="95" spans="1:16" hidden="1" x14ac:dyDescent="0.25">
      <c r="A95" t="str">
        <f t="shared" si="2"/>
        <v>04</v>
      </c>
      <c r="B95" t="s">
        <v>31</v>
      </c>
      <c r="C95" s="3" t="str">
        <f>VLOOKUP(Table2[[#This Row],[Tegevusala]],Table4[],2,FALSE)</f>
        <v>Maanteetransport</v>
      </c>
      <c r="D95" s="3" t="str">
        <f>VLOOKUP(Table2[[#This Row],[Tegevusala]],Table4[[Tegevusala kood]:[Tegevusala alanimetus]],4,FALSE)</f>
        <v>Maanteetransport</v>
      </c>
      <c r="E95" s="3" t="str">
        <f>VLOOKUP(Table2[[#This Row],[Tegevusala nimetus2]],Table4[[Tegevusala nimetus]:[Tegevusala koondnimetus]],2,FALSE)</f>
        <v>Majandus</v>
      </c>
      <c r="F95" t="s">
        <v>805</v>
      </c>
      <c r="G95" t="s">
        <v>2044</v>
      </c>
      <c r="H95" s="40">
        <v>10000</v>
      </c>
      <c r="J95">
        <v>1551</v>
      </c>
      <c r="K95" s="3" t="str">
        <f>VLOOKUP(Table2[[#This Row],[Konto]],Table5[[Konto]:[Konto nimetus]],2,FALSE)</f>
        <v>Rajatiste ja hoonete soetamine ja renoveerimine</v>
      </c>
      <c r="L95">
        <v>15</v>
      </c>
      <c r="M95" t="str">
        <f t="shared" si="3"/>
        <v>15</v>
      </c>
      <c r="N95" s="3" t="str">
        <f>VLOOKUP(Table2[[#This Row],[Tulu/kulu liik2]],Table5[[Tulu/kulu liik]:[Kontode koondnimetus]],4,FALSE)</f>
        <v>Põhivara soetus (-)</v>
      </c>
      <c r="O95" s="34" t="str">
        <f>VLOOKUP(Table2[[#This Row],[Tulu/kulu liik2]],Table5[],6,FALSE)</f>
        <v>Põhivara soetus (-)</v>
      </c>
      <c r="P95" s="3" t="str">
        <f>VLOOKUP(Table2[[#This Row],[Tulu/kulu liik2]],Table5[],5,FALSE)</f>
        <v>Investeerimistegevus</v>
      </c>
    </row>
    <row r="96" spans="1:16" x14ac:dyDescent="0.25">
      <c r="A96" s="78" t="str">
        <f t="shared" si="2"/>
        <v>04</v>
      </c>
      <c r="B96" s="78" t="s">
        <v>31</v>
      </c>
      <c r="C96" s="80" t="str">
        <f>VLOOKUP(Table2[[#This Row],[Tegevusala]],Table4[],2,FALSE)</f>
        <v>Maanteetransport</v>
      </c>
      <c r="D96" s="80" t="str">
        <f>VLOOKUP(Table2[[#This Row],[Tegevusala]],Table4[[Tegevusala kood]:[Tegevusala alanimetus]],4,FALSE)</f>
        <v>Maanteetransport</v>
      </c>
      <c r="E96" s="80" t="str">
        <f>VLOOKUP(Table2[[#This Row],[Tegevusala nimetus2]],Table4[[Tegevusala nimetus]:[Tegevusala koondnimetus]],2,FALSE)</f>
        <v>Majandus</v>
      </c>
      <c r="F96" s="78" t="s">
        <v>805</v>
      </c>
      <c r="G96" s="78" t="s">
        <v>806</v>
      </c>
      <c r="H96" s="79">
        <v>0</v>
      </c>
      <c r="I96" s="81" t="s">
        <v>807</v>
      </c>
      <c r="J96" s="78">
        <v>5512</v>
      </c>
      <c r="K96" s="80" t="str">
        <f>VLOOKUP(Table2[[#This Row],[Konto]],Table5[[Konto]:[Konto nimetus]],2,FALSE)</f>
        <v>Rajatiste majandamiskulud</v>
      </c>
      <c r="L96" s="78">
        <v>55</v>
      </c>
      <c r="M96" s="78" t="str">
        <f t="shared" si="3"/>
        <v>55</v>
      </c>
      <c r="N96" s="80" t="str">
        <f>VLOOKUP(Table2[[#This Row],[Tulu/kulu liik2]],Table5[[Tulu/kulu liik]:[Kontode koondnimetus]],4,FALSE)</f>
        <v>Muud tegevuskulud</v>
      </c>
      <c r="O96" s="80" t="str">
        <f>VLOOKUP(Table2[[#This Row],[Tulu/kulu liik2]],Table5[],6,FALSE)</f>
        <v>Majandamiskulud</v>
      </c>
      <c r="P96" s="80" t="str">
        <f>VLOOKUP(Table2[[#This Row],[Tulu/kulu liik2]],Table5[],5,FALSE)</f>
        <v>Põhitegevuse kulu</v>
      </c>
    </row>
    <row r="97" spans="1:16" x14ac:dyDescent="0.25">
      <c r="A97" s="83" t="str">
        <f t="shared" si="2"/>
        <v>04</v>
      </c>
      <c r="B97" s="83" t="s">
        <v>32</v>
      </c>
      <c r="C97" s="84" t="str">
        <f>VLOOKUP(Table2[[#This Row],[Tegevusala]],Table4[],2,FALSE)</f>
        <v xml:space="preserve"> Side</v>
      </c>
      <c r="D97" s="84" t="str">
        <f>VLOOKUP(Table2[[#This Row],[Tegevusala]],Table4[[Tegevusala kood]:[Tegevusala alanimetus]],4,FALSE)</f>
        <v>Side</v>
      </c>
      <c r="E97" s="84" t="str">
        <f>VLOOKUP(Table2[[#This Row],[Tegevusala nimetus2]],Table4[[Tegevusala nimetus]:[Tegevusala koondnimetus]],2,FALSE)</f>
        <v>Majandus</v>
      </c>
      <c r="F97" s="83" t="s">
        <v>802</v>
      </c>
      <c r="G97" s="83" t="s">
        <v>1990</v>
      </c>
      <c r="H97" s="85">
        <v>835.19999999999993</v>
      </c>
      <c r="I97" s="86" t="s">
        <v>1991</v>
      </c>
      <c r="J97" s="83">
        <v>5514</v>
      </c>
      <c r="K97" s="84" t="str">
        <f>VLOOKUP(Table2[[#This Row],[Konto]],Table5[[Konto]:[Konto nimetus]],2,FALSE)</f>
        <v>Info- ja kommunikatsioonitehnoliigised kulud</v>
      </c>
      <c r="L97" s="83">
        <v>55</v>
      </c>
      <c r="M97" s="83" t="str">
        <f t="shared" si="3"/>
        <v>55</v>
      </c>
      <c r="N97" s="84" t="str">
        <f>VLOOKUP(Table2[[#This Row],[Tulu/kulu liik2]],Table5[[Tulu/kulu liik]:[Kontode koondnimetus]],4,FALSE)</f>
        <v>Muud tegevuskulud</v>
      </c>
      <c r="O97" s="84" t="str">
        <f>VLOOKUP(Table2[[#This Row],[Tulu/kulu liik2]],Table5[],6,FALSE)</f>
        <v>Majandamiskulud</v>
      </c>
      <c r="P97" s="84" t="str">
        <f>VLOOKUP(Table2[[#This Row],[Tulu/kulu liik2]],Table5[],5,FALSE)</f>
        <v>Põhitegevuse kulu</v>
      </c>
    </row>
    <row r="98" spans="1:16" x14ac:dyDescent="0.25">
      <c r="A98" s="83" t="str">
        <f t="shared" si="2"/>
        <v>04</v>
      </c>
      <c r="B98" s="83" t="s">
        <v>32</v>
      </c>
      <c r="C98" s="84" t="str">
        <f>VLOOKUP(Table2[[#This Row],[Tegevusala]],Table4[],2,FALSE)</f>
        <v xml:space="preserve"> Side</v>
      </c>
      <c r="D98" s="84" t="str">
        <f>VLOOKUP(Table2[[#This Row],[Tegevusala]],Table4[[Tegevusala kood]:[Tegevusala alanimetus]],4,FALSE)</f>
        <v>Side</v>
      </c>
      <c r="E98" s="84" t="str">
        <f>VLOOKUP(Table2[[#This Row],[Tegevusala nimetus2]],Table4[[Tegevusala nimetus]:[Tegevusala koondnimetus]],2,FALSE)</f>
        <v>Majandus</v>
      </c>
      <c r="F98" s="83" t="s">
        <v>802</v>
      </c>
      <c r="G98" s="83" t="s">
        <v>1992</v>
      </c>
      <c r="H98" s="85">
        <v>1210.8000000000002</v>
      </c>
      <c r="I98" s="86" t="s">
        <v>1991</v>
      </c>
      <c r="J98" s="83">
        <v>5514</v>
      </c>
      <c r="K98" s="84" t="str">
        <f>VLOOKUP(Table2[[#This Row],[Konto]],Table5[[Konto]:[Konto nimetus]],2,FALSE)</f>
        <v>Info- ja kommunikatsioonitehnoliigised kulud</v>
      </c>
      <c r="L98" s="83">
        <v>55</v>
      </c>
      <c r="M98" s="83" t="str">
        <f t="shared" si="3"/>
        <v>55</v>
      </c>
      <c r="N98" s="84" t="str">
        <f>VLOOKUP(Table2[[#This Row],[Tulu/kulu liik2]],Table5[[Tulu/kulu liik]:[Kontode koondnimetus]],4,FALSE)</f>
        <v>Muud tegevuskulud</v>
      </c>
      <c r="O98" s="84" t="str">
        <f>VLOOKUP(Table2[[#This Row],[Tulu/kulu liik2]],Table5[],6,FALSE)</f>
        <v>Majandamiskulud</v>
      </c>
      <c r="P98" s="84" t="str">
        <f>VLOOKUP(Table2[[#This Row],[Tulu/kulu liik2]],Table5[],5,FALSE)</f>
        <v>Põhitegevuse kulu</v>
      </c>
    </row>
    <row r="99" spans="1:16" x14ac:dyDescent="0.25">
      <c r="A99" s="83" t="str">
        <f t="shared" si="2"/>
        <v>04</v>
      </c>
      <c r="B99" s="83" t="s">
        <v>32</v>
      </c>
      <c r="C99" s="84" t="str">
        <f>VLOOKUP(Table2[[#This Row],[Tegevusala]],Table4[],2,FALSE)</f>
        <v xml:space="preserve"> Side</v>
      </c>
      <c r="D99" s="84" t="str">
        <f>VLOOKUP(Table2[[#This Row],[Tegevusala]],Table4[[Tegevusala kood]:[Tegevusala alanimetus]],4,FALSE)</f>
        <v>Side</v>
      </c>
      <c r="E99" s="84" t="str">
        <f>VLOOKUP(Table2[[#This Row],[Tegevusala nimetus2]],Table4[[Tegevusala nimetus]:[Tegevusala koondnimetus]],2,FALSE)</f>
        <v>Majandus</v>
      </c>
      <c r="F99" s="83" t="s">
        <v>802</v>
      </c>
      <c r="G99" s="83" t="s">
        <v>2012</v>
      </c>
      <c r="H99" s="85">
        <v>4800</v>
      </c>
      <c r="I99" s="86" t="s">
        <v>2013</v>
      </c>
      <c r="J99" s="83">
        <v>5514</v>
      </c>
      <c r="K99" s="84" t="str">
        <f>VLOOKUP(Table2[[#This Row],[Konto]],Table5[[Konto]:[Konto nimetus]],2,FALSE)</f>
        <v>Info- ja kommunikatsioonitehnoliigised kulud</v>
      </c>
      <c r="L99" s="83">
        <v>55</v>
      </c>
      <c r="M99" s="83" t="str">
        <f t="shared" si="3"/>
        <v>55</v>
      </c>
      <c r="N99" s="84" t="str">
        <f>VLOOKUP(Table2[[#This Row],[Tulu/kulu liik2]],Table5[[Tulu/kulu liik]:[Kontode koondnimetus]],4,FALSE)</f>
        <v>Muud tegevuskulud</v>
      </c>
      <c r="O99" s="84" t="str">
        <f>VLOOKUP(Table2[[#This Row],[Tulu/kulu liik2]],Table5[],6,FALSE)</f>
        <v>Majandamiskulud</v>
      </c>
      <c r="P99" s="84" t="str">
        <f>VLOOKUP(Table2[[#This Row],[Tulu/kulu liik2]],Table5[],5,FALSE)</f>
        <v>Põhitegevuse kulu</v>
      </c>
    </row>
    <row r="100" spans="1:16" x14ac:dyDescent="0.25">
      <c r="A100" t="str">
        <f t="shared" si="2"/>
        <v>04</v>
      </c>
      <c r="B100" t="s">
        <v>32</v>
      </c>
      <c r="C100" s="3" t="str">
        <f>VLOOKUP(Table2[[#This Row],[Tegevusala]],Table4[],2,FALSE)</f>
        <v xml:space="preserve"> Side</v>
      </c>
      <c r="D100" s="3" t="str">
        <f>VLOOKUP(Table2[[#This Row],[Tegevusala]],Table4[[Tegevusala kood]:[Tegevusala alanimetus]],4,FALSE)</f>
        <v>Side</v>
      </c>
      <c r="E100" s="3" t="str">
        <f>VLOOKUP(Table2[[#This Row],[Tegevusala nimetus2]],Table4[[Tegevusala nimetus]:[Tegevusala koondnimetus]],2,FALSE)</f>
        <v>Majandus</v>
      </c>
      <c r="F100" t="s">
        <v>802</v>
      </c>
      <c r="G100" t="s">
        <v>194</v>
      </c>
      <c r="H100" s="40">
        <v>100</v>
      </c>
      <c r="J100">
        <v>5511</v>
      </c>
      <c r="K100" s="3" t="str">
        <f>VLOOKUP(Table2[[#This Row],[Konto]],Table5[[Konto]:[Konto nimetus]],2,FALSE)</f>
        <v>Kinnistute, hoonete ja ruumide majandamiskulud</v>
      </c>
      <c r="L100">
        <v>55</v>
      </c>
      <c r="M100" t="str">
        <f t="shared" si="3"/>
        <v>55</v>
      </c>
      <c r="N100" s="3" t="str">
        <f>VLOOKUP(Table2[[#This Row],[Tulu/kulu liik2]],Table5[[Tulu/kulu liik]:[Kontode koondnimetus]],4,FALSE)</f>
        <v>Muud tegevuskulud</v>
      </c>
      <c r="O100" s="3" t="str">
        <f>VLOOKUP(Table2[[#This Row],[Tulu/kulu liik2]],Table5[],6,FALSE)</f>
        <v>Majandamiskulud</v>
      </c>
      <c r="P100" s="3" t="str">
        <f>VLOOKUP(Table2[[#This Row],[Tulu/kulu liik2]],Table5[],5,FALSE)</f>
        <v>Põhitegevuse kulu</v>
      </c>
    </row>
    <row r="101" spans="1:16" x14ac:dyDescent="0.25">
      <c r="A101" t="str">
        <f t="shared" si="2"/>
        <v>04</v>
      </c>
      <c r="B101" t="s">
        <v>32</v>
      </c>
      <c r="C101" s="3" t="str">
        <f>VLOOKUP(Table2[[#This Row],[Tegevusala]],Table4[],2,FALSE)</f>
        <v xml:space="preserve"> Side</v>
      </c>
      <c r="D101" s="3" t="str">
        <f>VLOOKUP(Table2[[#This Row],[Tegevusala]],Table4[[Tegevusala kood]:[Tegevusala alanimetus]],4,FALSE)</f>
        <v>Side</v>
      </c>
      <c r="E101" s="3" t="str">
        <f>VLOOKUP(Table2[[#This Row],[Tegevusala nimetus2]],Table4[[Tegevusala nimetus]:[Tegevusala koondnimetus]],2,FALSE)</f>
        <v>Majandus</v>
      </c>
      <c r="F101" t="s">
        <v>802</v>
      </c>
      <c r="G101" t="s">
        <v>794</v>
      </c>
      <c r="H101" s="40">
        <v>240</v>
      </c>
      <c r="J101">
        <v>5500</v>
      </c>
      <c r="K101" s="3" t="str">
        <f>VLOOKUP(Table2[[#This Row],[Konto]],Table5[[Konto]:[Konto nimetus]],2,FALSE)</f>
        <v>Administreerimiskulud</v>
      </c>
      <c r="L101">
        <v>55</v>
      </c>
      <c r="M101" t="str">
        <f t="shared" si="3"/>
        <v>55</v>
      </c>
      <c r="N101" s="3" t="str">
        <f>VLOOKUP(Table2[[#This Row],[Tulu/kulu liik2]],Table5[[Tulu/kulu liik]:[Kontode koondnimetus]],4,FALSE)</f>
        <v>Muud tegevuskulud</v>
      </c>
      <c r="O101" s="3" t="str">
        <f>VLOOKUP(Table2[[#This Row],[Tulu/kulu liik2]],Table5[],6,FALSE)</f>
        <v>Majandamiskulud</v>
      </c>
      <c r="P101" s="3" t="str">
        <f>VLOOKUP(Table2[[#This Row],[Tulu/kulu liik2]],Table5[],5,FALSE)</f>
        <v>Põhitegevuse kulu</v>
      </c>
    </row>
    <row r="102" spans="1:16" x14ac:dyDescent="0.25">
      <c r="A102" t="str">
        <f t="shared" si="2"/>
        <v>04</v>
      </c>
      <c r="B102" t="s">
        <v>32</v>
      </c>
      <c r="C102" s="3" t="str">
        <f>VLOOKUP(Table2[[#This Row],[Tegevusala]],Table4[],2,FALSE)</f>
        <v xml:space="preserve"> Side</v>
      </c>
      <c r="D102" s="3" t="str">
        <f>VLOOKUP(Table2[[#This Row],[Tegevusala]],Table4[[Tegevusala kood]:[Tegevusala alanimetus]],4,FALSE)</f>
        <v>Side</v>
      </c>
      <c r="E102" s="3" t="str">
        <f>VLOOKUP(Table2[[#This Row],[Tegevusala nimetus2]],Table4[[Tegevusala nimetus]:[Tegevusala koondnimetus]],2,FALSE)</f>
        <v>Majandus</v>
      </c>
      <c r="F102" t="s">
        <v>802</v>
      </c>
      <c r="G102" t="s">
        <v>409</v>
      </c>
      <c r="H102" s="40">
        <v>592.64</v>
      </c>
      <c r="J102">
        <v>5504</v>
      </c>
      <c r="K102" s="3" t="str">
        <f>VLOOKUP(Table2[[#This Row],[Konto]],Table5[[Konto]:[Konto nimetus]],2,FALSE)</f>
        <v>Koolituskulud</v>
      </c>
      <c r="L102">
        <v>55</v>
      </c>
      <c r="M102" t="str">
        <f t="shared" si="3"/>
        <v>55</v>
      </c>
      <c r="N102" s="3" t="str">
        <f>VLOOKUP(Table2[[#This Row],[Tulu/kulu liik2]],Table5[[Tulu/kulu liik]:[Kontode koondnimetus]],4,FALSE)</f>
        <v>Muud tegevuskulud</v>
      </c>
      <c r="O102" s="3" t="str">
        <f>VLOOKUP(Table2[[#This Row],[Tulu/kulu liik2]],Table5[],6,FALSE)</f>
        <v>Majandamiskulud</v>
      </c>
      <c r="P102" s="3" t="str">
        <f>VLOOKUP(Table2[[#This Row],[Tulu/kulu liik2]],Table5[],5,FALSE)</f>
        <v>Põhitegevuse kulu</v>
      </c>
    </row>
    <row r="103" spans="1:16" x14ac:dyDescent="0.25">
      <c r="A103" t="str">
        <f t="shared" si="2"/>
        <v>04</v>
      </c>
      <c r="B103" t="s">
        <v>32</v>
      </c>
      <c r="C103" s="3" t="str">
        <f>VLOOKUP(Table2[[#This Row],[Tegevusala]],Table4[],2,FALSE)</f>
        <v xml:space="preserve"> Side</v>
      </c>
      <c r="D103" s="3" t="str">
        <f>VLOOKUP(Table2[[#This Row],[Tegevusala]],Table4[[Tegevusala kood]:[Tegevusala alanimetus]],4,FALSE)</f>
        <v>Side</v>
      </c>
      <c r="E103" s="3" t="str">
        <f>VLOOKUP(Table2[[#This Row],[Tegevusala nimetus2]],Table4[[Tegevusala nimetus]:[Tegevusala koondnimetus]],2,FALSE)</f>
        <v>Majandus</v>
      </c>
      <c r="F103" t="s">
        <v>802</v>
      </c>
      <c r="G103" t="s">
        <v>442</v>
      </c>
      <c r="H103" s="40">
        <f>12*335</f>
        <v>4020</v>
      </c>
      <c r="J103">
        <v>5513</v>
      </c>
      <c r="K103" s="3" t="str">
        <f>VLOOKUP(Table2[[#This Row],[Konto]],Table5[[Konto]:[Konto nimetus]],2,FALSE)</f>
        <v>Sõidukite ülalpidamise kulud</v>
      </c>
      <c r="L103">
        <v>55</v>
      </c>
      <c r="M103" t="str">
        <f t="shared" si="3"/>
        <v>55</v>
      </c>
      <c r="N103" s="3" t="str">
        <f>VLOOKUP(Table2[[#This Row],[Tulu/kulu liik2]],Table5[[Tulu/kulu liik]:[Kontode koondnimetus]],4,FALSE)</f>
        <v>Muud tegevuskulud</v>
      </c>
      <c r="O103" s="3" t="str">
        <f>VLOOKUP(Table2[[#This Row],[Tulu/kulu liik2]],Table5[],6,FALSE)</f>
        <v>Majandamiskulud</v>
      </c>
      <c r="P103" s="3" t="str">
        <f>VLOOKUP(Table2[[#This Row],[Tulu/kulu liik2]],Table5[],5,FALSE)</f>
        <v>Põhitegevuse kulu</v>
      </c>
    </row>
    <row r="104" spans="1:16" x14ac:dyDescent="0.25">
      <c r="A104" t="str">
        <f t="shared" si="2"/>
        <v>04</v>
      </c>
      <c r="B104" t="s">
        <v>32</v>
      </c>
      <c r="C104" s="3" t="str">
        <f>VLOOKUP(Table2[[#This Row],[Tegevusala]],Table4[],2,FALSE)</f>
        <v xml:space="preserve"> Side</v>
      </c>
      <c r="D104" s="3" t="str">
        <f>VLOOKUP(Table2[[#This Row],[Tegevusala]],Table4[[Tegevusala kood]:[Tegevusala alanimetus]],4,FALSE)</f>
        <v>Side</v>
      </c>
      <c r="E104" s="3" t="str">
        <f>VLOOKUP(Table2[[#This Row],[Tegevusala nimetus2]],Table4[[Tegevusala nimetus]:[Tegevusala koondnimetus]],2,FALSE)</f>
        <v>Majandus</v>
      </c>
      <c r="F104" t="s">
        <v>802</v>
      </c>
      <c r="G104" t="s">
        <v>803</v>
      </c>
      <c r="H104" s="40">
        <v>5000</v>
      </c>
      <c r="J104">
        <v>5515</v>
      </c>
      <c r="K104" s="3" t="str">
        <f>VLOOKUP(Table2[[#This Row],[Konto]],Table5[[Konto]:[Konto nimetus]],2,FALSE)</f>
        <v>Inventari kulud, v.a infotehnoloogia ja kaitseotstarbelised kulud</v>
      </c>
      <c r="L104">
        <v>55</v>
      </c>
      <c r="M104" t="str">
        <f t="shared" si="3"/>
        <v>55</v>
      </c>
      <c r="N104" s="3" t="str">
        <f>VLOOKUP(Table2[[#This Row],[Tulu/kulu liik2]],Table5[[Tulu/kulu liik]:[Kontode koondnimetus]],4,FALSE)</f>
        <v>Muud tegevuskulud</v>
      </c>
      <c r="O104" s="3" t="str">
        <f>VLOOKUP(Table2[[#This Row],[Tulu/kulu liik2]],Table5[],6,FALSE)</f>
        <v>Majandamiskulud</v>
      </c>
      <c r="P104" s="3" t="str">
        <f>VLOOKUP(Table2[[#This Row],[Tulu/kulu liik2]],Table5[],5,FALSE)</f>
        <v>Põhitegevuse kulu</v>
      </c>
    </row>
    <row r="105" spans="1:16" x14ac:dyDescent="0.25">
      <c r="A105" t="str">
        <f t="shared" si="2"/>
        <v>04</v>
      </c>
      <c r="B105" s="33" t="s">
        <v>32</v>
      </c>
      <c r="C105" s="3" t="str">
        <f>VLOOKUP(Table2[[#This Row],[Tegevusala]],Table4[],2,FALSE)</f>
        <v xml:space="preserve"> Side</v>
      </c>
      <c r="D105" s="3" t="str">
        <f>VLOOKUP(Table2[[#This Row],[Tegevusala]],Table4[[Tegevusala kood]:[Tegevusala alanimetus]],4,FALSE)</f>
        <v>Side</v>
      </c>
      <c r="E105" s="3" t="str">
        <f>VLOOKUP(Table2[[#This Row],[Tegevusala nimetus2]],Table4[[Tegevusala nimetus]:[Tegevusala koondnimetus]],2,FALSE)</f>
        <v>Majandus</v>
      </c>
      <c r="F105" t="s">
        <v>802</v>
      </c>
      <c r="G105" t="s">
        <v>2014</v>
      </c>
      <c r="H105" s="40">
        <v>5950</v>
      </c>
      <c r="J105">
        <v>5514</v>
      </c>
      <c r="K105" s="3" t="str">
        <f>VLOOKUP(Table2[[#This Row],[Konto]],Table5[[Konto]:[Konto nimetus]],2,FALSE)</f>
        <v>Info- ja kommunikatsioonitehnoliigised kulud</v>
      </c>
      <c r="L105">
        <v>55</v>
      </c>
      <c r="M105" t="str">
        <f t="shared" si="3"/>
        <v>55</v>
      </c>
      <c r="N105" s="3" t="str">
        <f>VLOOKUP(Table2[[#This Row],[Tulu/kulu liik2]],Table5[[Tulu/kulu liik]:[Kontode koondnimetus]],4,FALSE)</f>
        <v>Muud tegevuskulud</v>
      </c>
      <c r="O105" s="34" t="str">
        <f>VLOOKUP(Table2[[#This Row],[Tulu/kulu liik2]],Table5[],6,FALSE)</f>
        <v>Majandamiskulud</v>
      </c>
      <c r="P105" s="3" t="str">
        <f>VLOOKUP(Table2[[#This Row],[Tulu/kulu liik2]],Table5[],5,FALSE)</f>
        <v>Põhitegevuse kulu</v>
      </c>
    </row>
    <row r="106" spans="1:16" x14ac:dyDescent="0.25">
      <c r="A106" t="str">
        <f t="shared" si="2"/>
        <v>04</v>
      </c>
      <c r="B106" s="33" t="s">
        <v>32</v>
      </c>
      <c r="C106" s="3" t="str">
        <f>VLOOKUP(Table2[[#This Row],[Tegevusala]],Table4[],2,FALSE)</f>
        <v xml:space="preserve"> Side</v>
      </c>
      <c r="D106" s="3" t="str">
        <f>VLOOKUP(Table2[[#This Row],[Tegevusala]],Table4[[Tegevusala kood]:[Tegevusala alanimetus]],4,FALSE)</f>
        <v>Side</v>
      </c>
      <c r="E106" s="3" t="str">
        <f>VLOOKUP(Table2[[#This Row],[Tegevusala nimetus2]],Table4[[Tegevusala nimetus]:[Tegevusala koondnimetus]],2,FALSE)</f>
        <v>Majandus</v>
      </c>
      <c r="F106" t="s">
        <v>802</v>
      </c>
      <c r="G106" t="s">
        <v>2015</v>
      </c>
      <c r="H106" s="40">
        <v>1750</v>
      </c>
      <c r="J106">
        <v>5514</v>
      </c>
      <c r="K106" s="3" t="str">
        <f>VLOOKUP(Table2[[#This Row],[Konto]],Table5[[Konto]:[Konto nimetus]],2,FALSE)</f>
        <v>Info- ja kommunikatsioonitehnoliigised kulud</v>
      </c>
      <c r="L106">
        <v>55</v>
      </c>
      <c r="M106" t="str">
        <f t="shared" si="3"/>
        <v>55</v>
      </c>
      <c r="N106" s="3" t="str">
        <f>VLOOKUP(Table2[[#This Row],[Tulu/kulu liik2]],Table5[[Tulu/kulu liik]:[Kontode koondnimetus]],4,FALSE)</f>
        <v>Muud tegevuskulud</v>
      </c>
      <c r="O106" s="34" t="str">
        <f>VLOOKUP(Table2[[#This Row],[Tulu/kulu liik2]],Table5[],6,FALSE)</f>
        <v>Majandamiskulud</v>
      </c>
      <c r="P106" s="3" t="str">
        <f>VLOOKUP(Table2[[#This Row],[Tulu/kulu liik2]],Table5[],5,FALSE)</f>
        <v>Põhitegevuse kulu</v>
      </c>
    </row>
    <row r="107" spans="1:16" x14ac:dyDescent="0.25">
      <c r="A107" t="str">
        <f t="shared" si="2"/>
        <v>04</v>
      </c>
      <c r="B107" s="33" t="s">
        <v>32</v>
      </c>
      <c r="C107" s="3" t="str">
        <f>VLOOKUP(Table2[[#This Row],[Tegevusala]],Table4[],2,FALSE)</f>
        <v xml:space="preserve"> Side</v>
      </c>
      <c r="D107" s="3" t="str">
        <f>VLOOKUP(Table2[[#This Row],[Tegevusala]],Table4[[Tegevusala kood]:[Tegevusala alanimetus]],4,FALSE)</f>
        <v>Side</v>
      </c>
      <c r="E107" s="3" t="str">
        <f>VLOOKUP(Table2[[#This Row],[Tegevusala nimetus2]],Table4[[Tegevusala nimetus]:[Tegevusala koondnimetus]],2,FALSE)</f>
        <v>Majandus</v>
      </c>
      <c r="F107" t="s">
        <v>802</v>
      </c>
      <c r="G107" t="s">
        <v>2016</v>
      </c>
      <c r="H107" s="40">
        <v>2124</v>
      </c>
      <c r="J107">
        <v>5514</v>
      </c>
      <c r="K107" s="3" t="str">
        <f>VLOOKUP(Table2[[#This Row],[Konto]],Table5[[Konto]:[Konto nimetus]],2,FALSE)</f>
        <v>Info- ja kommunikatsioonitehnoliigised kulud</v>
      </c>
      <c r="L107">
        <v>55</v>
      </c>
      <c r="M107" t="str">
        <f t="shared" si="3"/>
        <v>55</v>
      </c>
      <c r="N107" s="3" t="str">
        <f>VLOOKUP(Table2[[#This Row],[Tulu/kulu liik2]],Table5[[Tulu/kulu liik]:[Kontode koondnimetus]],4,FALSE)</f>
        <v>Muud tegevuskulud</v>
      </c>
      <c r="O107" s="34" t="str">
        <f>VLOOKUP(Table2[[#This Row],[Tulu/kulu liik2]],Table5[],6,FALSE)</f>
        <v>Majandamiskulud</v>
      </c>
      <c r="P107" s="3" t="str">
        <f>VLOOKUP(Table2[[#This Row],[Tulu/kulu liik2]],Table5[],5,FALSE)</f>
        <v>Põhitegevuse kulu</v>
      </c>
    </row>
    <row r="108" spans="1:16" x14ac:dyDescent="0.25">
      <c r="A108" t="str">
        <f t="shared" si="2"/>
        <v>04</v>
      </c>
      <c r="B108" s="33" t="s">
        <v>32</v>
      </c>
      <c r="C108" s="3" t="str">
        <f>VLOOKUP(Table2[[#This Row],[Tegevusala]],Table4[],2,FALSE)</f>
        <v xml:space="preserve"> Side</v>
      </c>
      <c r="D108" s="3" t="str">
        <f>VLOOKUP(Table2[[#This Row],[Tegevusala]],Table4[[Tegevusala kood]:[Tegevusala alanimetus]],4,FALSE)</f>
        <v>Side</v>
      </c>
      <c r="E108" s="3" t="str">
        <f>VLOOKUP(Table2[[#This Row],[Tegevusala nimetus2]],Table4[[Tegevusala nimetus]:[Tegevusala koondnimetus]],2,FALSE)</f>
        <v>Majandus</v>
      </c>
      <c r="F108" t="s">
        <v>802</v>
      </c>
      <c r="G108" t="s">
        <v>2017</v>
      </c>
      <c r="H108" s="40">
        <v>5000</v>
      </c>
      <c r="J108">
        <v>5514</v>
      </c>
      <c r="K108" s="3" t="str">
        <f>VLOOKUP(Table2[[#This Row],[Konto]],Table5[[Konto]:[Konto nimetus]],2,FALSE)</f>
        <v>Info- ja kommunikatsioonitehnoliigised kulud</v>
      </c>
      <c r="L108">
        <v>55</v>
      </c>
      <c r="M108" t="str">
        <f t="shared" si="3"/>
        <v>55</v>
      </c>
      <c r="N108" s="3" t="str">
        <f>VLOOKUP(Table2[[#This Row],[Tulu/kulu liik2]],Table5[[Tulu/kulu liik]:[Kontode koondnimetus]],4,FALSE)</f>
        <v>Muud tegevuskulud</v>
      </c>
      <c r="O108" s="34" t="str">
        <f>VLOOKUP(Table2[[#This Row],[Tulu/kulu liik2]],Table5[],6,FALSE)</f>
        <v>Majandamiskulud</v>
      </c>
      <c r="P108" s="3" t="str">
        <f>VLOOKUP(Table2[[#This Row],[Tulu/kulu liik2]],Table5[],5,FALSE)</f>
        <v>Põhitegevuse kulu</v>
      </c>
    </row>
    <row r="109" spans="1:16" x14ac:dyDescent="0.25">
      <c r="A109" t="str">
        <f t="shared" si="2"/>
        <v>04</v>
      </c>
      <c r="B109" s="33" t="s">
        <v>32</v>
      </c>
      <c r="C109" s="3" t="str">
        <f>VLOOKUP(Table2[[#This Row],[Tegevusala]],Table4[],2,FALSE)</f>
        <v xml:space="preserve"> Side</v>
      </c>
      <c r="D109" s="3" t="str">
        <f>VLOOKUP(Table2[[#This Row],[Tegevusala]],Table4[[Tegevusala kood]:[Tegevusala alanimetus]],4,FALSE)</f>
        <v>Side</v>
      </c>
      <c r="E109" s="3" t="str">
        <f>VLOOKUP(Table2[[#This Row],[Tegevusala nimetus2]],Table4[[Tegevusala nimetus]:[Tegevusala koondnimetus]],2,FALSE)</f>
        <v>Majandus</v>
      </c>
      <c r="F109" t="s">
        <v>802</v>
      </c>
      <c r="G109" t="s">
        <v>2018</v>
      </c>
      <c r="H109" s="40">
        <v>149.76</v>
      </c>
      <c r="J109">
        <v>5514</v>
      </c>
      <c r="K109" s="3" t="str">
        <f>VLOOKUP(Table2[[#This Row],[Konto]],Table5[[Konto]:[Konto nimetus]],2,FALSE)</f>
        <v>Info- ja kommunikatsioonitehnoliigised kulud</v>
      </c>
      <c r="L109">
        <v>55</v>
      </c>
      <c r="M109" t="str">
        <f t="shared" si="3"/>
        <v>55</v>
      </c>
      <c r="N109" s="3" t="str">
        <f>VLOOKUP(Table2[[#This Row],[Tulu/kulu liik2]],Table5[[Tulu/kulu liik]:[Kontode koondnimetus]],4,FALSE)</f>
        <v>Muud tegevuskulud</v>
      </c>
      <c r="O109" s="34" t="str">
        <f>VLOOKUP(Table2[[#This Row],[Tulu/kulu liik2]],Table5[],6,FALSE)</f>
        <v>Majandamiskulud</v>
      </c>
      <c r="P109" s="3" t="str">
        <f>VLOOKUP(Table2[[#This Row],[Tulu/kulu liik2]],Table5[],5,FALSE)</f>
        <v>Põhitegevuse kulu</v>
      </c>
    </row>
    <row r="110" spans="1:16" x14ac:dyDescent="0.25">
      <c r="A110" t="str">
        <f t="shared" si="2"/>
        <v>04</v>
      </c>
      <c r="B110" s="33" t="s">
        <v>32</v>
      </c>
      <c r="C110" s="3" t="str">
        <f>VLOOKUP(Table2[[#This Row],[Tegevusala]],Table4[],2,FALSE)</f>
        <v xml:space="preserve"> Side</v>
      </c>
      <c r="D110" s="3" t="str">
        <f>VLOOKUP(Table2[[#This Row],[Tegevusala]],Table4[[Tegevusala kood]:[Tegevusala alanimetus]],4,FALSE)</f>
        <v>Side</v>
      </c>
      <c r="E110" s="3" t="str">
        <f>VLOOKUP(Table2[[#This Row],[Tegevusala nimetus2]],Table4[[Tegevusala nimetus]:[Tegevusala koondnimetus]],2,FALSE)</f>
        <v>Majandus</v>
      </c>
      <c r="F110" t="s">
        <v>802</v>
      </c>
      <c r="G110" t="s">
        <v>2019</v>
      </c>
      <c r="H110" s="40">
        <v>994.8</v>
      </c>
      <c r="J110">
        <v>5514</v>
      </c>
      <c r="K110" s="3" t="str">
        <f>VLOOKUP(Table2[[#This Row],[Konto]],Table5[[Konto]:[Konto nimetus]],2,FALSE)</f>
        <v>Info- ja kommunikatsioonitehnoliigised kulud</v>
      </c>
      <c r="L110">
        <v>55</v>
      </c>
      <c r="M110" t="str">
        <f t="shared" si="3"/>
        <v>55</v>
      </c>
      <c r="N110" s="3" t="str">
        <f>VLOOKUP(Table2[[#This Row],[Tulu/kulu liik2]],Table5[[Tulu/kulu liik]:[Kontode koondnimetus]],4,FALSE)</f>
        <v>Muud tegevuskulud</v>
      </c>
      <c r="O110" s="34" t="str">
        <f>VLOOKUP(Table2[[#This Row],[Tulu/kulu liik2]],Table5[],6,FALSE)</f>
        <v>Majandamiskulud</v>
      </c>
      <c r="P110" s="3" t="str">
        <f>VLOOKUP(Table2[[#This Row],[Tulu/kulu liik2]],Table5[],5,FALSE)</f>
        <v>Põhitegevuse kulu</v>
      </c>
    </row>
    <row r="111" spans="1:16" x14ac:dyDescent="0.25">
      <c r="A111" t="str">
        <f t="shared" si="2"/>
        <v>04</v>
      </c>
      <c r="B111" s="33" t="s">
        <v>32</v>
      </c>
      <c r="C111" s="3" t="str">
        <f>VLOOKUP(Table2[[#This Row],[Tegevusala]],Table4[],2,FALSE)</f>
        <v xml:space="preserve"> Side</v>
      </c>
      <c r="D111" s="3" t="str">
        <f>VLOOKUP(Table2[[#This Row],[Tegevusala]],Table4[[Tegevusala kood]:[Tegevusala alanimetus]],4,FALSE)</f>
        <v>Side</v>
      </c>
      <c r="E111" s="3" t="str">
        <f>VLOOKUP(Table2[[#This Row],[Tegevusala nimetus2]],Table4[[Tegevusala nimetus]:[Tegevusala koondnimetus]],2,FALSE)</f>
        <v>Majandus</v>
      </c>
      <c r="F111" t="s">
        <v>802</v>
      </c>
      <c r="G111" t="s">
        <v>2020</v>
      </c>
      <c r="H111" s="40">
        <v>9031.44</v>
      </c>
      <c r="J111">
        <v>5514</v>
      </c>
      <c r="K111" s="3" t="str">
        <f>VLOOKUP(Table2[[#This Row],[Konto]],Table5[[Konto]:[Konto nimetus]],2,FALSE)</f>
        <v>Info- ja kommunikatsioonitehnoliigised kulud</v>
      </c>
      <c r="L111">
        <v>55</v>
      </c>
      <c r="M111" t="str">
        <f t="shared" si="3"/>
        <v>55</v>
      </c>
      <c r="N111" s="3" t="str">
        <f>VLOOKUP(Table2[[#This Row],[Tulu/kulu liik2]],Table5[[Tulu/kulu liik]:[Kontode koondnimetus]],4,FALSE)</f>
        <v>Muud tegevuskulud</v>
      </c>
      <c r="O111" s="34" t="str">
        <f>VLOOKUP(Table2[[#This Row],[Tulu/kulu liik2]],Table5[],6,FALSE)</f>
        <v>Majandamiskulud</v>
      </c>
      <c r="P111" s="3" t="str">
        <f>VLOOKUP(Table2[[#This Row],[Tulu/kulu liik2]],Table5[],5,FALSE)</f>
        <v>Põhitegevuse kulu</v>
      </c>
    </row>
    <row r="112" spans="1:16" x14ac:dyDescent="0.25">
      <c r="A112" t="str">
        <f t="shared" si="2"/>
        <v>04</v>
      </c>
      <c r="B112" t="s">
        <v>34</v>
      </c>
      <c r="C112" s="3" t="str">
        <f>VLOOKUP(Table2[[#This Row],[Tegevusala]],Table4[],2,FALSE)</f>
        <v xml:space="preserve"> Muu majandus (sh majanduse haldus)</v>
      </c>
      <c r="D112" s="3" t="str">
        <f>VLOOKUP(Table2[[#This Row],[Tegevusala]],Table4[[Tegevusala kood]:[Tegevusala alanimetus]],4,FALSE)</f>
        <v>Muu majandus (sh majanduse haldus)</v>
      </c>
      <c r="E112" s="3" t="str">
        <f>VLOOKUP(Table2[[#This Row],[Tegevusala nimetus2]],Table4[[Tegevusala nimetus]:[Tegevusala koondnimetus]],2,FALSE)</f>
        <v>Majandus</v>
      </c>
      <c r="F112" s="14" t="s">
        <v>842</v>
      </c>
      <c r="G112" t="s">
        <v>953</v>
      </c>
      <c r="H112" s="40">
        <v>1750</v>
      </c>
      <c r="J112">
        <v>5511</v>
      </c>
      <c r="K112" s="3" t="str">
        <f>VLOOKUP(Table2[[#This Row],[Konto]],Table5[[Konto]:[Konto nimetus]],2,FALSE)</f>
        <v>Kinnistute, hoonete ja ruumide majandamiskulud</v>
      </c>
      <c r="L112">
        <v>55</v>
      </c>
      <c r="M112" t="str">
        <f t="shared" si="3"/>
        <v>55</v>
      </c>
      <c r="N112" s="3" t="str">
        <f>VLOOKUP(Table2[[#This Row],[Tulu/kulu liik2]],Table5[[Tulu/kulu liik]:[Kontode koondnimetus]],4,FALSE)</f>
        <v>Muud tegevuskulud</v>
      </c>
      <c r="O112" s="3" t="str">
        <f>VLOOKUP(Table2[[#This Row],[Tulu/kulu liik2]],Table5[],6,FALSE)</f>
        <v>Majandamiskulud</v>
      </c>
      <c r="P112" s="3" t="str">
        <f>VLOOKUP(Table2[[#This Row],[Tulu/kulu liik2]],Table5[],5,FALSE)</f>
        <v>Põhitegevuse kulu</v>
      </c>
    </row>
    <row r="113" spans="1:16" hidden="1" x14ac:dyDescent="0.25">
      <c r="A113" s="33" t="str">
        <f t="shared" si="2"/>
        <v>04</v>
      </c>
      <c r="B113" s="33" t="s">
        <v>34</v>
      </c>
      <c r="C113" s="34" t="str">
        <f>VLOOKUP(Table2[[#This Row],[Tegevusala]],Table4[],2,FALSE)</f>
        <v xml:space="preserve"> Muu majandus (sh majanduse haldus)</v>
      </c>
      <c r="D113" s="34" t="str">
        <f>VLOOKUP(Table2[[#This Row],[Tegevusala]],Table4[[Tegevusala kood]:[Tegevusala alanimetus]],4,FALSE)</f>
        <v>Muu majandus (sh majanduse haldus)</v>
      </c>
      <c r="E113" s="34" t="str">
        <f>VLOOKUP(Table2[[#This Row],[Tegevusala nimetus2]],Table4[[Tegevusala nimetus]:[Tegevusala koondnimetus]],2,FALSE)</f>
        <v>Majandus</v>
      </c>
      <c r="F113" s="33" t="s">
        <v>648</v>
      </c>
      <c r="G113" s="33" t="s">
        <v>843</v>
      </c>
      <c r="H113" s="47">
        <v>15000</v>
      </c>
      <c r="I113" s="35"/>
      <c r="J113" s="33">
        <v>45028</v>
      </c>
      <c r="K113" s="34" t="str">
        <f>VLOOKUP(Table2[[#This Row],[Konto]],Table5[[Konto]:[Konto nimetus]],2,FALSE)</f>
        <v>Sihtotstarbelised eraldised põhivara soetamiseks muudele residentidele</v>
      </c>
      <c r="L113" s="33">
        <v>4502</v>
      </c>
      <c r="M113" s="33" t="str">
        <f t="shared" si="3"/>
        <v>45</v>
      </c>
      <c r="N113" s="34" t="str">
        <f>VLOOKUP(Table2[[#This Row],[Tulu/kulu liik2]],Table5[[Tulu/kulu liik]:[Kontode koondnimetus]],4,FALSE)</f>
        <v>Põhivara soetuseks antav sihtfinantseerimine (-)</v>
      </c>
      <c r="O113" s="34" t="str">
        <f>VLOOKUP(Table2[[#This Row],[Tulu/kulu liik2]],Table5[],6,FALSE)</f>
        <v>Põhivara soetuseks antav sihtfinantseerimine (-)</v>
      </c>
      <c r="P113" s="34" t="str">
        <f>VLOOKUP(Table2[[#This Row],[Tulu/kulu liik2]],Table5[],5,FALSE)</f>
        <v>Investeerimistegevus</v>
      </c>
    </row>
    <row r="114" spans="1:16" x14ac:dyDescent="0.25">
      <c r="A114" s="33" t="str">
        <f t="shared" si="2"/>
        <v>04</v>
      </c>
      <c r="B114" s="33" t="s">
        <v>34</v>
      </c>
      <c r="C114" s="34" t="str">
        <f>VLOOKUP(Table2[[#This Row],[Tegevusala]],Table4[],2,FALSE)</f>
        <v xml:space="preserve"> Muu majandus (sh majanduse haldus)</v>
      </c>
      <c r="D114" s="34" t="str">
        <f>VLOOKUP(Table2[[#This Row],[Tegevusala]],Table4[[Tegevusala kood]:[Tegevusala alanimetus]],4,FALSE)</f>
        <v>Muu majandus (sh majanduse haldus)</v>
      </c>
      <c r="E114" s="34" t="str">
        <f>VLOOKUP(Table2[[#This Row],[Tegevusala nimetus2]],Table4[[Tegevusala nimetus]:[Tegevusala koondnimetus]],2,FALSE)</f>
        <v>Majandus</v>
      </c>
      <c r="F114" s="33" t="s">
        <v>624</v>
      </c>
      <c r="G114" s="33" t="s">
        <v>794</v>
      </c>
      <c r="H114" s="47">
        <v>550</v>
      </c>
      <c r="I114" s="35"/>
      <c r="J114" s="33">
        <v>5500</v>
      </c>
      <c r="K114" s="34" t="str">
        <f>VLOOKUP(Table2[[#This Row],[Konto]],Table5[[Konto]:[Konto nimetus]],2,FALSE)</f>
        <v>Administreerimiskulud</v>
      </c>
      <c r="L114" s="33">
        <v>55</v>
      </c>
      <c r="M114" s="33" t="str">
        <f t="shared" si="3"/>
        <v>55</v>
      </c>
      <c r="N114" s="34" t="str">
        <f>VLOOKUP(Table2[[#This Row],[Tulu/kulu liik2]],Table5[[Tulu/kulu liik]:[Kontode koondnimetus]],4,FALSE)</f>
        <v>Muud tegevuskulud</v>
      </c>
      <c r="O114" s="34" t="str">
        <f>VLOOKUP(Table2[[#This Row],[Tulu/kulu liik2]],Table5[],6,FALSE)</f>
        <v>Majandamiskulud</v>
      </c>
      <c r="P114" s="34" t="str">
        <f>VLOOKUP(Table2[[#This Row],[Tulu/kulu liik2]],Table5[],5,FALSE)</f>
        <v>Põhitegevuse kulu</v>
      </c>
    </row>
    <row r="115" spans="1:16" x14ac:dyDescent="0.25">
      <c r="A115" t="str">
        <f t="shared" si="2"/>
        <v>04</v>
      </c>
      <c r="B115" t="s">
        <v>34</v>
      </c>
      <c r="C115" s="3" t="str">
        <f>VLOOKUP(Table2[[#This Row],[Tegevusala]],Table4[],2,FALSE)</f>
        <v xml:space="preserve"> Muu majandus (sh majanduse haldus)</v>
      </c>
      <c r="D115" s="3" t="str">
        <f>VLOOKUP(Table2[[#This Row],[Tegevusala]],Table4[[Tegevusala kood]:[Tegevusala alanimetus]],4,FALSE)</f>
        <v>Muu majandus (sh majanduse haldus)</v>
      </c>
      <c r="E115" s="3" t="str">
        <f>VLOOKUP(Table2[[#This Row],[Tegevusala nimetus2]],Table4[[Tegevusala nimetus]:[Tegevusala koondnimetus]],2,FALSE)</f>
        <v>Majandus</v>
      </c>
      <c r="F115" t="s">
        <v>624</v>
      </c>
      <c r="G115" t="s">
        <v>442</v>
      </c>
      <c r="H115" s="40">
        <f>(12*150)+(12*335)+(12*150)+(12*150)+(5*150)</f>
        <v>10170</v>
      </c>
      <c r="I115" s="2" t="s">
        <v>2119</v>
      </c>
      <c r="J115">
        <v>5513</v>
      </c>
      <c r="K115" s="3" t="str">
        <f>VLOOKUP(Table2[[#This Row],[Konto]],Table5[[Konto]:[Konto nimetus]],2,FALSE)</f>
        <v>Sõidukite ülalpidamise kulud</v>
      </c>
      <c r="L115">
        <v>55</v>
      </c>
      <c r="M115" t="str">
        <f t="shared" si="3"/>
        <v>55</v>
      </c>
      <c r="N115" s="3" t="str">
        <f>VLOOKUP(Table2[[#This Row],[Tulu/kulu liik2]],Table5[[Tulu/kulu liik]:[Kontode koondnimetus]],4,FALSE)</f>
        <v>Muud tegevuskulud</v>
      </c>
      <c r="O115" s="3" t="str">
        <f>VLOOKUP(Table2[[#This Row],[Tulu/kulu liik2]],Table5[],6,FALSE)</f>
        <v>Majandamiskulud</v>
      </c>
      <c r="P115" s="3" t="str">
        <f>VLOOKUP(Table2[[#This Row],[Tulu/kulu liik2]],Table5[],5,FALSE)</f>
        <v>Põhitegevuse kulu</v>
      </c>
    </row>
    <row r="116" spans="1:16" x14ac:dyDescent="0.25">
      <c r="A116" s="33" t="str">
        <f t="shared" si="2"/>
        <v>04</v>
      </c>
      <c r="B116" s="33" t="s">
        <v>34</v>
      </c>
      <c r="C116" s="34" t="str">
        <f>VLOOKUP(Table2[[#This Row],[Tegevusala]],Table4[],2,FALSE)</f>
        <v xml:space="preserve"> Muu majandus (sh majanduse haldus)</v>
      </c>
      <c r="D116" s="34" t="str">
        <f>VLOOKUP(Table2[[#This Row],[Tegevusala]],Table4[[Tegevusala kood]:[Tegevusala alanimetus]],4,FALSE)</f>
        <v>Muu majandus (sh majanduse haldus)</v>
      </c>
      <c r="E116" s="34" t="str">
        <f>VLOOKUP(Table2[[#This Row],[Tegevusala nimetus2]],Table4[[Tegevusala nimetus]:[Tegevusala koondnimetus]],2,FALSE)</f>
        <v>Majandus</v>
      </c>
      <c r="F116" s="33" t="s">
        <v>624</v>
      </c>
      <c r="G116" s="33" t="s">
        <v>409</v>
      </c>
      <c r="H116" s="47">
        <f>4*400</f>
        <v>1600</v>
      </c>
      <c r="I116" s="35" t="s">
        <v>2118</v>
      </c>
      <c r="J116" s="33">
        <v>5504</v>
      </c>
      <c r="K116" s="34" t="str">
        <f>VLOOKUP(Table2[[#This Row],[Konto]],Table5[[Konto]:[Konto nimetus]],2,FALSE)</f>
        <v>Koolituskulud</v>
      </c>
      <c r="L116" s="33">
        <v>55</v>
      </c>
      <c r="M116" s="33" t="str">
        <f t="shared" si="3"/>
        <v>55</v>
      </c>
      <c r="N116" s="34" t="str">
        <f>VLOOKUP(Table2[[#This Row],[Tulu/kulu liik2]],Table5[[Tulu/kulu liik]:[Kontode koondnimetus]],4,FALSE)</f>
        <v>Muud tegevuskulud</v>
      </c>
      <c r="O116" s="34" t="str">
        <f>VLOOKUP(Table2[[#This Row],[Tulu/kulu liik2]],Table5[],6,FALSE)</f>
        <v>Majandamiskulud</v>
      </c>
      <c r="P116" s="34" t="str">
        <f>VLOOKUP(Table2[[#This Row],[Tulu/kulu liik2]],Table5[],5,FALSE)</f>
        <v>Põhitegevuse kulu</v>
      </c>
    </row>
    <row r="117" spans="1:16" x14ac:dyDescent="0.25">
      <c r="A117" t="str">
        <f t="shared" si="2"/>
        <v>04</v>
      </c>
      <c r="B117" t="s">
        <v>34</v>
      </c>
      <c r="C117" s="3" t="str">
        <f>VLOOKUP(Table2[[#This Row],[Tegevusala]],Table4[],2,FALSE)</f>
        <v xml:space="preserve"> Muu majandus (sh majanduse haldus)</v>
      </c>
      <c r="D117" s="3" t="str">
        <f>VLOOKUP(Table2[[#This Row],[Tegevusala]],Table4[[Tegevusala kood]:[Tegevusala alanimetus]],4,FALSE)</f>
        <v>Muu majandus (sh majanduse haldus)</v>
      </c>
      <c r="E117" s="3" t="str">
        <f>VLOOKUP(Table2[[#This Row],[Tegevusala nimetus2]],Table4[[Tegevusala nimetus]:[Tegevusala koondnimetus]],2,FALSE)</f>
        <v>Majandus</v>
      </c>
      <c r="F117" t="s">
        <v>624</v>
      </c>
      <c r="G117" t="s">
        <v>816</v>
      </c>
      <c r="H117" s="40">
        <f>4*400</f>
        <v>1600</v>
      </c>
      <c r="J117">
        <v>5540</v>
      </c>
      <c r="K117" s="3" t="str">
        <f>VLOOKUP(Table2[[#This Row],[Konto]],Table5[[Konto]:[Konto nimetus]],2,FALSE)</f>
        <v>Mitmesugused majanduskulud</v>
      </c>
      <c r="L117">
        <v>55</v>
      </c>
      <c r="M117" t="str">
        <f t="shared" si="3"/>
        <v>55</v>
      </c>
      <c r="N117" s="3" t="str">
        <f>VLOOKUP(Table2[[#This Row],[Tulu/kulu liik2]],Table5[[Tulu/kulu liik]:[Kontode koondnimetus]],4,FALSE)</f>
        <v>Muud tegevuskulud</v>
      </c>
      <c r="O117" s="3" t="str">
        <f>VLOOKUP(Table2[[#This Row],[Tulu/kulu liik2]],Table5[],6,FALSE)</f>
        <v>Majandamiskulud</v>
      </c>
      <c r="P117" s="3" t="str">
        <f>VLOOKUP(Table2[[#This Row],[Tulu/kulu liik2]],Table5[],5,FALSE)</f>
        <v>Põhitegevuse kulu</v>
      </c>
    </row>
    <row r="118" spans="1:16" hidden="1" x14ac:dyDescent="0.25">
      <c r="A118" t="str">
        <f t="shared" si="2"/>
        <v>04</v>
      </c>
      <c r="B118" t="s">
        <v>34</v>
      </c>
      <c r="C118" s="3" t="str">
        <f>VLOOKUP(Table2[[#This Row],[Tegevusala]],Table4[],2,FALSE)</f>
        <v xml:space="preserve"> Muu majandus (sh majanduse haldus)</v>
      </c>
      <c r="D118" s="3" t="str">
        <f>VLOOKUP(Table2[[#This Row],[Tegevusala]],Table4[[Tegevusala kood]:[Tegevusala alanimetus]],4,FALSE)</f>
        <v>Muu majandus (sh majanduse haldus)</v>
      </c>
      <c r="E118" s="3" t="str">
        <f>VLOOKUP(Table2[[#This Row],[Tegevusala nimetus2]],Table4[[Tegevusala nimetus]:[Tegevusala koondnimetus]],2,FALSE)</f>
        <v>Majandus</v>
      </c>
      <c r="F118" t="s">
        <v>648</v>
      </c>
      <c r="G118" t="s">
        <v>955</v>
      </c>
      <c r="H118" s="40">
        <v>70000</v>
      </c>
      <c r="J118">
        <v>45028</v>
      </c>
      <c r="K118" s="3" t="str">
        <f>VLOOKUP(Table2[[#This Row],[Konto]],Table5[[Konto]:[Konto nimetus]],2,FALSE)</f>
        <v>Sihtotstarbelised eraldised põhivara soetamiseks muudele residentidele</v>
      </c>
      <c r="L118">
        <v>4502</v>
      </c>
      <c r="M118" t="str">
        <f t="shared" si="3"/>
        <v>45</v>
      </c>
      <c r="N118" s="3" t="str">
        <f>VLOOKUP(Table2[[#This Row],[Tulu/kulu liik2]],Table5[[Tulu/kulu liik]:[Kontode koondnimetus]],4,FALSE)</f>
        <v>Põhivara soetuseks antav sihtfinantseerimine (-)</v>
      </c>
      <c r="O118" s="3" t="str">
        <f>VLOOKUP(Table2[[#This Row],[Tulu/kulu liik2]],Table5[],6,FALSE)</f>
        <v>Põhivara soetuseks antav sihtfinantseerimine (-)</v>
      </c>
      <c r="P118" s="3" t="str">
        <f>VLOOKUP(Table2[[#This Row],[Tulu/kulu liik2]],Table5[],5,FALSE)</f>
        <v>Investeerimistegevus</v>
      </c>
    </row>
    <row r="119" spans="1:16" hidden="1" x14ac:dyDescent="0.25">
      <c r="A119" t="str">
        <f t="shared" si="2"/>
        <v>04</v>
      </c>
      <c r="B119" t="s">
        <v>34</v>
      </c>
      <c r="C119" s="3" t="str">
        <f>VLOOKUP(Table2[[#This Row],[Tegevusala]],Table4[],2,FALSE)</f>
        <v xml:space="preserve"> Muu majandus (sh majanduse haldus)</v>
      </c>
      <c r="D119" s="3" t="str">
        <f>VLOOKUP(Table2[[#This Row],[Tegevusala]],Table4[[Tegevusala kood]:[Tegevusala alanimetus]],4,FALSE)</f>
        <v>Muu majandus (sh majanduse haldus)</v>
      </c>
      <c r="E119" s="3" t="str">
        <f>VLOOKUP(Table2[[#This Row],[Tegevusala nimetus2]],Table4[[Tegevusala nimetus]:[Tegevusala koondnimetus]],2,FALSE)</f>
        <v>Majandus</v>
      </c>
      <c r="F119" t="s">
        <v>648</v>
      </c>
      <c r="G119" t="s">
        <v>956</v>
      </c>
      <c r="H119" s="40">
        <v>-35000</v>
      </c>
      <c r="I119" s="2" t="s">
        <v>957</v>
      </c>
      <c r="J119">
        <v>20385</v>
      </c>
      <c r="K119" s="3" t="str">
        <f>VLOOKUP(Table2[[#This Row],[Konto]],Table5[[Konto]:[Konto nimetus]],2,FALSE)</f>
        <v>Põhivara soetuseks saadav sihtfinantseerimine</v>
      </c>
      <c r="L119">
        <v>3502</v>
      </c>
      <c r="M119" t="str">
        <f t="shared" si="3"/>
        <v>20</v>
      </c>
      <c r="N119" s="3" t="str">
        <f>VLOOKUP(Table2[[#This Row],[Tulu/kulu liik2]],Table5[[Tulu/kulu liik]:[Kontode koondnimetus]],4,FALSE)</f>
        <v>Põhivara soetuseks saadav sihtfinantseerimine (+)</v>
      </c>
      <c r="O119" s="3" t="str">
        <f>VLOOKUP(Table2[[#This Row],[Tulu/kulu liik2]],Table5[],6,FALSE)</f>
        <v>Põhivara soetuseks saadav sihtfinantseerimine (+)</v>
      </c>
      <c r="P119" s="3" t="str">
        <f>VLOOKUP(Table2[[#This Row],[Tulu/kulu liik2]],Table5[],5,FALSE)</f>
        <v>Investeerimistegevus</v>
      </c>
    </row>
    <row r="120" spans="1:16" x14ac:dyDescent="0.25">
      <c r="A120" t="str">
        <f t="shared" si="2"/>
        <v>04</v>
      </c>
      <c r="B120" t="s">
        <v>34</v>
      </c>
      <c r="C120" s="3" t="str">
        <f>VLOOKUP(Table2[[#This Row],[Tegevusala]],Table4[],2,FALSE)</f>
        <v xml:space="preserve"> Muu majandus (sh majanduse haldus)</v>
      </c>
      <c r="D120" s="3" t="str">
        <f>VLOOKUP(Table2[[#This Row],[Tegevusala]],Table4[[Tegevusala kood]:[Tegevusala alanimetus]],4,FALSE)</f>
        <v>Muu majandus (sh majanduse haldus)</v>
      </c>
      <c r="E120" s="3" t="str">
        <f>VLOOKUP(Table2[[#This Row],[Tegevusala nimetus2]],Table4[[Tegevusala nimetus]:[Tegevusala koondnimetus]],2,FALSE)</f>
        <v>Majandus</v>
      </c>
      <c r="F120" s="14" t="s">
        <v>842</v>
      </c>
      <c r="G120" t="s">
        <v>954</v>
      </c>
      <c r="H120" s="40">
        <v>1114.5</v>
      </c>
      <c r="J120">
        <v>5500</v>
      </c>
      <c r="K120" s="3" t="str">
        <f>VLOOKUP(Table2[[#This Row],[Konto]],Table5[[Konto]:[Konto nimetus]],2,FALSE)</f>
        <v>Administreerimiskulud</v>
      </c>
      <c r="L120">
        <v>55</v>
      </c>
      <c r="M120" t="str">
        <f t="shared" si="3"/>
        <v>55</v>
      </c>
      <c r="N120" s="3" t="str">
        <f>VLOOKUP(Table2[[#This Row],[Tulu/kulu liik2]],Table5[[Tulu/kulu liik]:[Kontode koondnimetus]],4,FALSE)</f>
        <v>Muud tegevuskulud</v>
      </c>
      <c r="O120" s="3" t="str">
        <f>VLOOKUP(Table2[[#This Row],[Tulu/kulu liik2]],Table5[],6,FALSE)</f>
        <v>Majandamiskulud</v>
      </c>
      <c r="P120" s="3" t="str">
        <f>VLOOKUP(Table2[[#This Row],[Tulu/kulu liik2]],Table5[],5,FALSE)</f>
        <v>Põhitegevuse kulu</v>
      </c>
    </row>
    <row r="121" spans="1:16" x14ac:dyDescent="0.25">
      <c r="A121" t="str">
        <f t="shared" si="2"/>
        <v>04</v>
      </c>
      <c r="B121" t="s">
        <v>34</v>
      </c>
      <c r="C121" s="3" t="str">
        <f>VLOOKUP(Table2[[#This Row],[Tegevusala]],Table4[],2,FALSE)</f>
        <v xml:space="preserve"> Muu majandus (sh majanduse haldus)</v>
      </c>
      <c r="D121" s="3" t="str">
        <f>VLOOKUP(Table2[[#This Row],[Tegevusala]],Table4[[Tegevusala kood]:[Tegevusala alanimetus]],4,FALSE)</f>
        <v>Muu majandus (sh majanduse haldus)</v>
      </c>
      <c r="E121" s="3" t="str">
        <f>VLOOKUP(Table2[[#This Row],[Tegevusala nimetus2]],Table4[[Tegevusala nimetus]:[Tegevusala koondnimetus]],2,FALSE)</f>
        <v>Majandus</v>
      </c>
      <c r="F121" t="s">
        <v>1043</v>
      </c>
      <c r="G121" t="s">
        <v>1948</v>
      </c>
      <c r="H121" s="40">
        <v>1500</v>
      </c>
      <c r="J121">
        <v>45008</v>
      </c>
      <c r="K121" s="3" t="str">
        <f>VLOOKUP(Table2[[#This Row],[Konto]],Table5[[Konto]:[Konto nimetus]],2,FALSE)</f>
        <v>Sihtotstarbelised eraldised muudele residentidele</v>
      </c>
      <c r="L121">
        <v>4500</v>
      </c>
      <c r="M121" t="str">
        <f t="shared" si="3"/>
        <v>45</v>
      </c>
      <c r="N121" s="3" t="str">
        <f>VLOOKUP(Table2[[#This Row],[Tulu/kulu liik2]],Table5[[Tulu/kulu liik]:[Kontode koondnimetus]],4,FALSE)</f>
        <v>Antavad toetused tegevuskuludeks</v>
      </c>
      <c r="O121" s="3" t="str">
        <f>VLOOKUP(Table2[[#This Row],[Tulu/kulu liik2]],Table5[],6,FALSE)</f>
        <v>Sihtotstarbelised toetused tegevuskuludeks</v>
      </c>
      <c r="P121" s="3" t="str">
        <f>VLOOKUP(Table2[[#This Row],[Tulu/kulu liik2]],Table5[],5,FALSE)</f>
        <v>Põhitegevuse kulu</v>
      </c>
    </row>
    <row r="122" spans="1:16" x14ac:dyDescent="0.25">
      <c r="A122" t="str">
        <f t="shared" si="2"/>
        <v>04</v>
      </c>
      <c r="B122" t="s">
        <v>34</v>
      </c>
      <c r="C122" s="3" t="str">
        <f>VLOOKUP(Table2[[#This Row],[Tegevusala]],Table4[],2,FALSE)</f>
        <v xml:space="preserve"> Muu majandus (sh majanduse haldus)</v>
      </c>
      <c r="D122" s="3" t="str">
        <f>VLOOKUP(Table2[[#This Row],[Tegevusala]],Table4[[Tegevusala kood]:[Tegevusala alanimetus]],4,FALSE)</f>
        <v>Muu majandus (sh majanduse haldus)</v>
      </c>
      <c r="E122" s="3" t="str">
        <f>VLOOKUP(Table2[[#This Row],[Tegevusala nimetus2]],Table4[[Tegevusala nimetus]:[Tegevusala koondnimetus]],2,FALSE)</f>
        <v>Majandus</v>
      </c>
      <c r="F122" t="s">
        <v>1043</v>
      </c>
      <c r="G122" t="s">
        <v>1949</v>
      </c>
      <c r="H122" s="40">
        <v>1500</v>
      </c>
      <c r="I122" s="2" t="s">
        <v>2159</v>
      </c>
      <c r="J122">
        <v>45008</v>
      </c>
      <c r="K122" s="3" t="str">
        <f>VLOOKUP(Table2[[#This Row],[Konto]],Table5[[Konto]:[Konto nimetus]],2,FALSE)</f>
        <v>Sihtotstarbelised eraldised muudele residentidele</v>
      </c>
      <c r="L122">
        <v>55</v>
      </c>
      <c r="M122" t="str">
        <f t="shared" si="3"/>
        <v>45</v>
      </c>
      <c r="N122" s="3" t="str">
        <f>VLOOKUP(Table2[[#This Row],[Tulu/kulu liik2]],Table5[[Tulu/kulu liik]:[Kontode koondnimetus]],4,FALSE)</f>
        <v>Muud tegevuskulud</v>
      </c>
      <c r="O122" s="3" t="str">
        <f>VLOOKUP(Table2[[#This Row],[Tulu/kulu liik2]],Table5[],6,FALSE)</f>
        <v>Majandamiskulud</v>
      </c>
      <c r="P122" s="3" t="str">
        <f>VLOOKUP(Table2[[#This Row],[Tulu/kulu liik2]],Table5[],5,FALSE)</f>
        <v>Põhitegevuse kulu</v>
      </c>
    </row>
    <row r="123" spans="1:16" x14ac:dyDescent="0.25">
      <c r="A123" t="str">
        <f t="shared" si="2"/>
        <v>04</v>
      </c>
      <c r="B123" t="s">
        <v>34</v>
      </c>
      <c r="C123" s="3" t="str">
        <f>VLOOKUP(Table2[[#This Row],[Tegevusala]],Table4[],2,FALSE)</f>
        <v xml:space="preserve"> Muu majandus (sh majanduse haldus)</v>
      </c>
      <c r="D123" s="3" t="str">
        <f>VLOOKUP(Table2[[#This Row],[Tegevusala]],Table4[[Tegevusala kood]:[Tegevusala alanimetus]],4,FALSE)</f>
        <v>Muu majandus (sh majanduse haldus)</v>
      </c>
      <c r="E123" s="3" t="str">
        <f>VLOOKUP(Table2[[#This Row],[Tegevusala nimetus2]],Table4[[Tegevusala nimetus]:[Tegevusala koondnimetus]],2,FALSE)</f>
        <v>Majandus</v>
      </c>
      <c r="F123" t="s">
        <v>805</v>
      </c>
      <c r="G123" t="s">
        <v>2120</v>
      </c>
      <c r="H123" s="40">
        <f>37.2*12</f>
        <v>446.40000000000003</v>
      </c>
      <c r="I123" s="2" t="s">
        <v>2121</v>
      </c>
      <c r="J123">
        <v>5514</v>
      </c>
      <c r="K123" s="3" t="str">
        <f>VLOOKUP(Table2[[#This Row],[Konto]],Table5[[Konto]:[Konto nimetus]],2,FALSE)</f>
        <v>Info- ja kommunikatsioonitehnoliigised kulud</v>
      </c>
      <c r="L123">
        <v>55</v>
      </c>
      <c r="M123" t="str">
        <f t="shared" si="3"/>
        <v>55</v>
      </c>
      <c r="N123" s="3" t="str">
        <f>VLOOKUP(Table2[[#This Row],[Tulu/kulu liik2]],Table5[[Tulu/kulu liik]:[Kontode koondnimetus]],4,FALSE)</f>
        <v>Muud tegevuskulud</v>
      </c>
      <c r="O123" s="34" t="str">
        <f>VLOOKUP(Table2[[#This Row],[Tulu/kulu liik2]],Table5[],6,FALSE)</f>
        <v>Majandamiskulud</v>
      </c>
      <c r="P123" s="3" t="str">
        <f>VLOOKUP(Table2[[#This Row],[Tulu/kulu liik2]],Table5[],5,FALSE)</f>
        <v>Põhitegevuse kulu</v>
      </c>
    </row>
    <row r="124" spans="1:16" x14ac:dyDescent="0.25">
      <c r="A124" t="str">
        <f t="shared" si="2"/>
        <v>04</v>
      </c>
      <c r="B124" t="s">
        <v>34</v>
      </c>
      <c r="C124" s="3" t="str">
        <f>VLOOKUP(Table2[[#This Row],[Tegevusala]],Table4[],2,FALSE)</f>
        <v xml:space="preserve"> Muu majandus (sh majanduse haldus)</v>
      </c>
      <c r="D124" s="3" t="str">
        <f>VLOOKUP(Table2[[#This Row],[Tegevusala]],Table4[[Tegevusala kood]:[Tegevusala alanimetus]],4,FALSE)</f>
        <v>Muu majandus (sh majanduse haldus)</v>
      </c>
      <c r="E124" s="3" t="str">
        <f>VLOOKUP(Table2[[#This Row],[Tegevusala nimetus2]],Table4[[Tegevusala nimetus]:[Tegevusala koondnimetus]],2,FALSE)</f>
        <v>Majandus</v>
      </c>
      <c r="F124" t="s">
        <v>805</v>
      </c>
      <c r="G124" t="s">
        <v>2122</v>
      </c>
      <c r="H124" s="40">
        <f>24*12</f>
        <v>288</v>
      </c>
      <c r="I124" s="2" t="s">
        <v>2121</v>
      </c>
      <c r="J124">
        <v>5514</v>
      </c>
      <c r="K124" s="3" t="str">
        <f>VLOOKUP(Table2[[#This Row],[Konto]],Table5[[Konto]:[Konto nimetus]],2,FALSE)</f>
        <v>Info- ja kommunikatsioonitehnoliigised kulud</v>
      </c>
      <c r="L124">
        <v>55</v>
      </c>
      <c r="M124" t="str">
        <f t="shared" si="3"/>
        <v>55</v>
      </c>
      <c r="N124" s="3" t="str">
        <f>VLOOKUP(Table2[[#This Row],[Tulu/kulu liik2]],Table5[[Tulu/kulu liik]:[Kontode koondnimetus]],4,FALSE)</f>
        <v>Muud tegevuskulud</v>
      </c>
      <c r="O124" s="34" t="str">
        <f>VLOOKUP(Table2[[#This Row],[Tulu/kulu liik2]],Table5[],6,FALSE)</f>
        <v>Majandamiskulud</v>
      </c>
      <c r="P124" s="3" t="str">
        <f>VLOOKUP(Table2[[#This Row],[Tulu/kulu liik2]],Table5[],5,FALSE)</f>
        <v>Põhitegevuse kulu</v>
      </c>
    </row>
    <row r="125" spans="1:16" x14ac:dyDescent="0.25">
      <c r="A125" t="str">
        <f t="shared" si="2"/>
        <v>04</v>
      </c>
      <c r="B125" t="s">
        <v>34</v>
      </c>
      <c r="C125" s="3" t="str">
        <f>VLOOKUP(Table2[[#This Row],[Tegevusala]],Table4[],2,FALSE)</f>
        <v xml:space="preserve"> Muu majandus (sh majanduse haldus)</v>
      </c>
      <c r="D125" s="3" t="str">
        <f>VLOOKUP(Table2[[#This Row],[Tegevusala]],Table4[[Tegevusala kood]:[Tegevusala alanimetus]],4,FALSE)</f>
        <v>Muu majandus (sh majanduse haldus)</v>
      </c>
      <c r="E125" s="3" t="str">
        <f>VLOOKUP(Table2[[#This Row],[Tegevusala nimetus2]],Table4[[Tegevusala nimetus]:[Tegevusala koondnimetus]],2,FALSE)</f>
        <v>Majandus</v>
      </c>
      <c r="F125" t="s">
        <v>624</v>
      </c>
      <c r="G125" t="s">
        <v>2123</v>
      </c>
      <c r="H125" s="40">
        <v>500</v>
      </c>
      <c r="J125">
        <v>5540</v>
      </c>
      <c r="K125" s="3" t="str">
        <f>VLOOKUP(Table2[[#This Row],[Konto]],Table5[[Konto]:[Konto nimetus]],2,FALSE)</f>
        <v>Mitmesugused majanduskulud</v>
      </c>
      <c r="L125">
        <v>55</v>
      </c>
      <c r="M125" t="str">
        <f t="shared" si="3"/>
        <v>55</v>
      </c>
      <c r="N125" s="3" t="str">
        <f>VLOOKUP(Table2[[#This Row],[Tulu/kulu liik2]],Table5[[Tulu/kulu liik]:[Kontode koondnimetus]],4,FALSE)</f>
        <v>Muud tegevuskulud</v>
      </c>
      <c r="O125" s="34" t="str">
        <f>VLOOKUP(Table2[[#This Row],[Tulu/kulu liik2]],Table5[],6,FALSE)</f>
        <v>Majandamiskulud</v>
      </c>
      <c r="P125" s="3" t="str">
        <f>VLOOKUP(Table2[[#This Row],[Tulu/kulu liik2]],Table5[],5,FALSE)</f>
        <v>Põhitegevuse kulu</v>
      </c>
    </row>
    <row r="126" spans="1:16" x14ac:dyDescent="0.25">
      <c r="A126" t="str">
        <f t="shared" si="2"/>
        <v>04</v>
      </c>
      <c r="B126" t="s">
        <v>34</v>
      </c>
      <c r="C126" s="3" t="str">
        <f>VLOOKUP(Table2[[#This Row],[Tegevusala]],Table4[],2,FALSE)</f>
        <v xml:space="preserve"> Muu majandus (sh majanduse haldus)</v>
      </c>
      <c r="D126" s="3" t="str">
        <f>VLOOKUP(Table2[[#This Row],[Tegevusala]],Table4[[Tegevusala kood]:[Tegevusala alanimetus]],4,FALSE)</f>
        <v>Muu majandus (sh majanduse haldus)</v>
      </c>
      <c r="E126" s="3" t="str">
        <f>VLOOKUP(Table2[[#This Row],[Tegevusala nimetus2]],Table4[[Tegevusala nimetus]:[Tegevusala koondnimetus]],2,FALSE)</f>
        <v>Majandus</v>
      </c>
      <c r="F126" t="s">
        <v>624</v>
      </c>
      <c r="G126" t="s">
        <v>2124</v>
      </c>
      <c r="H126" s="40">
        <v>250</v>
      </c>
      <c r="J126">
        <v>601</v>
      </c>
      <c r="K126" s="3" t="str">
        <f>VLOOKUP(Table2[[#This Row],[Konto]],Table5[[Konto]:[Konto nimetus]],2,FALSE)</f>
        <v>Maksu-, riigilõivu- ja trahvikulud</v>
      </c>
      <c r="L126">
        <v>60</v>
      </c>
      <c r="M126" t="str">
        <f t="shared" si="3"/>
        <v>60</v>
      </c>
      <c r="N126" s="3" t="str">
        <f>VLOOKUP(Table2[[#This Row],[Tulu/kulu liik2]],Table5[[Tulu/kulu liik]:[Kontode koondnimetus]],4,FALSE)</f>
        <v>Muud tegevuskulud</v>
      </c>
      <c r="O126" s="34" t="str">
        <f>VLOOKUP(Table2[[#This Row],[Tulu/kulu liik2]],Table5[],6,FALSE)</f>
        <v>Muud kulud</v>
      </c>
      <c r="P126" s="3" t="str">
        <f>VLOOKUP(Table2[[#This Row],[Tulu/kulu liik2]],Table5[],5,FALSE)</f>
        <v>Põhitegevuse kulu</v>
      </c>
    </row>
    <row r="127" spans="1:16" x14ac:dyDescent="0.25">
      <c r="A127" t="str">
        <f t="shared" si="2"/>
        <v>05</v>
      </c>
      <c r="B127" t="s">
        <v>36</v>
      </c>
      <c r="C127" s="3" t="str">
        <f>VLOOKUP(Table2[[#This Row],[Tegevusala]],Table4[],2,FALSE)</f>
        <v xml:space="preserve"> Jäätmekäitlus</v>
      </c>
      <c r="D127" s="3" t="str">
        <f>VLOOKUP(Table2[[#This Row],[Tegevusala]],Table4[[Tegevusala kood]:[Tegevusala alanimetus]],4,FALSE)</f>
        <v>Jäätmekäitlus</v>
      </c>
      <c r="E127" s="3" t="str">
        <f>VLOOKUP(Table2[[#This Row],[Tegevusala nimetus2]],Table4[[Tegevusala nimetus]:[Tegevusala koondnimetus]],2,FALSE)</f>
        <v>Keskkonnakaitse</v>
      </c>
      <c r="F127" t="s">
        <v>1043</v>
      </c>
      <c r="G127" t="s">
        <v>1912</v>
      </c>
      <c r="H127" s="40">
        <v>2000</v>
      </c>
      <c r="J127">
        <v>5511</v>
      </c>
      <c r="K127" s="3" t="str">
        <f>VLOOKUP(Table2[[#This Row],[Konto]],Table5[[Konto]:[Konto nimetus]],2,FALSE)</f>
        <v>Kinnistute, hoonete ja ruumide majandamiskulud</v>
      </c>
      <c r="L127">
        <v>55</v>
      </c>
      <c r="M127" t="str">
        <f t="shared" si="3"/>
        <v>55</v>
      </c>
      <c r="N127" s="3" t="str">
        <f>VLOOKUP(Table2[[#This Row],[Tulu/kulu liik2]],Table5[[Tulu/kulu liik]:[Kontode koondnimetus]],4,FALSE)</f>
        <v>Muud tegevuskulud</v>
      </c>
      <c r="O127" s="3" t="str">
        <f>VLOOKUP(Table2[[#This Row],[Tulu/kulu liik2]],Table5[],6,FALSE)</f>
        <v>Majandamiskulud</v>
      </c>
      <c r="P127" s="3" t="str">
        <f>VLOOKUP(Table2[[#This Row],[Tulu/kulu liik2]],Table5[],5,FALSE)</f>
        <v>Põhitegevuse kulu</v>
      </c>
    </row>
    <row r="128" spans="1:16" x14ac:dyDescent="0.25">
      <c r="A128" t="str">
        <f t="shared" si="2"/>
        <v>05</v>
      </c>
      <c r="B128" t="s">
        <v>36</v>
      </c>
      <c r="C128" s="3" t="str">
        <f>VLOOKUP(Table2[[#This Row],[Tegevusala]],Table4[],2,FALSE)</f>
        <v xml:space="preserve"> Jäätmekäitlus</v>
      </c>
      <c r="D128" s="3" t="str">
        <f>VLOOKUP(Table2[[#This Row],[Tegevusala]],Table4[[Tegevusala kood]:[Tegevusala alanimetus]],4,FALSE)</f>
        <v>Jäätmekäitlus</v>
      </c>
      <c r="E128" s="3" t="str">
        <f>VLOOKUP(Table2[[#This Row],[Tegevusala nimetus2]],Table4[[Tegevusala nimetus]:[Tegevusala koondnimetus]],2,FALSE)</f>
        <v>Keskkonnakaitse</v>
      </c>
      <c r="F128" t="s">
        <v>1043</v>
      </c>
      <c r="G128" t="s">
        <v>1913</v>
      </c>
      <c r="H128" s="40">
        <f>37.2*12</f>
        <v>446.40000000000003</v>
      </c>
      <c r="J128">
        <v>5514</v>
      </c>
      <c r="K128" s="3" t="str">
        <f>VLOOKUP(Table2[[#This Row],[Konto]],Table5[[Konto]:[Konto nimetus]],2,FALSE)</f>
        <v>Info- ja kommunikatsioonitehnoliigised kulud</v>
      </c>
      <c r="L128">
        <v>55</v>
      </c>
      <c r="M128" t="str">
        <f t="shared" si="3"/>
        <v>55</v>
      </c>
      <c r="N128" s="3" t="str">
        <f>VLOOKUP(Table2[[#This Row],[Tulu/kulu liik2]],Table5[[Tulu/kulu liik]:[Kontode koondnimetus]],4,FALSE)</f>
        <v>Muud tegevuskulud</v>
      </c>
      <c r="O128" s="3" t="str">
        <f>VLOOKUP(Table2[[#This Row],[Tulu/kulu liik2]],Table5[],6,FALSE)</f>
        <v>Majandamiskulud</v>
      </c>
      <c r="P128" s="3" t="str">
        <f>VLOOKUP(Table2[[#This Row],[Tulu/kulu liik2]],Table5[],5,FALSE)</f>
        <v>Põhitegevuse kulu</v>
      </c>
    </row>
    <row r="129" spans="1:16" ht="75" x14ac:dyDescent="0.25">
      <c r="A129" t="str">
        <f t="shared" si="2"/>
        <v>05</v>
      </c>
      <c r="B129" t="s">
        <v>38</v>
      </c>
      <c r="C129" s="3" t="str">
        <f>VLOOKUP(Table2[[#This Row],[Tegevusala]],Table4[],2,FALSE)</f>
        <v>Muu keskkonnakaitse (sh keskkonnakaitse haldus)</v>
      </c>
      <c r="D129" s="3" t="str">
        <f>VLOOKUP(Table2[[#This Row],[Tegevusala]],Table4[[Tegevusala kood]:[Tegevusala alanimetus]],4,FALSE)</f>
        <v>Muu keskkonnakaitse (sh keskkonnakaitse haldus)</v>
      </c>
      <c r="E129" s="3" t="str">
        <f>VLOOKUP(Table2[[#This Row],[Tegevusala nimetus2]],Table4[[Tegevusala nimetus]:[Tegevusala koondnimetus]],2,FALSE)</f>
        <v>Keskkonnakaitse</v>
      </c>
      <c r="F129" t="s">
        <v>1043</v>
      </c>
      <c r="G129" s="54" t="s">
        <v>1917</v>
      </c>
      <c r="H129" s="40">
        <v>10107.200000000001</v>
      </c>
      <c r="J129">
        <v>5511</v>
      </c>
      <c r="K129" s="3" t="str">
        <f>VLOOKUP(Table2[[#This Row],[Konto]],Table5[[Konto]:[Konto nimetus]],2,FALSE)</f>
        <v>Kinnistute, hoonete ja ruumide majandamiskulud</v>
      </c>
      <c r="L129">
        <v>55</v>
      </c>
      <c r="M129" t="str">
        <f t="shared" si="3"/>
        <v>55</v>
      </c>
      <c r="N129" s="3" t="str">
        <f>VLOOKUP(Table2[[#This Row],[Tulu/kulu liik2]],Table5[[Tulu/kulu liik]:[Kontode koondnimetus]],4,FALSE)</f>
        <v>Muud tegevuskulud</v>
      </c>
      <c r="O129" s="3" t="str">
        <f>VLOOKUP(Table2[[#This Row],[Tulu/kulu liik2]],Table5[],6,FALSE)</f>
        <v>Majandamiskulud</v>
      </c>
      <c r="P129" s="3" t="str">
        <f>VLOOKUP(Table2[[#This Row],[Tulu/kulu liik2]],Table5[],5,FALSE)</f>
        <v>Põhitegevuse kulu</v>
      </c>
    </row>
    <row r="130" spans="1:16" x14ac:dyDescent="0.25">
      <c r="A130" t="str">
        <f t="shared" ref="A130:A193" si="4">LEFT(B130,2)</f>
        <v>05</v>
      </c>
      <c r="B130" t="s">
        <v>38</v>
      </c>
      <c r="C130" s="3" t="str">
        <f>VLOOKUP(Table2[[#This Row],[Tegevusala]],Table4[],2,FALSE)</f>
        <v>Muu keskkonnakaitse (sh keskkonnakaitse haldus)</v>
      </c>
      <c r="D130" s="3" t="str">
        <f>VLOOKUP(Table2[[#This Row],[Tegevusala]],Table4[[Tegevusala kood]:[Tegevusala alanimetus]],4,FALSE)</f>
        <v>Muu keskkonnakaitse (sh keskkonnakaitse haldus)</v>
      </c>
      <c r="E130" s="3" t="str">
        <f>VLOOKUP(Table2[[#This Row],[Tegevusala nimetus2]],Table4[[Tegevusala nimetus]:[Tegevusala koondnimetus]],2,FALSE)</f>
        <v>Keskkonnakaitse</v>
      </c>
      <c r="F130" t="s">
        <v>1043</v>
      </c>
      <c r="G130" t="s">
        <v>1914</v>
      </c>
      <c r="H130" s="40">
        <f>12*37.2</f>
        <v>446.40000000000003</v>
      </c>
      <c r="J130">
        <v>5514</v>
      </c>
      <c r="K130" s="3" t="str">
        <f>VLOOKUP(Table2[[#This Row],[Konto]],Table5[[Konto]:[Konto nimetus]],2,FALSE)</f>
        <v>Info- ja kommunikatsioonitehnoliigised kulud</v>
      </c>
      <c r="L130">
        <v>55</v>
      </c>
      <c r="M130" t="str">
        <f t="shared" ref="M130:M193" si="5">LEFT(J130,2)</f>
        <v>55</v>
      </c>
      <c r="N130" s="3" t="str">
        <f>VLOOKUP(Table2[[#This Row],[Tulu/kulu liik2]],Table5[[Tulu/kulu liik]:[Kontode koondnimetus]],4,FALSE)</f>
        <v>Muud tegevuskulud</v>
      </c>
      <c r="O130" s="3" t="str">
        <f>VLOOKUP(Table2[[#This Row],[Tulu/kulu liik2]],Table5[],6,FALSE)</f>
        <v>Majandamiskulud</v>
      </c>
      <c r="P130" s="3" t="str">
        <f>VLOOKUP(Table2[[#This Row],[Tulu/kulu liik2]],Table5[],5,FALSE)</f>
        <v>Põhitegevuse kulu</v>
      </c>
    </row>
    <row r="131" spans="1:16" hidden="1" x14ac:dyDescent="0.25">
      <c r="A131" t="str">
        <f t="shared" si="4"/>
        <v>06</v>
      </c>
      <c r="B131" t="s">
        <v>39</v>
      </c>
      <c r="C131" s="3" t="str">
        <f>VLOOKUP(Table2[[#This Row],[Tegevusala]],Table4[],2,FALSE)</f>
        <v>Veevarustus</v>
      </c>
      <c r="D131" s="3" t="str">
        <f>VLOOKUP(Table2[[#This Row],[Tegevusala]],Table4[[Tegevusala kood]:[Tegevusala alanimetus]],4,FALSE)</f>
        <v>Veevarustus</v>
      </c>
      <c r="E131" s="3" t="str">
        <f>VLOOKUP(Table2[[#This Row],[Tegevusala nimetus2]],Table4[[Tegevusala nimetus]:[Tegevusala koondnimetus]],2,FALSE)</f>
        <v>Elamu- ja kommunaalmajandus</v>
      </c>
      <c r="F131" t="s">
        <v>841</v>
      </c>
      <c r="G131" t="s">
        <v>2046</v>
      </c>
      <c r="H131" s="40">
        <v>68000</v>
      </c>
      <c r="J131">
        <v>1551</v>
      </c>
      <c r="K131" s="3" t="str">
        <f>VLOOKUP(Table2[[#This Row],[Konto]],Table5[[Konto]:[Konto nimetus]],2,FALSE)</f>
        <v>Rajatiste ja hoonete soetamine ja renoveerimine</v>
      </c>
      <c r="L131">
        <v>15</v>
      </c>
      <c r="M131" t="str">
        <f t="shared" si="5"/>
        <v>15</v>
      </c>
      <c r="N131" s="3" t="str">
        <f>VLOOKUP(Table2[[#This Row],[Tulu/kulu liik2]],Table5[[Tulu/kulu liik]:[Kontode koondnimetus]],4,FALSE)</f>
        <v>Põhivara soetus (-)</v>
      </c>
      <c r="O131" s="34" t="str">
        <f>VLOOKUP(Table2[[#This Row],[Tulu/kulu liik2]],Table5[],6,FALSE)</f>
        <v>Põhivara soetus (-)</v>
      </c>
      <c r="P131" s="3" t="str">
        <f>VLOOKUP(Table2[[#This Row],[Tulu/kulu liik2]],Table5[],5,FALSE)</f>
        <v>Investeerimistegevus</v>
      </c>
    </row>
    <row r="132" spans="1:16" hidden="1" x14ac:dyDescent="0.25">
      <c r="A132" s="33" t="str">
        <f t="shared" si="4"/>
        <v>06</v>
      </c>
      <c r="B132" s="33" t="s">
        <v>39</v>
      </c>
      <c r="C132" s="34" t="str">
        <f>VLOOKUP(Table2[[#This Row],[Tegevusala]],Table4[],2,FALSE)</f>
        <v>Veevarustus</v>
      </c>
      <c r="D132" s="34" t="str">
        <f>VLOOKUP(Table2[[#This Row],[Tegevusala]],Table4[[Tegevusala kood]:[Tegevusala alanimetus]],4,FALSE)</f>
        <v>Veevarustus</v>
      </c>
      <c r="E132" s="34" t="str">
        <f>VLOOKUP(Table2[[#This Row],[Tegevusala nimetus2]],Table4[[Tegevusala nimetus]:[Tegevusala koondnimetus]],2,FALSE)</f>
        <v>Elamu- ja kommunaalmajandus</v>
      </c>
      <c r="F132" s="33" t="s">
        <v>648</v>
      </c>
      <c r="G132" s="33" t="s">
        <v>2049</v>
      </c>
      <c r="H132" s="47">
        <v>200000</v>
      </c>
      <c r="I132" s="35"/>
      <c r="J132" s="33">
        <v>1551</v>
      </c>
      <c r="K132" s="34" t="str">
        <f>VLOOKUP(Table2[[#This Row],[Konto]],Table5[[Konto]:[Konto nimetus]],2,FALSE)</f>
        <v>Rajatiste ja hoonete soetamine ja renoveerimine</v>
      </c>
      <c r="L132" s="33">
        <v>15</v>
      </c>
      <c r="M132" s="33" t="str">
        <f t="shared" si="5"/>
        <v>15</v>
      </c>
      <c r="N132" s="34" t="str">
        <f>VLOOKUP(Table2[[#This Row],[Tulu/kulu liik2]],Table5[[Tulu/kulu liik]:[Kontode koondnimetus]],4,FALSE)</f>
        <v>Põhivara soetus (-)</v>
      </c>
      <c r="O132" s="34" t="str">
        <f>VLOOKUP(Table2[[#This Row],[Tulu/kulu liik2]],Table5[],6,FALSE)</f>
        <v>Põhivara soetus (-)</v>
      </c>
      <c r="P132" s="34" t="str">
        <f>VLOOKUP(Table2[[#This Row],[Tulu/kulu liik2]],Table5[],5,FALSE)</f>
        <v>Investeerimistegevus</v>
      </c>
    </row>
    <row r="133" spans="1:16" x14ac:dyDescent="0.25">
      <c r="A133" t="str">
        <f t="shared" si="4"/>
        <v>06</v>
      </c>
      <c r="B133" t="s">
        <v>40</v>
      </c>
      <c r="C133" s="3" t="str">
        <f>VLOOKUP(Table2[[#This Row],[Tegevusala]],Table4[],2,FALSE)</f>
        <v>Tänavavalgustus</v>
      </c>
      <c r="D133" s="3" t="str">
        <f>VLOOKUP(Table2[[#This Row],[Tegevusala]],Table4[[Tegevusala kood]:[Tegevusala alanimetus]],4,FALSE)</f>
        <v>Tänavavalgustus</v>
      </c>
      <c r="E133" s="3" t="str">
        <f>VLOOKUP(Table2[[#This Row],[Tegevusala nimetus2]],Table4[[Tegevusala nimetus]:[Tegevusala koondnimetus]],2,FALSE)</f>
        <v>Elamu- ja kommunaalmajandus</v>
      </c>
      <c r="F133" s="14" t="s">
        <v>841</v>
      </c>
      <c r="G133" t="s">
        <v>844</v>
      </c>
      <c r="H133" s="40">
        <v>53000</v>
      </c>
      <c r="J133">
        <v>5512</v>
      </c>
      <c r="K133" s="3" t="str">
        <f>VLOOKUP(Table2[[#This Row],[Konto]],Table5[[Konto]:[Konto nimetus]],2,FALSE)</f>
        <v>Rajatiste majandamiskulud</v>
      </c>
      <c r="L133">
        <v>55</v>
      </c>
      <c r="M133" t="str">
        <f t="shared" si="5"/>
        <v>55</v>
      </c>
      <c r="N133" s="3" t="str">
        <f>VLOOKUP(Table2[[#This Row],[Tulu/kulu liik2]],Table5[[Tulu/kulu liik]:[Kontode koondnimetus]],4,FALSE)</f>
        <v>Muud tegevuskulud</v>
      </c>
      <c r="O133" s="3" t="str">
        <f>VLOOKUP(Table2[[#This Row],[Tulu/kulu liik2]],Table5[],6,FALSE)</f>
        <v>Majandamiskulud</v>
      </c>
      <c r="P133" s="3" t="str">
        <f>VLOOKUP(Table2[[#This Row],[Tulu/kulu liik2]],Table5[],5,FALSE)</f>
        <v>Põhitegevuse kulu</v>
      </c>
    </row>
    <row r="134" spans="1:16" hidden="1" x14ac:dyDescent="0.25">
      <c r="A134" t="str">
        <f t="shared" si="4"/>
        <v>06</v>
      </c>
      <c r="B134" t="s">
        <v>40</v>
      </c>
      <c r="C134" s="3" t="str">
        <f>VLOOKUP(Table2[[#This Row],[Tegevusala]],Table4[],2,FALSE)</f>
        <v>Tänavavalgustus</v>
      </c>
      <c r="D134" s="3" t="str">
        <f>VLOOKUP(Table2[[#This Row],[Tegevusala]],Table4[[Tegevusala kood]:[Tegevusala alanimetus]],4,FALSE)</f>
        <v>Tänavavalgustus</v>
      </c>
      <c r="E134" s="3" t="str">
        <f>VLOOKUP(Table2[[#This Row],[Tegevusala nimetus2]],Table4[[Tegevusala nimetus]:[Tegevusala koondnimetus]],2,FALSE)</f>
        <v>Elamu- ja kommunaalmajandus</v>
      </c>
      <c r="F134" s="14" t="s">
        <v>841</v>
      </c>
      <c r="G134" t="s">
        <v>851</v>
      </c>
      <c r="H134" s="40">
        <v>230000</v>
      </c>
      <c r="J134">
        <v>1551</v>
      </c>
      <c r="K134" s="3" t="str">
        <f>VLOOKUP(Table2[[#This Row],[Konto]],Table5[[Konto]:[Konto nimetus]],2,FALSE)</f>
        <v>Rajatiste ja hoonete soetamine ja renoveerimine</v>
      </c>
      <c r="L134">
        <v>15</v>
      </c>
      <c r="M134" t="str">
        <f t="shared" si="5"/>
        <v>15</v>
      </c>
      <c r="N134" s="3" t="str">
        <f>VLOOKUP(Table2[[#This Row],[Tulu/kulu liik2]],Table5[[Tulu/kulu liik]:[Kontode koondnimetus]],4,FALSE)</f>
        <v>Põhivara soetus (-)</v>
      </c>
      <c r="O134" s="3" t="str">
        <f>VLOOKUP(Table2[[#This Row],[Tulu/kulu liik2]],Table5[],6,FALSE)</f>
        <v>Põhivara soetus (-)</v>
      </c>
      <c r="P134" s="3" t="str">
        <f>VLOOKUP(Table2[[#This Row],[Tulu/kulu liik2]],Table5[],5,FALSE)</f>
        <v>Investeerimistegevus</v>
      </c>
    </row>
    <row r="135" spans="1:16" hidden="1" x14ac:dyDescent="0.25">
      <c r="A135" t="str">
        <f t="shared" si="4"/>
        <v>06</v>
      </c>
      <c r="B135" t="s">
        <v>40</v>
      </c>
      <c r="C135" s="3" t="str">
        <f>VLOOKUP(Table2[[#This Row],[Tegevusala]],Table4[],2,FALSE)</f>
        <v>Tänavavalgustus</v>
      </c>
      <c r="D135" s="3" t="str">
        <f>VLOOKUP(Table2[[#This Row],[Tegevusala]],Table4[[Tegevusala kood]:[Tegevusala alanimetus]],4,FALSE)</f>
        <v>Tänavavalgustus</v>
      </c>
      <c r="E135" s="3" t="str">
        <f>VLOOKUP(Table2[[#This Row],[Tegevusala nimetus2]],Table4[[Tegevusala nimetus]:[Tegevusala koondnimetus]],2,FALSE)</f>
        <v>Elamu- ja kommunaalmajandus</v>
      </c>
      <c r="F135" s="14" t="s">
        <v>841</v>
      </c>
      <c r="G135" t="s">
        <v>851</v>
      </c>
      <c r="H135" s="40">
        <v>470000</v>
      </c>
      <c r="I135" s="2" t="s">
        <v>852</v>
      </c>
      <c r="J135">
        <v>1551</v>
      </c>
      <c r="K135" s="3" t="str">
        <f>VLOOKUP(Table2[[#This Row],[Konto]],Table5[[Konto]:[Konto nimetus]],2,FALSE)</f>
        <v>Rajatiste ja hoonete soetamine ja renoveerimine</v>
      </c>
      <c r="L135">
        <v>15</v>
      </c>
      <c r="M135" t="str">
        <f t="shared" si="5"/>
        <v>15</v>
      </c>
      <c r="N135" s="3" t="str">
        <f>VLOOKUP(Table2[[#This Row],[Tulu/kulu liik2]],Table5[[Tulu/kulu liik]:[Kontode koondnimetus]],4,FALSE)</f>
        <v>Põhivara soetus (-)</v>
      </c>
      <c r="O135" s="3" t="str">
        <f>VLOOKUP(Table2[[#This Row],[Tulu/kulu liik2]],Table5[],6,FALSE)</f>
        <v>Põhivara soetus (-)</v>
      </c>
      <c r="P135" s="3" t="str">
        <f>VLOOKUP(Table2[[#This Row],[Tulu/kulu liik2]],Table5[],5,FALSE)</f>
        <v>Investeerimistegevus</v>
      </c>
    </row>
    <row r="136" spans="1:16" hidden="1" x14ac:dyDescent="0.25">
      <c r="A136" t="str">
        <f t="shared" si="4"/>
        <v>06</v>
      </c>
      <c r="B136" t="s">
        <v>40</v>
      </c>
      <c r="C136" s="3" t="str">
        <f>VLOOKUP(Table2[[#This Row],[Tegevusala]],Table4[],2,FALSE)</f>
        <v>Tänavavalgustus</v>
      </c>
      <c r="D136" s="3" t="str">
        <f>VLOOKUP(Table2[[#This Row],[Tegevusala]],Table4[[Tegevusala kood]:[Tegevusala alanimetus]],4,FALSE)</f>
        <v>Tänavavalgustus</v>
      </c>
      <c r="E136" s="3" t="str">
        <f>VLOOKUP(Table2[[#This Row],[Tegevusala nimetus2]],Table4[[Tegevusala nimetus]:[Tegevusala koondnimetus]],2,FALSE)</f>
        <v>Elamu- ja kommunaalmajandus</v>
      </c>
      <c r="F136" s="14" t="s">
        <v>841</v>
      </c>
      <c r="G136" s="2" t="s">
        <v>852</v>
      </c>
      <c r="H136" s="40">
        <v>-470000</v>
      </c>
      <c r="J136">
        <v>20385</v>
      </c>
      <c r="K136" s="3" t="str">
        <f>VLOOKUP(Table2[[#This Row],[Konto]],Table5[[Konto]:[Konto nimetus]],2,FALSE)</f>
        <v>Põhivara soetuseks saadav sihtfinantseerimine</v>
      </c>
      <c r="L136">
        <v>3502</v>
      </c>
      <c r="M136" t="str">
        <f t="shared" si="5"/>
        <v>20</v>
      </c>
      <c r="N136" s="3" t="str">
        <f>VLOOKUP(Table2[[#This Row],[Tulu/kulu liik2]],Table5[[Tulu/kulu liik]:[Kontode koondnimetus]],4,FALSE)</f>
        <v>Põhivara soetuseks saadav sihtfinantseerimine (+)</v>
      </c>
      <c r="O136" s="3" t="str">
        <f>VLOOKUP(Table2[[#This Row],[Tulu/kulu liik2]],Table5[],6,FALSE)</f>
        <v>Põhivara soetuseks saadav sihtfinantseerimine (+)</v>
      </c>
      <c r="P136" s="3" t="str">
        <f>VLOOKUP(Table2[[#This Row],[Tulu/kulu liik2]],Table5[],5,FALSE)</f>
        <v>Investeerimistegevus</v>
      </c>
    </row>
    <row r="137" spans="1:16" x14ac:dyDescent="0.25">
      <c r="A137" t="str">
        <f t="shared" si="4"/>
        <v>06</v>
      </c>
      <c r="B137" t="s">
        <v>254</v>
      </c>
      <c r="C137" s="3" t="str">
        <f>VLOOKUP(Table2[[#This Row],[Tegevusala]],Table4[],2,FALSE)</f>
        <v>Laekvere halduspiirkond</v>
      </c>
      <c r="D137" s="3" t="str">
        <f>VLOOKUP(Table2[[#This Row],[Tegevusala]],Table4[[Tegevusala kood]:[Tegevusala alanimetus]],4,FALSE)</f>
        <v>Muu elamu- ja kommunaalmajanduse tegevus</v>
      </c>
      <c r="E137" s="3" t="str">
        <f>VLOOKUP(Table2[[#This Row],[Tegevusala nimetus2]],Table4[[Tegevusala nimetus]:[Tegevusala koondnimetus]],2,FALSE)</f>
        <v>Elamu- ja kommunaalmajandus</v>
      </c>
      <c r="F137" t="s">
        <v>850</v>
      </c>
      <c r="G137" t="s">
        <v>866</v>
      </c>
      <c r="H137" s="40">
        <v>1100</v>
      </c>
      <c r="I137" s="2" t="s">
        <v>867</v>
      </c>
      <c r="J137">
        <v>5511</v>
      </c>
      <c r="K137" s="3" t="str">
        <f>VLOOKUP(Table2[[#This Row],[Konto]],Table5[[Konto]:[Konto nimetus]],2,FALSE)</f>
        <v>Kinnistute, hoonete ja ruumide majandamiskulud</v>
      </c>
      <c r="L137">
        <v>55</v>
      </c>
      <c r="M137" t="str">
        <f t="shared" si="5"/>
        <v>55</v>
      </c>
      <c r="N137" s="3" t="str">
        <f>VLOOKUP(Table2[[#This Row],[Tulu/kulu liik2]],Table5[[Tulu/kulu liik]:[Kontode koondnimetus]],4,FALSE)</f>
        <v>Muud tegevuskulud</v>
      </c>
      <c r="O137" s="3" t="str">
        <f>VLOOKUP(Table2[[#This Row],[Tulu/kulu liik2]],Table5[],6,FALSE)</f>
        <v>Majandamiskulud</v>
      </c>
      <c r="P137" s="3" t="str">
        <f>VLOOKUP(Table2[[#This Row],[Tulu/kulu liik2]],Table5[],5,FALSE)</f>
        <v>Põhitegevuse kulu</v>
      </c>
    </row>
    <row r="138" spans="1:16" x14ac:dyDescent="0.25">
      <c r="A138" t="str">
        <f t="shared" si="4"/>
        <v>06</v>
      </c>
      <c r="B138" t="s">
        <v>254</v>
      </c>
      <c r="C138" s="3" t="str">
        <f>VLOOKUP(Table2[[#This Row],[Tegevusala]],Table4[],2,FALSE)</f>
        <v>Laekvere halduspiirkond</v>
      </c>
      <c r="D138" s="3" t="str">
        <f>VLOOKUP(Table2[[#This Row],[Tegevusala]],Table4[[Tegevusala kood]:[Tegevusala alanimetus]],4,FALSE)</f>
        <v>Muu elamu- ja kommunaalmajanduse tegevus</v>
      </c>
      <c r="E138" s="3" t="str">
        <f>VLOOKUP(Table2[[#This Row],[Tegevusala nimetus2]],Table4[[Tegevusala nimetus]:[Tegevusala koondnimetus]],2,FALSE)</f>
        <v>Elamu- ja kommunaalmajandus</v>
      </c>
      <c r="F138" t="s">
        <v>850</v>
      </c>
      <c r="G138" t="s">
        <v>868</v>
      </c>
      <c r="H138" s="40">
        <v>4500</v>
      </c>
      <c r="I138" s="2" t="s">
        <v>869</v>
      </c>
      <c r="J138">
        <v>5511</v>
      </c>
      <c r="K138" s="3" t="str">
        <f>VLOOKUP(Table2[[#This Row],[Konto]],Table5[[Konto]:[Konto nimetus]],2,FALSE)</f>
        <v>Kinnistute, hoonete ja ruumide majandamiskulud</v>
      </c>
      <c r="L138">
        <v>55</v>
      </c>
      <c r="M138" t="str">
        <f t="shared" si="5"/>
        <v>55</v>
      </c>
      <c r="N138" s="3" t="str">
        <f>VLOOKUP(Table2[[#This Row],[Tulu/kulu liik2]],Table5[[Tulu/kulu liik]:[Kontode koondnimetus]],4,FALSE)</f>
        <v>Muud tegevuskulud</v>
      </c>
      <c r="O138" s="3" t="str">
        <f>VLOOKUP(Table2[[#This Row],[Tulu/kulu liik2]],Table5[],6,FALSE)</f>
        <v>Majandamiskulud</v>
      </c>
      <c r="P138" s="3" t="str">
        <f>VLOOKUP(Table2[[#This Row],[Tulu/kulu liik2]],Table5[],5,FALSE)</f>
        <v>Põhitegevuse kulu</v>
      </c>
    </row>
    <row r="139" spans="1:16" x14ac:dyDescent="0.25">
      <c r="A139" t="str">
        <f t="shared" si="4"/>
        <v>06</v>
      </c>
      <c r="B139" t="s">
        <v>254</v>
      </c>
      <c r="C139" s="3" t="str">
        <f>VLOOKUP(Table2[[#This Row],[Tegevusala]],Table4[],2,FALSE)</f>
        <v>Laekvere halduspiirkond</v>
      </c>
      <c r="D139" s="3" t="str">
        <f>VLOOKUP(Table2[[#This Row],[Tegevusala]],Table4[[Tegevusala kood]:[Tegevusala alanimetus]],4,FALSE)</f>
        <v>Muu elamu- ja kommunaalmajanduse tegevus</v>
      </c>
      <c r="E139" s="3" t="str">
        <f>VLOOKUP(Table2[[#This Row],[Tegevusala nimetus2]],Table4[[Tegevusala nimetus]:[Tegevusala koondnimetus]],2,FALSE)</f>
        <v>Elamu- ja kommunaalmajandus</v>
      </c>
      <c r="F139" t="s">
        <v>850</v>
      </c>
      <c r="G139" s="33" t="s">
        <v>870</v>
      </c>
      <c r="H139" s="47">
        <v>10000</v>
      </c>
      <c r="I139" s="35" t="s">
        <v>871</v>
      </c>
      <c r="J139">
        <v>5511</v>
      </c>
      <c r="K139" s="3" t="str">
        <f>VLOOKUP(Table2[[#This Row],[Konto]],Table5[[Konto]:[Konto nimetus]],2,FALSE)</f>
        <v>Kinnistute, hoonete ja ruumide majandamiskulud</v>
      </c>
      <c r="L139">
        <v>55</v>
      </c>
      <c r="M139" t="str">
        <f t="shared" si="5"/>
        <v>55</v>
      </c>
      <c r="N139" s="3" t="str">
        <f>VLOOKUP(Table2[[#This Row],[Tulu/kulu liik2]],Table5[[Tulu/kulu liik]:[Kontode koondnimetus]],4,FALSE)</f>
        <v>Muud tegevuskulud</v>
      </c>
      <c r="O139" s="3" t="str">
        <f>VLOOKUP(Table2[[#This Row],[Tulu/kulu liik2]],Table5[],6,FALSE)</f>
        <v>Majandamiskulud</v>
      </c>
      <c r="P139" s="3" t="str">
        <f>VLOOKUP(Table2[[#This Row],[Tulu/kulu liik2]],Table5[],5,FALSE)</f>
        <v>Põhitegevuse kulu</v>
      </c>
    </row>
    <row r="140" spans="1:16" x14ac:dyDescent="0.25">
      <c r="A140" t="str">
        <f t="shared" si="4"/>
        <v>06</v>
      </c>
      <c r="B140" t="s">
        <v>254</v>
      </c>
      <c r="C140" s="3" t="str">
        <f>VLOOKUP(Table2[[#This Row],[Tegevusala]],Table4[],2,FALSE)</f>
        <v>Laekvere halduspiirkond</v>
      </c>
      <c r="D140" s="3" t="str">
        <f>VLOOKUP(Table2[[#This Row],[Tegevusala]],Table4[[Tegevusala kood]:[Tegevusala alanimetus]],4,FALSE)</f>
        <v>Muu elamu- ja kommunaalmajanduse tegevus</v>
      </c>
      <c r="E140" s="3" t="str">
        <f>VLOOKUP(Table2[[#This Row],[Tegevusala nimetus2]],Table4[[Tegevusala nimetus]:[Tegevusala koondnimetus]],2,FALSE)</f>
        <v>Elamu- ja kommunaalmajandus</v>
      </c>
      <c r="F140" t="s">
        <v>850</v>
      </c>
      <c r="G140" t="s">
        <v>872</v>
      </c>
      <c r="H140" s="40">
        <v>1700</v>
      </c>
      <c r="I140" s="2" t="s">
        <v>873</v>
      </c>
      <c r="J140">
        <v>5511</v>
      </c>
      <c r="K140" s="3" t="str">
        <f>VLOOKUP(Table2[[#This Row],[Konto]],Table5[[Konto]:[Konto nimetus]],2,FALSE)</f>
        <v>Kinnistute, hoonete ja ruumide majandamiskulud</v>
      </c>
      <c r="L140">
        <v>55</v>
      </c>
      <c r="M140" t="str">
        <f t="shared" si="5"/>
        <v>55</v>
      </c>
      <c r="N140" s="3" t="str">
        <f>VLOOKUP(Table2[[#This Row],[Tulu/kulu liik2]],Table5[[Tulu/kulu liik]:[Kontode koondnimetus]],4,FALSE)</f>
        <v>Muud tegevuskulud</v>
      </c>
      <c r="O140" s="3" t="str">
        <f>VLOOKUP(Table2[[#This Row],[Tulu/kulu liik2]],Table5[],6,FALSE)</f>
        <v>Majandamiskulud</v>
      </c>
      <c r="P140" s="3" t="str">
        <f>VLOOKUP(Table2[[#This Row],[Tulu/kulu liik2]],Table5[],5,FALSE)</f>
        <v>Põhitegevuse kulu</v>
      </c>
    </row>
    <row r="141" spans="1:16" x14ac:dyDescent="0.25">
      <c r="A141" t="str">
        <f t="shared" si="4"/>
        <v>06</v>
      </c>
      <c r="B141" t="s">
        <v>254</v>
      </c>
      <c r="C141" s="3" t="str">
        <f>VLOOKUP(Table2[[#This Row],[Tegevusala]],Table4[],2,FALSE)</f>
        <v>Laekvere halduspiirkond</v>
      </c>
      <c r="D141" s="3" t="str">
        <f>VLOOKUP(Table2[[#This Row],[Tegevusala]],Table4[[Tegevusala kood]:[Tegevusala alanimetus]],4,FALSE)</f>
        <v>Muu elamu- ja kommunaalmajanduse tegevus</v>
      </c>
      <c r="E141" s="3" t="str">
        <f>VLOOKUP(Table2[[#This Row],[Tegevusala nimetus2]],Table4[[Tegevusala nimetus]:[Tegevusala koondnimetus]],2,FALSE)</f>
        <v>Elamu- ja kommunaalmajandus</v>
      </c>
      <c r="F141" t="s">
        <v>850</v>
      </c>
      <c r="G141" t="s">
        <v>874</v>
      </c>
      <c r="H141" s="40">
        <v>550</v>
      </c>
      <c r="I141" s="2" t="s">
        <v>875</v>
      </c>
      <c r="J141">
        <v>5511</v>
      </c>
      <c r="K141" s="3" t="str">
        <f>VLOOKUP(Table2[[#This Row],[Konto]],Table5[[Konto]:[Konto nimetus]],2,FALSE)</f>
        <v>Kinnistute, hoonete ja ruumide majandamiskulud</v>
      </c>
      <c r="L141">
        <v>55</v>
      </c>
      <c r="M141" t="str">
        <f t="shared" si="5"/>
        <v>55</v>
      </c>
      <c r="N141" s="3" t="str">
        <f>VLOOKUP(Table2[[#This Row],[Tulu/kulu liik2]],Table5[[Tulu/kulu liik]:[Kontode koondnimetus]],4,FALSE)</f>
        <v>Muud tegevuskulud</v>
      </c>
      <c r="O141" s="3" t="str">
        <f>VLOOKUP(Table2[[#This Row],[Tulu/kulu liik2]],Table5[],6,FALSE)</f>
        <v>Majandamiskulud</v>
      </c>
      <c r="P141" s="3" t="str">
        <f>VLOOKUP(Table2[[#This Row],[Tulu/kulu liik2]],Table5[],5,FALSE)</f>
        <v>Põhitegevuse kulu</v>
      </c>
    </row>
    <row r="142" spans="1:16" x14ac:dyDescent="0.25">
      <c r="A142" t="str">
        <f t="shared" si="4"/>
        <v>06</v>
      </c>
      <c r="B142" t="s">
        <v>254</v>
      </c>
      <c r="C142" s="3" t="str">
        <f>VLOOKUP(Table2[[#This Row],[Tegevusala]],Table4[],2,FALSE)</f>
        <v>Laekvere halduspiirkond</v>
      </c>
      <c r="D142" s="3" t="str">
        <f>VLOOKUP(Table2[[#This Row],[Tegevusala]],Table4[[Tegevusala kood]:[Tegevusala alanimetus]],4,FALSE)</f>
        <v>Muu elamu- ja kommunaalmajanduse tegevus</v>
      </c>
      <c r="E142" s="3" t="str">
        <f>VLOOKUP(Table2[[#This Row],[Tegevusala nimetus2]],Table4[[Tegevusala nimetus]:[Tegevusala koondnimetus]],2,FALSE)</f>
        <v>Elamu- ja kommunaalmajandus</v>
      </c>
      <c r="F142" t="s">
        <v>850</v>
      </c>
      <c r="G142" t="s">
        <v>876</v>
      </c>
      <c r="H142" s="40">
        <v>120</v>
      </c>
      <c r="I142" s="2" t="s">
        <v>875</v>
      </c>
      <c r="J142">
        <v>5511</v>
      </c>
      <c r="K142" s="3" t="str">
        <f>VLOOKUP(Table2[[#This Row],[Konto]],Table5[[Konto]:[Konto nimetus]],2,FALSE)</f>
        <v>Kinnistute, hoonete ja ruumide majandamiskulud</v>
      </c>
      <c r="L142">
        <v>55</v>
      </c>
      <c r="M142" t="str">
        <f t="shared" si="5"/>
        <v>55</v>
      </c>
      <c r="N142" s="3" t="str">
        <f>VLOOKUP(Table2[[#This Row],[Tulu/kulu liik2]],Table5[[Tulu/kulu liik]:[Kontode koondnimetus]],4,FALSE)</f>
        <v>Muud tegevuskulud</v>
      </c>
      <c r="O142" s="3" t="str">
        <f>VLOOKUP(Table2[[#This Row],[Tulu/kulu liik2]],Table5[],6,FALSE)</f>
        <v>Majandamiskulud</v>
      </c>
      <c r="P142" s="3" t="str">
        <f>VLOOKUP(Table2[[#This Row],[Tulu/kulu liik2]],Table5[],5,FALSE)</f>
        <v>Põhitegevuse kulu</v>
      </c>
    </row>
    <row r="143" spans="1:16" x14ac:dyDescent="0.25">
      <c r="A143" t="str">
        <f t="shared" si="4"/>
        <v>06</v>
      </c>
      <c r="B143" t="s">
        <v>254</v>
      </c>
      <c r="C143" s="3" t="str">
        <f>VLOOKUP(Table2[[#This Row],[Tegevusala]],Table4[],2,FALSE)</f>
        <v>Laekvere halduspiirkond</v>
      </c>
      <c r="D143" s="3" t="str">
        <f>VLOOKUP(Table2[[#This Row],[Tegevusala]],Table4[[Tegevusala kood]:[Tegevusala alanimetus]],4,FALSE)</f>
        <v>Muu elamu- ja kommunaalmajanduse tegevus</v>
      </c>
      <c r="E143" s="3" t="str">
        <f>VLOOKUP(Table2[[#This Row],[Tegevusala nimetus2]],Table4[[Tegevusala nimetus]:[Tegevusala koondnimetus]],2,FALSE)</f>
        <v>Elamu- ja kommunaalmajandus</v>
      </c>
      <c r="F143" t="s">
        <v>850</v>
      </c>
      <c r="G143" t="s">
        <v>877</v>
      </c>
      <c r="H143" s="40">
        <v>650</v>
      </c>
      <c r="I143" s="2" t="s">
        <v>878</v>
      </c>
      <c r="J143">
        <v>5511</v>
      </c>
      <c r="K143" s="3" t="str">
        <f>VLOOKUP(Table2[[#This Row],[Konto]],Table5[[Konto]:[Konto nimetus]],2,FALSE)</f>
        <v>Kinnistute, hoonete ja ruumide majandamiskulud</v>
      </c>
      <c r="L143">
        <v>55</v>
      </c>
      <c r="M143" t="str">
        <f t="shared" si="5"/>
        <v>55</v>
      </c>
      <c r="N143" s="3" t="str">
        <f>VLOOKUP(Table2[[#This Row],[Tulu/kulu liik2]],Table5[[Tulu/kulu liik]:[Kontode koondnimetus]],4,FALSE)</f>
        <v>Muud tegevuskulud</v>
      </c>
      <c r="O143" s="3" t="str">
        <f>VLOOKUP(Table2[[#This Row],[Tulu/kulu liik2]],Table5[],6,FALSE)</f>
        <v>Majandamiskulud</v>
      </c>
      <c r="P143" s="3" t="str">
        <f>VLOOKUP(Table2[[#This Row],[Tulu/kulu liik2]],Table5[],5,FALSE)</f>
        <v>Põhitegevuse kulu</v>
      </c>
    </row>
    <row r="144" spans="1:16" x14ac:dyDescent="0.25">
      <c r="A144" t="str">
        <f t="shared" si="4"/>
        <v>06</v>
      </c>
      <c r="B144" t="s">
        <v>254</v>
      </c>
      <c r="C144" s="3" t="str">
        <f>VLOOKUP(Table2[[#This Row],[Tegevusala]],Table4[],2,FALSE)</f>
        <v>Laekvere halduspiirkond</v>
      </c>
      <c r="D144" s="3" t="str">
        <f>VLOOKUP(Table2[[#This Row],[Tegevusala]],Table4[[Tegevusala kood]:[Tegevusala alanimetus]],4,FALSE)</f>
        <v>Muu elamu- ja kommunaalmajanduse tegevus</v>
      </c>
      <c r="E144" s="3" t="str">
        <f>VLOOKUP(Table2[[#This Row],[Tegevusala nimetus2]],Table4[[Tegevusala nimetus]:[Tegevusala koondnimetus]],2,FALSE)</f>
        <v>Elamu- ja kommunaalmajandus</v>
      </c>
      <c r="F144" t="s">
        <v>850</v>
      </c>
      <c r="G144" t="s">
        <v>879</v>
      </c>
      <c r="H144" s="40">
        <v>7500</v>
      </c>
      <c r="I144" s="2" t="s">
        <v>880</v>
      </c>
      <c r="J144">
        <v>5511</v>
      </c>
      <c r="K144" s="3" t="str">
        <f>VLOOKUP(Table2[[#This Row],[Konto]],Table5[[Konto]:[Konto nimetus]],2,FALSE)</f>
        <v>Kinnistute, hoonete ja ruumide majandamiskulud</v>
      </c>
      <c r="L144">
        <v>55</v>
      </c>
      <c r="M144" t="str">
        <f t="shared" si="5"/>
        <v>55</v>
      </c>
      <c r="N144" s="3" t="str">
        <f>VLOOKUP(Table2[[#This Row],[Tulu/kulu liik2]],Table5[[Tulu/kulu liik]:[Kontode koondnimetus]],4,FALSE)</f>
        <v>Muud tegevuskulud</v>
      </c>
      <c r="O144" s="3" t="str">
        <f>VLOOKUP(Table2[[#This Row],[Tulu/kulu liik2]],Table5[],6,FALSE)</f>
        <v>Majandamiskulud</v>
      </c>
      <c r="P144" s="3" t="str">
        <f>VLOOKUP(Table2[[#This Row],[Tulu/kulu liik2]],Table5[],5,FALSE)</f>
        <v>Põhitegevuse kulu</v>
      </c>
    </row>
    <row r="145" spans="1:16" x14ac:dyDescent="0.25">
      <c r="A145" t="str">
        <f t="shared" si="4"/>
        <v>06</v>
      </c>
      <c r="B145" t="s">
        <v>254</v>
      </c>
      <c r="C145" s="3" t="str">
        <f>VLOOKUP(Table2[[#This Row],[Tegevusala]],Table4[],2,FALSE)</f>
        <v>Laekvere halduspiirkond</v>
      </c>
      <c r="D145" s="3" t="str">
        <f>VLOOKUP(Table2[[#This Row],[Tegevusala]],Table4[[Tegevusala kood]:[Tegevusala alanimetus]],4,FALSE)</f>
        <v>Muu elamu- ja kommunaalmajanduse tegevus</v>
      </c>
      <c r="E145" s="3" t="str">
        <f>VLOOKUP(Table2[[#This Row],[Tegevusala nimetus2]],Table4[[Tegevusala nimetus]:[Tegevusala koondnimetus]],2,FALSE)</f>
        <v>Elamu- ja kommunaalmajandus</v>
      </c>
      <c r="F145" t="s">
        <v>850</v>
      </c>
      <c r="G145" t="s">
        <v>881</v>
      </c>
      <c r="H145" s="40">
        <v>7400</v>
      </c>
      <c r="I145" s="2" t="s">
        <v>882</v>
      </c>
      <c r="J145">
        <v>5511</v>
      </c>
      <c r="K145" s="3" t="str">
        <f>VLOOKUP(Table2[[#This Row],[Konto]],Table5[[Konto]:[Konto nimetus]],2,FALSE)</f>
        <v>Kinnistute, hoonete ja ruumide majandamiskulud</v>
      </c>
      <c r="L145">
        <v>55</v>
      </c>
      <c r="M145" t="str">
        <f t="shared" si="5"/>
        <v>55</v>
      </c>
      <c r="N145" s="3" t="str">
        <f>VLOOKUP(Table2[[#This Row],[Tulu/kulu liik2]],Table5[[Tulu/kulu liik]:[Kontode koondnimetus]],4,FALSE)</f>
        <v>Muud tegevuskulud</v>
      </c>
      <c r="O145" s="3" t="str">
        <f>VLOOKUP(Table2[[#This Row],[Tulu/kulu liik2]],Table5[],6,FALSE)</f>
        <v>Majandamiskulud</v>
      </c>
      <c r="P145" s="3" t="str">
        <f>VLOOKUP(Table2[[#This Row],[Tulu/kulu liik2]],Table5[],5,FALSE)</f>
        <v>Põhitegevuse kulu</v>
      </c>
    </row>
    <row r="146" spans="1:16" x14ac:dyDescent="0.25">
      <c r="A146" t="str">
        <f t="shared" si="4"/>
        <v>06</v>
      </c>
      <c r="B146" t="s">
        <v>254</v>
      </c>
      <c r="C146" s="3" t="str">
        <f>VLOOKUP(Table2[[#This Row],[Tegevusala]],Table4[],2,FALSE)</f>
        <v>Laekvere halduspiirkond</v>
      </c>
      <c r="D146" s="3" t="str">
        <f>VLOOKUP(Table2[[#This Row],[Tegevusala]],Table4[[Tegevusala kood]:[Tegevusala alanimetus]],4,FALSE)</f>
        <v>Muu elamu- ja kommunaalmajanduse tegevus</v>
      </c>
      <c r="E146" s="3" t="str">
        <f>VLOOKUP(Table2[[#This Row],[Tegevusala nimetus2]],Table4[[Tegevusala nimetus]:[Tegevusala koondnimetus]],2,FALSE)</f>
        <v>Elamu- ja kommunaalmajandus</v>
      </c>
      <c r="F146" t="s">
        <v>850</v>
      </c>
      <c r="G146" t="s">
        <v>883</v>
      </c>
      <c r="H146" s="40">
        <v>9360</v>
      </c>
      <c r="I146" s="2" t="s">
        <v>884</v>
      </c>
      <c r="J146">
        <v>5511</v>
      </c>
      <c r="K146" s="3" t="str">
        <f>VLOOKUP(Table2[[#This Row],[Konto]],Table5[[Konto]:[Konto nimetus]],2,FALSE)</f>
        <v>Kinnistute, hoonete ja ruumide majandamiskulud</v>
      </c>
      <c r="L146">
        <v>55</v>
      </c>
      <c r="M146" t="str">
        <f t="shared" si="5"/>
        <v>55</v>
      </c>
      <c r="N146" s="3" t="str">
        <f>VLOOKUP(Table2[[#This Row],[Tulu/kulu liik2]],Table5[[Tulu/kulu liik]:[Kontode koondnimetus]],4,FALSE)</f>
        <v>Muud tegevuskulud</v>
      </c>
      <c r="O146" s="3" t="str">
        <f>VLOOKUP(Table2[[#This Row],[Tulu/kulu liik2]],Table5[],6,FALSE)</f>
        <v>Majandamiskulud</v>
      </c>
      <c r="P146" s="3" t="str">
        <f>VLOOKUP(Table2[[#This Row],[Tulu/kulu liik2]],Table5[],5,FALSE)</f>
        <v>Põhitegevuse kulu</v>
      </c>
    </row>
    <row r="147" spans="1:16" x14ac:dyDescent="0.25">
      <c r="A147" t="str">
        <f t="shared" si="4"/>
        <v>06</v>
      </c>
      <c r="B147" t="s">
        <v>254</v>
      </c>
      <c r="C147" s="3" t="str">
        <f>VLOOKUP(Table2[[#This Row],[Tegevusala]],Table4[],2,FALSE)</f>
        <v>Laekvere halduspiirkond</v>
      </c>
      <c r="D147" s="3" t="str">
        <f>VLOOKUP(Table2[[#This Row],[Tegevusala]],Table4[[Tegevusala kood]:[Tegevusala alanimetus]],4,FALSE)</f>
        <v>Muu elamu- ja kommunaalmajanduse tegevus</v>
      </c>
      <c r="E147" s="3" t="str">
        <f>VLOOKUP(Table2[[#This Row],[Tegevusala nimetus2]],Table4[[Tegevusala nimetus]:[Tegevusala koondnimetus]],2,FALSE)</f>
        <v>Elamu- ja kommunaalmajandus</v>
      </c>
      <c r="F147" t="s">
        <v>850</v>
      </c>
      <c r="G147" t="s">
        <v>885</v>
      </c>
      <c r="H147" s="40">
        <v>210</v>
      </c>
      <c r="I147" s="2" t="s">
        <v>886</v>
      </c>
      <c r="J147">
        <v>5511</v>
      </c>
      <c r="K147" s="3" t="str">
        <f>VLOOKUP(Table2[[#This Row],[Konto]],Table5[[Konto]:[Konto nimetus]],2,FALSE)</f>
        <v>Kinnistute, hoonete ja ruumide majandamiskulud</v>
      </c>
      <c r="L147">
        <v>55</v>
      </c>
      <c r="M147" t="str">
        <f t="shared" si="5"/>
        <v>55</v>
      </c>
      <c r="N147" s="3" t="str">
        <f>VLOOKUP(Table2[[#This Row],[Tulu/kulu liik2]],Table5[[Tulu/kulu liik]:[Kontode koondnimetus]],4,FALSE)</f>
        <v>Muud tegevuskulud</v>
      </c>
      <c r="O147" s="3" t="str">
        <f>VLOOKUP(Table2[[#This Row],[Tulu/kulu liik2]],Table5[],6,FALSE)</f>
        <v>Majandamiskulud</v>
      </c>
      <c r="P147" s="3" t="str">
        <f>VLOOKUP(Table2[[#This Row],[Tulu/kulu liik2]],Table5[],5,FALSE)</f>
        <v>Põhitegevuse kulu</v>
      </c>
    </row>
    <row r="148" spans="1:16" x14ac:dyDescent="0.25">
      <c r="A148" t="str">
        <f t="shared" si="4"/>
        <v>06</v>
      </c>
      <c r="B148" t="s">
        <v>254</v>
      </c>
      <c r="C148" s="3" t="str">
        <f>VLOOKUP(Table2[[#This Row],[Tegevusala]],Table4[],2,FALSE)</f>
        <v>Laekvere halduspiirkond</v>
      </c>
      <c r="D148" s="3" t="str">
        <f>VLOOKUP(Table2[[#This Row],[Tegevusala]],Table4[[Tegevusala kood]:[Tegevusala alanimetus]],4,FALSE)</f>
        <v>Muu elamu- ja kommunaalmajanduse tegevus</v>
      </c>
      <c r="E148" s="3" t="str">
        <f>VLOOKUP(Table2[[#This Row],[Tegevusala nimetus2]],Table4[[Tegevusala nimetus]:[Tegevusala koondnimetus]],2,FALSE)</f>
        <v>Elamu- ja kommunaalmajandus</v>
      </c>
      <c r="F148" t="s">
        <v>850</v>
      </c>
      <c r="G148" s="33" t="s">
        <v>887</v>
      </c>
      <c r="H148" s="47">
        <v>3500</v>
      </c>
      <c r="I148" s="35" t="s">
        <v>888</v>
      </c>
      <c r="J148">
        <v>5511</v>
      </c>
      <c r="K148" s="3" t="str">
        <f>VLOOKUP(Table2[[#This Row],[Konto]],Table5[[Konto]:[Konto nimetus]],2,FALSE)</f>
        <v>Kinnistute, hoonete ja ruumide majandamiskulud</v>
      </c>
      <c r="L148">
        <v>55</v>
      </c>
      <c r="M148" t="str">
        <f t="shared" si="5"/>
        <v>55</v>
      </c>
      <c r="N148" s="3" t="str">
        <f>VLOOKUP(Table2[[#This Row],[Tulu/kulu liik2]],Table5[[Tulu/kulu liik]:[Kontode koondnimetus]],4,FALSE)</f>
        <v>Muud tegevuskulud</v>
      </c>
      <c r="O148" s="3" t="str">
        <f>VLOOKUP(Table2[[#This Row],[Tulu/kulu liik2]],Table5[],6,FALSE)</f>
        <v>Majandamiskulud</v>
      </c>
      <c r="P148" s="3" t="str">
        <f>VLOOKUP(Table2[[#This Row],[Tulu/kulu liik2]],Table5[],5,FALSE)</f>
        <v>Põhitegevuse kulu</v>
      </c>
    </row>
    <row r="149" spans="1:16" x14ac:dyDescent="0.25">
      <c r="A149" t="str">
        <f t="shared" si="4"/>
        <v>06</v>
      </c>
      <c r="B149" t="s">
        <v>254</v>
      </c>
      <c r="C149" s="3" t="str">
        <f>VLOOKUP(Table2[[#This Row],[Tegevusala]],Table4[],2,FALSE)</f>
        <v>Laekvere halduspiirkond</v>
      </c>
      <c r="D149" s="3" t="str">
        <f>VLOOKUP(Table2[[#This Row],[Tegevusala]],Table4[[Tegevusala kood]:[Tegevusala alanimetus]],4,FALSE)</f>
        <v>Muu elamu- ja kommunaalmajanduse tegevus</v>
      </c>
      <c r="E149" s="3" t="str">
        <f>VLOOKUP(Table2[[#This Row],[Tegevusala nimetus2]],Table4[[Tegevusala nimetus]:[Tegevusala koondnimetus]],2,FALSE)</f>
        <v>Elamu- ja kommunaalmajandus</v>
      </c>
      <c r="F149" t="s">
        <v>850</v>
      </c>
      <c r="G149" s="33" t="s">
        <v>889</v>
      </c>
      <c r="H149" s="47">
        <v>2100</v>
      </c>
      <c r="I149" s="35" t="s">
        <v>890</v>
      </c>
      <c r="J149">
        <v>5511</v>
      </c>
      <c r="K149" s="3" t="str">
        <f>VLOOKUP(Table2[[#This Row],[Konto]],Table5[[Konto]:[Konto nimetus]],2,FALSE)</f>
        <v>Kinnistute, hoonete ja ruumide majandamiskulud</v>
      </c>
      <c r="L149">
        <v>55</v>
      </c>
      <c r="M149" t="str">
        <f t="shared" si="5"/>
        <v>55</v>
      </c>
      <c r="N149" s="3" t="str">
        <f>VLOOKUP(Table2[[#This Row],[Tulu/kulu liik2]],Table5[[Tulu/kulu liik]:[Kontode koondnimetus]],4,FALSE)</f>
        <v>Muud tegevuskulud</v>
      </c>
      <c r="O149" s="3" t="str">
        <f>VLOOKUP(Table2[[#This Row],[Tulu/kulu liik2]],Table5[],6,FALSE)</f>
        <v>Majandamiskulud</v>
      </c>
      <c r="P149" s="3" t="str">
        <f>VLOOKUP(Table2[[#This Row],[Tulu/kulu liik2]],Table5[],5,FALSE)</f>
        <v>Põhitegevuse kulu</v>
      </c>
    </row>
    <row r="150" spans="1:16" x14ac:dyDescent="0.25">
      <c r="A150" t="str">
        <f t="shared" si="4"/>
        <v>06</v>
      </c>
      <c r="B150" t="s">
        <v>254</v>
      </c>
      <c r="C150" s="3" t="str">
        <f>VLOOKUP(Table2[[#This Row],[Tegevusala]],Table4[],2,FALSE)</f>
        <v>Laekvere halduspiirkond</v>
      </c>
      <c r="D150" s="3" t="str">
        <f>VLOOKUP(Table2[[#This Row],[Tegevusala]],Table4[[Tegevusala kood]:[Tegevusala alanimetus]],4,FALSE)</f>
        <v>Muu elamu- ja kommunaalmajanduse tegevus</v>
      </c>
      <c r="E150" s="3" t="str">
        <f>VLOOKUP(Table2[[#This Row],[Tegevusala nimetus2]],Table4[[Tegevusala nimetus]:[Tegevusala koondnimetus]],2,FALSE)</f>
        <v>Elamu- ja kommunaalmajandus</v>
      </c>
      <c r="F150" t="s">
        <v>850</v>
      </c>
      <c r="G150" t="s">
        <v>891</v>
      </c>
      <c r="H150" s="40">
        <v>600</v>
      </c>
      <c r="I150" s="2" t="s">
        <v>1272</v>
      </c>
      <c r="J150">
        <v>5511</v>
      </c>
      <c r="K150" s="3" t="str">
        <f>VLOOKUP(Table2[[#This Row],[Konto]],Table5[[Konto]:[Konto nimetus]],2,FALSE)</f>
        <v>Kinnistute, hoonete ja ruumide majandamiskulud</v>
      </c>
      <c r="L150">
        <v>55</v>
      </c>
      <c r="M150" t="str">
        <f t="shared" si="5"/>
        <v>55</v>
      </c>
      <c r="N150" s="3" t="str">
        <f>VLOOKUP(Table2[[#This Row],[Tulu/kulu liik2]],Table5[[Tulu/kulu liik]:[Kontode koondnimetus]],4,FALSE)</f>
        <v>Muud tegevuskulud</v>
      </c>
      <c r="O150" s="3" t="str">
        <f>VLOOKUP(Table2[[#This Row],[Tulu/kulu liik2]],Table5[],6,FALSE)</f>
        <v>Majandamiskulud</v>
      </c>
      <c r="P150" s="3" t="str">
        <f>VLOOKUP(Table2[[#This Row],[Tulu/kulu liik2]],Table5[],5,FALSE)</f>
        <v>Põhitegevuse kulu</v>
      </c>
    </row>
    <row r="151" spans="1:16" x14ac:dyDescent="0.25">
      <c r="A151" t="str">
        <f t="shared" si="4"/>
        <v>06</v>
      </c>
      <c r="B151" t="s">
        <v>254</v>
      </c>
      <c r="C151" s="3" t="str">
        <f>VLOOKUP(Table2[[#This Row],[Tegevusala]],Table4[],2,FALSE)</f>
        <v>Laekvere halduspiirkond</v>
      </c>
      <c r="D151" s="3" t="str">
        <f>VLOOKUP(Table2[[#This Row],[Tegevusala]],Table4[[Tegevusala kood]:[Tegevusala alanimetus]],4,FALSE)</f>
        <v>Muu elamu- ja kommunaalmajanduse tegevus</v>
      </c>
      <c r="E151" s="3" t="str">
        <f>VLOOKUP(Table2[[#This Row],[Tegevusala nimetus2]],Table4[[Tegevusala nimetus]:[Tegevusala koondnimetus]],2,FALSE)</f>
        <v>Elamu- ja kommunaalmajandus</v>
      </c>
      <c r="F151" t="s">
        <v>850</v>
      </c>
      <c r="G151" t="s">
        <v>892</v>
      </c>
      <c r="H151" s="40">
        <v>670</v>
      </c>
      <c r="I151" s="2" t="s">
        <v>893</v>
      </c>
      <c r="J151">
        <v>5511</v>
      </c>
      <c r="K151" s="3" t="str">
        <f>VLOOKUP(Table2[[#This Row],[Konto]],Table5[[Konto]:[Konto nimetus]],2,FALSE)</f>
        <v>Kinnistute, hoonete ja ruumide majandamiskulud</v>
      </c>
      <c r="L151">
        <v>55</v>
      </c>
      <c r="M151" t="str">
        <f t="shared" si="5"/>
        <v>55</v>
      </c>
      <c r="N151" s="3" t="str">
        <f>VLOOKUP(Table2[[#This Row],[Tulu/kulu liik2]],Table5[[Tulu/kulu liik]:[Kontode koondnimetus]],4,FALSE)</f>
        <v>Muud tegevuskulud</v>
      </c>
      <c r="O151" s="3" t="str">
        <f>VLOOKUP(Table2[[#This Row],[Tulu/kulu liik2]],Table5[],6,FALSE)</f>
        <v>Majandamiskulud</v>
      </c>
      <c r="P151" s="3" t="str">
        <f>VLOOKUP(Table2[[#This Row],[Tulu/kulu liik2]],Table5[],5,FALSE)</f>
        <v>Põhitegevuse kulu</v>
      </c>
    </row>
    <row r="152" spans="1:16" x14ac:dyDescent="0.25">
      <c r="A152" t="str">
        <f t="shared" si="4"/>
        <v>06</v>
      </c>
      <c r="B152" t="s">
        <v>254</v>
      </c>
      <c r="C152" s="3" t="str">
        <f>VLOOKUP(Table2[[#This Row],[Tegevusala]],Table4[],2,FALSE)</f>
        <v>Laekvere halduspiirkond</v>
      </c>
      <c r="D152" s="3" t="str">
        <f>VLOOKUP(Table2[[#This Row],[Tegevusala]],Table4[[Tegevusala kood]:[Tegevusala alanimetus]],4,FALSE)</f>
        <v>Muu elamu- ja kommunaalmajanduse tegevus</v>
      </c>
      <c r="E152" s="3" t="str">
        <f>VLOOKUP(Table2[[#This Row],[Tegevusala nimetus2]],Table4[[Tegevusala nimetus]:[Tegevusala koondnimetus]],2,FALSE)</f>
        <v>Elamu- ja kommunaalmajandus</v>
      </c>
      <c r="F152" t="s">
        <v>850</v>
      </c>
      <c r="G152" t="s">
        <v>894</v>
      </c>
      <c r="H152" s="40">
        <v>12000</v>
      </c>
      <c r="I152" s="2" t="s">
        <v>895</v>
      </c>
      <c r="J152">
        <v>5511</v>
      </c>
      <c r="K152" s="3" t="str">
        <f>VLOOKUP(Table2[[#This Row],[Konto]],Table5[[Konto]:[Konto nimetus]],2,FALSE)</f>
        <v>Kinnistute, hoonete ja ruumide majandamiskulud</v>
      </c>
      <c r="L152">
        <v>55</v>
      </c>
      <c r="M152" t="str">
        <f t="shared" si="5"/>
        <v>55</v>
      </c>
      <c r="N152" s="3" t="str">
        <f>VLOOKUP(Table2[[#This Row],[Tulu/kulu liik2]],Table5[[Tulu/kulu liik]:[Kontode koondnimetus]],4,FALSE)</f>
        <v>Muud tegevuskulud</v>
      </c>
      <c r="O152" s="3" t="str">
        <f>VLOOKUP(Table2[[#This Row],[Tulu/kulu liik2]],Table5[],6,FALSE)</f>
        <v>Majandamiskulud</v>
      </c>
      <c r="P152" s="3" t="str">
        <f>VLOOKUP(Table2[[#This Row],[Tulu/kulu liik2]],Table5[],5,FALSE)</f>
        <v>Põhitegevuse kulu</v>
      </c>
    </row>
    <row r="153" spans="1:16" x14ac:dyDescent="0.25">
      <c r="A153" t="str">
        <f t="shared" si="4"/>
        <v>06</v>
      </c>
      <c r="B153" t="s">
        <v>254</v>
      </c>
      <c r="C153" s="3" t="str">
        <f>VLOOKUP(Table2[[#This Row],[Tegevusala]],Table4[],2,FALSE)</f>
        <v>Laekvere halduspiirkond</v>
      </c>
      <c r="D153" s="3" t="str">
        <f>VLOOKUP(Table2[[#This Row],[Tegevusala]],Table4[[Tegevusala kood]:[Tegevusala alanimetus]],4,FALSE)</f>
        <v>Muu elamu- ja kommunaalmajanduse tegevus</v>
      </c>
      <c r="E153" s="3" t="str">
        <f>VLOOKUP(Table2[[#This Row],[Tegevusala nimetus2]],Table4[[Tegevusala nimetus]:[Tegevusala koondnimetus]],2,FALSE)</f>
        <v>Elamu- ja kommunaalmajandus</v>
      </c>
      <c r="F153" t="s">
        <v>850</v>
      </c>
      <c r="G153" s="33" t="s">
        <v>896</v>
      </c>
      <c r="H153" s="47">
        <v>1300</v>
      </c>
      <c r="I153" s="35" t="s">
        <v>897</v>
      </c>
      <c r="J153">
        <v>5511</v>
      </c>
      <c r="K153" s="3" t="str">
        <f>VLOOKUP(Table2[[#This Row],[Konto]],Table5[[Konto]:[Konto nimetus]],2,FALSE)</f>
        <v>Kinnistute, hoonete ja ruumide majandamiskulud</v>
      </c>
      <c r="L153">
        <v>55</v>
      </c>
      <c r="M153" t="str">
        <f t="shared" si="5"/>
        <v>55</v>
      </c>
      <c r="N153" s="3" t="str">
        <f>VLOOKUP(Table2[[#This Row],[Tulu/kulu liik2]],Table5[[Tulu/kulu liik]:[Kontode koondnimetus]],4,FALSE)</f>
        <v>Muud tegevuskulud</v>
      </c>
      <c r="O153" s="3" t="str">
        <f>VLOOKUP(Table2[[#This Row],[Tulu/kulu liik2]],Table5[],6,FALSE)</f>
        <v>Majandamiskulud</v>
      </c>
      <c r="P153" s="3" t="str">
        <f>VLOOKUP(Table2[[#This Row],[Tulu/kulu liik2]],Table5[],5,FALSE)</f>
        <v>Põhitegevuse kulu</v>
      </c>
    </row>
    <row r="154" spans="1:16" x14ac:dyDescent="0.25">
      <c r="A154" t="str">
        <f t="shared" si="4"/>
        <v>06</v>
      </c>
      <c r="B154" t="s">
        <v>254</v>
      </c>
      <c r="C154" s="3" t="str">
        <f>VLOOKUP(Table2[[#This Row],[Tegevusala]],Table4[],2,FALSE)</f>
        <v>Laekvere halduspiirkond</v>
      </c>
      <c r="D154" s="3" t="str">
        <f>VLOOKUP(Table2[[#This Row],[Tegevusala]],Table4[[Tegevusala kood]:[Tegevusala alanimetus]],4,FALSE)</f>
        <v>Muu elamu- ja kommunaalmajanduse tegevus</v>
      </c>
      <c r="E154" s="3" t="str">
        <f>VLOOKUP(Table2[[#This Row],[Tegevusala nimetus2]],Table4[[Tegevusala nimetus]:[Tegevusala koondnimetus]],2,FALSE)</f>
        <v>Elamu- ja kommunaalmajandus</v>
      </c>
      <c r="F154" t="s">
        <v>850</v>
      </c>
      <c r="G154" t="s">
        <v>914</v>
      </c>
      <c r="H154" s="40">
        <v>360</v>
      </c>
      <c r="I154" s="2" t="s">
        <v>915</v>
      </c>
      <c r="J154">
        <v>5511</v>
      </c>
      <c r="K154" s="3" t="str">
        <f>VLOOKUP(Table2[[#This Row],[Konto]],Table5[[Konto]:[Konto nimetus]],2,FALSE)</f>
        <v>Kinnistute, hoonete ja ruumide majandamiskulud</v>
      </c>
      <c r="L154">
        <v>55</v>
      </c>
      <c r="M154" t="str">
        <f t="shared" si="5"/>
        <v>55</v>
      </c>
      <c r="N154" s="3" t="str">
        <f>VLOOKUP(Table2[[#This Row],[Tulu/kulu liik2]],Table5[[Tulu/kulu liik]:[Kontode koondnimetus]],4,FALSE)</f>
        <v>Muud tegevuskulud</v>
      </c>
      <c r="O154" s="3" t="str">
        <f>VLOOKUP(Table2[[#This Row],[Tulu/kulu liik2]],Table5[],6,FALSE)</f>
        <v>Majandamiskulud</v>
      </c>
      <c r="P154" s="3" t="str">
        <f>VLOOKUP(Table2[[#This Row],[Tulu/kulu liik2]],Table5[],5,FALSE)</f>
        <v>Põhitegevuse kulu</v>
      </c>
    </row>
    <row r="155" spans="1:16" x14ac:dyDescent="0.25">
      <c r="A155" t="str">
        <f t="shared" si="4"/>
        <v>06</v>
      </c>
      <c r="B155" t="s">
        <v>254</v>
      </c>
      <c r="C155" s="3" t="str">
        <f>VLOOKUP(Table2[[#This Row],[Tegevusala]],Table4[],2,FALSE)</f>
        <v>Laekvere halduspiirkond</v>
      </c>
      <c r="D155" s="3" t="str">
        <f>VLOOKUP(Table2[[#This Row],[Tegevusala]],Table4[[Tegevusala kood]:[Tegevusala alanimetus]],4,FALSE)</f>
        <v>Muu elamu- ja kommunaalmajanduse tegevus</v>
      </c>
      <c r="E155" s="3" t="str">
        <f>VLOOKUP(Table2[[#This Row],[Tegevusala nimetus2]],Table4[[Tegevusala nimetus]:[Tegevusala koondnimetus]],2,FALSE)</f>
        <v>Elamu- ja kommunaalmajandus</v>
      </c>
      <c r="F155" t="s">
        <v>850</v>
      </c>
      <c r="G155" t="s">
        <v>864</v>
      </c>
      <c r="H155" s="40">
        <v>400</v>
      </c>
      <c r="I155" s="2" t="s">
        <v>865</v>
      </c>
      <c r="J155">
        <v>5500</v>
      </c>
      <c r="K155" s="3" t="str">
        <f>VLOOKUP(Table2[[#This Row],[Konto]],Table5[[Konto]:[Konto nimetus]],2,FALSE)</f>
        <v>Administreerimiskulud</v>
      </c>
      <c r="L155">
        <v>55</v>
      </c>
      <c r="M155" t="str">
        <f t="shared" si="5"/>
        <v>55</v>
      </c>
      <c r="N155" s="3" t="str">
        <f>VLOOKUP(Table2[[#This Row],[Tulu/kulu liik2]],Table5[[Tulu/kulu liik]:[Kontode koondnimetus]],4,FALSE)</f>
        <v>Muud tegevuskulud</v>
      </c>
      <c r="O155" s="3" t="str">
        <f>VLOOKUP(Table2[[#This Row],[Tulu/kulu liik2]],Table5[],6,FALSE)</f>
        <v>Majandamiskulud</v>
      </c>
      <c r="P155" s="3" t="str">
        <f>VLOOKUP(Table2[[#This Row],[Tulu/kulu liik2]],Table5[],5,FALSE)</f>
        <v>Põhitegevuse kulu</v>
      </c>
    </row>
    <row r="156" spans="1:16" x14ac:dyDescent="0.25">
      <c r="A156" t="str">
        <f t="shared" si="4"/>
        <v>06</v>
      </c>
      <c r="B156" t="s">
        <v>254</v>
      </c>
      <c r="C156" s="3" t="str">
        <f>VLOOKUP(Table2[[#This Row],[Tegevusala]],Table4[],2,FALSE)</f>
        <v>Laekvere halduspiirkond</v>
      </c>
      <c r="D156" s="3" t="str">
        <f>VLOOKUP(Table2[[#This Row],[Tegevusala]],Table4[[Tegevusala kood]:[Tegevusala alanimetus]],4,FALSE)</f>
        <v>Muu elamu- ja kommunaalmajanduse tegevus</v>
      </c>
      <c r="E156" s="3" t="str">
        <f>VLOOKUP(Table2[[#This Row],[Tegevusala nimetus2]],Table4[[Tegevusala nimetus]:[Tegevusala koondnimetus]],2,FALSE)</f>
        <v>Elamu- ja kommunaalmajandus</v>
      </c>
      <c r="F156" t="s">
        <v>850</v>
      </c>
      <c r="G156" t="s">
        <v>793</v>
      </c>
      <c r="H156" s="40">
        <v>1020</v>
      </c>
      <c r="J156">
        <v>5500</v>
      </c>
      <c r="K156" s="3" t="str">
        <f>VLOOKUP(Table2[[#This Row],[Konto]],Table5[[Konto]:[Konto nimetus]],2,FALSE)</f>
        <v>Administreerimiskulud</v>
      </c>
      <c r="L156">
        <v>55</v>
      </c>
      <c r="M156" t="str">
        <f t="shared" si="5"/>
        <v>55</v>
      </c>
      <c r="N156" s="3" t="str">
        <f>VLOOKUP(Table2[[#This Row],[Tulu/kulu liik2]],Table5[[Tulu/kulu liik]:[Kontode koondnimetus]],4,FALSE)</f>
        <v>Muud tegevuskulud</v>
      </c>
      <c r="O156" s="3" t="str">
        <f>VLOOKUP(Table2[[#This Row],[Tulu/kulu liik2]],Table5[],6,FALSE)</f>
        <v>Majandamiskulud</v>
      </c>
      <c r="P156" s="3" t="str">
        <f>VLOOKUP(Table2[[#This Row],[Tulu/kulu liik2]],Table5[],5,FALSE)</f>
        <v>Põhitegevuse kulu</v>
      </c>
    </row>
    <row r="157" spans="1:16" x14ac:dyDescent="0.25">
      <c r="A157" t="str">
        <f t="shared" si="4"/>
        <v>06</v>
      </c>
      <c r="B157" t="s">
        <v>254</v>
      </c>
      <c r="C157" s="3" t="str">
        <f>VLOOKUP(Table2[[#This Row],[Tegevusala]],Table4[],2,FALSE)</f>
        <v>Laekvere halduspiirkond</v>
      </c>
      <c r="D157" s="3" t="str">
        <f>VLOOKUP(Table2[[#This Row],[Tegevusala]],Table4[[Tegevusala kood]:[Tegevusala alanimetus]],4,FALSE)</f>
        <v>Muu elamu- ja kommunaalmajanduse tegevus</v>
      </c>
      <c r="E157" s="3" t="str">
        <f>VLOOKUP(Table2[[#This Row],[Tegevusala nimetus2]],Table4[[Tegevusala nimetus]:[Tegevusala koondnimetus]],2,FALSE)</f>
        <v>Elamu- ja kommunaalmajandus</v>
      </c>
      <c r="F157" t="s">
        <v>850</v>
      </c>
      <c r="G157" t="s">
        <v>409</v>
      </c>
      <c r="H157" s="40">
        <v>350</v>
      </c>
      <c r="J157">
        <v>5504</v>
      </c>
      <c r="K157" s="3" t="str">
        <f>VLOOKUP(Table2[[#This Row],[Konto]],Table5[[Konto]:[Konto nimetus]],2,FALSE)</f>
        <v>Koolituskulud</v>
      </c>
      <c r="L157">
        <v>55</v>
      </c>
      <c r="M157" t="str">
        <f t="shared" si="5"/>
        <v>55</v>
      </c>
      <c r="N157" s="3" t="str">
        <f>VLOOKUP(Table2[[#This Row],[Tulu/kulu liik2]],Table5[[Tulu/kulu liik]:[Kontode koondnimetus]],4,FALSE)</f>
        <v>Muud tegevuskulud</v>
      </c>
      <c r="O157" s="3" t="str">
        <f>VLOOKUP(Table2[[#This Row],[Tulu/kulu liik2]],Table5[],6,FALSE)</f>
        <v>Majandamiskulud</v>
      </c>
      <c r="P157" s="3" t="str">
        <f>VLOOKUP(Table2[[#This Row],[Tulu/kulu liik2]],Table5[],5,FALSE)</f>
        <v>Põhitegevuse kulu</v>
      </c>
    </row>
    <row r="158" spans="1:16" x14ac:dyDescent="0.25">
      <c r="A158" t="str">
        <f t="shared" si="4"/>
        <v>06</v>
      </c>
      <c r="B158" t="s">
        <v>254</v>
      </c>
      <c r="C158" s="3" t="str">
        <f>VLOOKUP(Table2[[#This Row],[Tegevusala]],Table4[],2,FALSE)</f>
        <v>Laekvere halduspiirkond</v>
      </c>
      <c r="D158" s="3" t="str">
        <f>VLOOKUP(Table2[[#This Row],[Tegevusala]],Table4[[Tegevusala kood]:[Tegevusala alanimetus]],4,FALSE)</f>
        <v>Muu elamu- ja kommunaalmajanduse tegevus</v>
      </c>
      <c r="E158" s="3" t="str">
        <f>VLOOKUP(Table2[[#This Row],[Tegevusala nimetus2]],Table4[[Tegevusala nimetus]:[Tegevusala koondnimetus]],2,FALSE)</f>
        <v>Elamu- ja kommunaalmajandus</v>
      </c>
      <c r="F158" t="s">
        <v>850</v>
      </c>
      <c r="G158" t="s">
        <v>898</v>
      </c>
      <c r="H158" s="40">
        <v>2200</v>
      </c>
      <c r="I158" s="2" t="s">
        <v>198</v>
      </c>
      <c r="J158">
        <v>5513</v>
      </c>
      <c r="K158" s="3" t="str">
        <f>VLOOKUP(Table2[[#This Row],[Konto]],Table5[[Konto]:[Konto nimetus]],2,FALSE)</f>
        <v>Sõidukite ülalpidamise kulud</v>
      </c>
      <c r="L158">
        <v>55</v>
      </c>
      <c r="M158" t="str">
        <f t="shared" si="5"/>
        <v>55</v>
      </c>
      <c r="N158" s="3" t="str">
        <f>VLOOKUP(Table2[[#This Row],[Tulu/kulu liik2]],Table5[[Tulu/kulu liik]:[Kontode koondnimetus]],4,FALSE)</f>
        <v>Muud tegevuskulud</v>
      </c>
      <c r="O158" s="3" t="str">
        <f>VLOOKUP(Table2[[#This Row],[Tulu/kulu liik2]],Table5[],6,FALSE)</f>
        <v>Majandamiskulud</v>
      </c>
      <c r="P158" s="3" t="str">
        <f>VLOOKUP(Table2[[#This Row],[Tulu/kulu liik2]],Table5[],5,FALSE)</f>
        <v>Põhitegevuse kulu</v>
      </c>
    </row>
    <row r="159" spans="1:16" x14ac:dyDescent="0.25">
      <c r="A159" t="str">
        <f t="shared" si="4"/>
        <v>06</v>
      </c>
      <c r="B159" t="s">
        <v>254</v>
      </c>
      <c r="C159" s="3" t="str">
        <f>VLOOKUP(Table2[[#This Row],[Tegevusala]],Table4[],2,FALSE)</f>
        <v>Laekvere halduspiirkond</v>
      </c>
      <c r="D159" s="3" t="str">
        <f>VLOOKUP(Table2[[#This Row],[Tegevusala]],Table4[[Tegevusala kood]:[Tegevusala alanimetus]],4,FALSE)</f>
        <v>Muu elamu- ja kommunaalmajanduse tegevus</v>
      </c>
      <c r="E159" s="3" t="str">
        <f>VLOOKUP(Table2[[#This Row],[Tegevusala nimetus2]],Table4[[Tegevusala nimetus]:[Tegevusala koondnimetus]],2,FALSE)</f>
        <v>Elamu- ja kommunaalmajandus</v>
      </c>
      <c r="F159" t="s">
        <v>850</v>
      </c>
      <c r="G159" t="s">
        <v>898</v>
      </c>
      <c r="H159" s="40">
        <v>700</v>
      </c>
      <c r="I159" s="2" t="s">
        <v>899</v>
      </c>
      <c r="J159">
        <v>5513</v>
      </c>
      <c r="K159" s="3" t="str">
        <f>VLOOKUP(Table2[[#This Row],[Konto]],Table5[[Konto]:[Konto nimetus]],2,FALSE)</f>
        <v>Sõidukite ülalpidamise kulud</v>
      </c>
      <c r="L159">
        <v>55</v>
      </c>
      <c r="M159" t="str">
        <f t="shared" si="5"/>
        <v>55</v>
      </c>
      <c r="N159" s="3" t="str">
        <f>VLOOKUP(Table2[[#This Row],[Tulu/kulu liik2]],Table5[[Tulu/kulu liik]:[Kontode koondnimetus]],4,FALSE)</f>
        <v>Muud tegevuskulud</v>
      </c>
      <c r="O159" s="3" t="str">
        <f>VLOOKUP(Table2[[#This Row],[Tulu/kulu liik2]],Table5[],6,FALSE)</f>
        <v>Majandamiskulud</v>
      </c>
      <c r="P159" s="3" t="str">
        <f>VLOOKUP(Table2[[#This Row],[Tulu/kulu liik2]],Table5[],5,FALSE)</f>
        <v>Põhitegevuse kulu</v>
      </c>
    </row>
    <row r="160" spans="1:16" x14ac:dyDescent="0.25">
      <c r="A160" t="str">
        <f t="shared" si="4"/>
        <v>06</v>
      </c>
      <c r="B160" t="s">
        <v>254</v>
      </c>
      <c r="C160" s="3" t="str">
        <f>VLOOKUP(Table2[[#This Row],[Tegevusala]],Table4[],2,FALSE)</f>
        <v>Laekvere halduspiirkond</v>
      </c>
      <c r="D160" s="3" t="str">
        <f>VLOOKUP(Table2[[#This Row],[Tegevusala]],Table4[[Tegevusala kood]:[Tegevusala alanimetus]],4,FALSE)</f>
        <v>Muu elamu- ja kommunaalmajanduse tegevus</v>
      </c>
      <c r="E160" s="3" t="str">
        <f>VLOOKUP(Table2[[#This Row],[Tegevusala nimetus2]],Table4[[Tegevusala nimetus]:[Tegevusala koondnimetus]],2,FALSE)</f>
        <v>Elamu- ja kommunaalmajandus</v>
      </c>
      <c r="F160" t="s">
        <v>850</v>
      </c>
      <c r="G160" t="s">
        <v>898</v>
      </c>
      <c r="H160" s="40">
        <v>400</v>
      </c>
      <c r="I160" s="2" t="s">
        <v>900</v>
      </c>
      <c r="J160">
        <v>5513</v>
      </c>
      <c r="K160" s="3" t="str">
        <f>VLOOKUP(Table2[[#This Row],[Konto]],Table5[[Konto]:[Konto nimetus]],2,FALSE)</f>
        <v>Sõidukite ülalpidamise kulud</v>
      </c>
      <c r="L160">
        <v>55</v>
      </c>
      <c r="M160" t="str">
        <f t="shared" si="5"/>
        <v>55</v>
      </c>
      <c r="N160" s="3" t="str">
        <f>VLOOKUP(Table2[[#This Row],[Tulu/kulu liik2]],Table5[[Tulu/kulu liik]:[Kontode koondnimetus]],4,FALSE)</f>
        <v>Muud tegevuskulud</v>
      </c>
      <c r="O160" s="3" t="str">
        <f>VLOOKUP(Table2[[#This Row],[Tulu/kulu liik2]],Table5[],6,FALSE)</f>
        <v>Majandamiskulud</v>
      </c>
      <c r="P160" s="3" t="str">
        <f>VLOOKUP(Table2[[#This Row],[Tulu/kulu liik2]],Table5[],5,FALSE)</f>
        <v>Põhitegevuse kulu</v>
      </c>
    </row>
    <row r="161" spans="1:16" x14ac:dyDescent="0.25">
      <c r="A161" t="str">
        <f t="shared" si="4"/>
        <v>06</v>
      </c>
      <c r="B161" t="s">
        <v>254</v>
      </c>
      <c r="C161" s="3" t="str">
        <f>VLOOKUP(Table2[[#This Row],[Tegevusala]],Table4[],2,FALSE)</f>
        <v>Laekvere halduspiirkond</v>
      </c>
      <c r="D161" s="3" t="str">
        <f>VLOOKUP(Table2[[#This Row],[Tegevusala]],Table4[[Tegevusala kood]:[Tegevusala alanimetus]],4,FALSE)</f>
        <v>Muu elamu- ja kommunaalmajanduse tegevus</v>
      </c>
      <c r="E161" s="3" t="str">
        <f>VLOOKUP(Table2[[#This Row],[Tegevusala nimetus2]],Table4[[Tegevusala nimetus]:[Tegevusala koondnimetus]],2,FALSE)</f>
        <v>Elamu- ja kommunaalmajandus</v>
      </c>
      <c r="F161" t="s">
        <v>850</v>
      </c>
      <c r="G161" t="s">
        <v>898</v>
      </c>
      <c r="H161" s="40">
        <v>3024</v>
      </c>
      <c r="I161" s="2" t="s">
        <v>901</v>
      </c>
      <c r="J161">
        <v>5513</v>
      </c>
      <c r="K161" s="3" t="str">
        <f>VLOOKUP(Table2[[#This Row],[Konto]],Table5[[Konto]:[Konto nimetus]],2,FALSE)</f>
        <v>Sõidukite ülalpidamise kulud</v>
      </c>
      <c r="L161">
        <v>55</v>
      </c>
      <c r="M161" t="str">
        <f t="shared" si="5"/>
        <v>55</v>
      </c>
      <c r="N161" s="3" t="str">
        <f>VLOOKUP(Table2[[#This Row],[Tulu/kulu liik2]],Table5[[Tulu/kulu liik]:[Kontode koondnimetus]],4,FALSE)</f>
        <v>Muud tegevuskulud</v>
      </c>
      <c r="O161" s="3" t="str">
        <f>VLOOKUP(Table2[[#This Row],[Tulu/kulu liik2]],Table5[],6,FALSE)</f>
        <v>Majandamiskulud</v>
      </c>
      <c r="P161" s="3" t="str">
        <f>VLOOKUP(Table2[[#This Row],[Tulu/kulu liik2]],Table5[],5,FALSE)</f>
        <v>Põhitegevuse kulu</v>
      </c>
    </row>
    <row r="162" spans="1:16" x14ac:dyDescent="0.25">
      <c r="A162" t="str">
        <f t="shared" si="4"/>
        <v>06</v>
      </c>
      <c r="B162" t="s">
        <v>254</v>
      </c>
      <c r="C162" s="3" t="str">
        <f>VLOOKUP(Table2[[#This Row],[Tegevusala]],Table4[],2,FALSE)</f>
        <v>Laekvere halduspiirkond</v>
      </c>
      <c r="D162" s="3" t="str">
        <f>VLOOKUP(Table2[[#This Row],[Tegevusala]],Table4[[Tegevusala kood]:[Tegevusala alanimetus]],4,FALSE)</f>
        <v>Muu elamu- ja kommunaalmajanduse tegevus</v>
      </c>
      <c r="E162" s="3" t="str">
        <f>VLOOKUP(Table2[[#This Row],[Tegevusala nimetus2]],Table4[[Tegevusala nimetus]:[Tegevusala koondnimetus]],2,FALSE)</f>
        <v>Elamu- ja kommunaalmajandus</v>
      </c>
      <c r="F162" t="s">
        <v>850</v>
      </c>
      <c r="G162" t="s">
        <v>902</v>
      </c>
      <c r="H162" s="40">
        <v>500</v>
      </c>
      <c r="I162" s="2" t="s">
        <v>903</v>
      </c>
      <c r="J162">
        <v>5513</v>
      </c>
      <c r="K162" s="3" t="str">
        <f>VLOOKUP(Table2[[#This Row],[Konto]],Table5[[Konto]:[Konto nimetus]],2,FALSE)</f>
        <v>Sõidukite ülalpidamise kulud</v>
      </c>
      <c r="L162">
        <v>55</v>
      </c>
      <c r="M162" t="str">
        <f t="shared" si="5"/>
        <v>55</v>
      </c>
      <c r="N162" s="3" t="str">
        <f>VLOOKUP(Table2[[#This Row],[Tulu/kulu liik2]],Table5[[Tulu/kulu liik]:[Kontode koondnimetus]],4,FALSE)</f>
        <v>Muud tegevuskulud</v>
      </c>
      <c r="O162" s="3" t="str">
        <f>VLOOKUP(Table2[[#This Row],[Tulu/kulu liik2]],Table5[],6,FALSE)</f>
        <v>Majandamiskulud</v>
      </c>
      <c r="P162" s="3" t="str">
        <f>VLOOKUP(Table2[[#This Row],[Tulu/kulu liik2]],Table5[],5,FALSE)</f>
        <v>Põhitegevuse kulu</v>
      </c>
    </row>
    <row r="163" spans="1:16" x14ac:dyDescent="0.25">
      <c r="A163" t="str">
        <f t="shared" si="4"/>
        <v>06</v>
      </c>
      <c r="B163" t="s">
        <v>254</v>
      </c>
      <c r="C163" s="3" t="str">
        <f>VLOOKUP(Table2[[#This Row],[Tegevusala]],Table4[],2,FALSE)</f>
        <v>Laekvere halduspiirkond</v>
      </c>
      <c r="D163" s="3" t="str">
        <f>VLOOKUP(Table2[[#This Row],[Tegevusala]],Table4[[Tegevusala kood]:[Tegevusala alanimetus]],4,FALSE)</f>
        <v>Muu elamu- ja kommunaalmajanduse tegevus</v>
      </c>
      <c r="E163" s="3" t="str">
        <f>VLOOKUP(Table2[[#This Row],[Tegevusala nimetus2]],Table4[[Tegevusala nimetus]:[Tegevusala koondnimetus]],2,FALSE)</f>
        <v>Elamu- ja kommunaalmajandus</v>
      </c>
      <c r="F163" t="s">
        <v>850</v>
      </c>
      <c r="G163" t="s">
        <v>902</v>
      </c>
      <c r="H163" s="40">
        <v>2100</v>
      </c>
      <c r="I163" s="2" t="s">
        <v>198</v>
      </c>
      <c r="J163">
        <v>5513</v>
      </c>
      <c r="K163" s="3" t="str">
        <f>VLOOKUP(Table2[[#This Row],[Konto]],Table5[[Konto]:[Konto nimetus]],2,FALSE)</f>
        <v>Sõidukite ülalpidamise kulud</v>
      </c>
      <c r="L163">
        <v>55</v>
      </c>
      <c r="M163" t="str">
        <f t="shared" si="5"/>
        <v>55</v>
      </c>
      <c r="N163" s="3" t="str">
        <f>VLOOKUP(Table2[[#This Row],[Tulu/kulu liik2]],Table5[[Tulu/kulu liik]:[Kontode koondnimetus]],4,FALSE)</f>
        <v>Muud tegevuskulud</v>
      </c>
      <c r="O163" s="3" t="str">
        <f>VLOOKUP(Table2[[#This Row],[Tulu/kulu liik2]],Table5[],6,FALSE)</f>
        <v>Majandamiskulud</v>
      </c>
      <c r="P163" s="3" t="str">
        <f>VLOOKUP(Table2[[#This Row],[Tulu/kulu liik2]],Table5[],5,FALSE)</f>
        <v>Põhitegevuse kulu</v>
      </c>
    </row>
    <row r="164" spans="1:16" x14ac:dyDescent="0.25">
      <c r="A164" t="str">
        <f t="shared" si="4"/>
        <v>06</v>
      </c>
      <c r="B164" t="s">
        <v>254</v>
      </c>
      <c r="C164" s="3" t="str">
        <f>VLOOKUP(Table2[[#This Row],[Tegevusala]],Table4[],2,FALSE)</f>
        <v>Laekvere halduspiirkond</v>
      </c>
      <c r="D164" s="3" t="str">
        <f>VLOOKUP(Table2[[#This Row],[Tegevusala]],Table4[[Tegevusala kood]:[Tegevusala alanimetus]],4,FALSE)</f>
        <v>Muu elamu- ja kommunaalmajanduse tegevus</v>
      </c>
      <c r="E164" s="3" t="str">
        <f>VLOOKUP(Table2[[#This Row],[Tegevusala nimetus2]],Table4[[Tegevusala nimetus]:[Tegevusala koondnimetus]],2,FALSE)</f>
        <v>Elamu- ja kommunaalmajandus</v>
      </c>
      <c r="F164" t="s">
        <v>850</v>
      </c>
      <c r="G164" t="s">
        <v>902</v>
      </c>
      <c r="H164" s="40">
        <v>400</v>
      </c>
      <c r="I164" s="2" t="s">
        <v>900</v>
      </c>
      <c r="J164">
        <v>5513</v>
      </c>
      <c r="K164" s="3" t="str">
        <f>VLOOKUP(Table2[[#This Row],[Konto]],Table5[[Konto]:[Konto nimetus]],2,FALSE)</f>
        <v>Sõidukite ülalpidamise kulud</v>
      </c>
      <c r="L164">
        <v>55</v>
      </c>
      <c r="M164" t="str">
        <f t="shared" si="5"/>
        <v>55</v>
      </c>
      <c r="N164" s="3" t="str">
        <f>VLOOKUP(Table2[[#This Row],[Tulu/kulu liik2]],Table5[[Tulu/kulu liik]:[Kontode koondnimetus]],4,FALSE)</f>
        <v>Muud tegevuskulud</v>
      </c>
      <c r="O164" s="3" t="str">
        <f>VLOOKUP(Table2[[#This Row],[Tulu/kulu liik2]],Table5[],6,FALSE)</f>
        <v>Majandamiskulud</v>
      </c>
      <c r="P164" s="3" t="str">
        <f>VLOOKUP(Table2[[#This Row],[Tulu/kulu liik2]],Table5[],5,FALSE)</f>
        <v>Põhitegevuse kulu</v>
      </c>
    </row>
    <row r="165" spans="1:16" x14ac:dyDescent="0.25">
      <c r="A165" t="str">
        <f t="shared" si="4"/>
        <v>06</v>
      </c>
      <c r="B165" t="s">
        <v>254</v>
      </c>
      <c r="C165" s="3" t="str">
        <f>VLOOKUP(Table2[[#This Row],[Tegevusala]],Table4[],2,FALSE)</f>
        <v>Laekvere halduspiirkond</v>
      </c>
      <c r="D165" s="3" t="str">
        <f>VLOOKUP(Table2[[#This Row],[Tegevusala]],Table4[[Tegevusala kood]:[Tegevusala alanimetus]],4,FALSE)</f>
        <v>Muu elamu- ja kommunaalmajanduse tegevus</v>
      </c>
      <c r="E165" s="3" t="str">
        <f>VLOOKUP(Table2[[#This Row],[Tegevusala nimetus2]],Table4[[Tegevusala nimetus]:[Tegevusala koondnimetus]],2,FALSE)</f>
        <v>Elamu- ja kommunaalmajandus</v>
      </c>
      <c r="F165" t="s">
        <v>850</v>
      </c>
      <c r="G165" t="s">
        <v>904</v>
      </c>
      <c r="H165" s="40">
        <v>100</v>
      </c>
      <c r="I165" s="2" t="s">
        <v>905</v>
      </c>
      <c r="J165">
        <v>5513</v>
      </c>
      <c r="K165" s="3" t="str">
        <f>VLOOKUP(Table2[[#This Row],[Konto]],Table5[[Konto]:[Konto nimetus]],2,FALSE)</f>
        <v>Sõidukite ülalpidamise kulud</v>
      </c>
      <c r="L165">
        <v>55</v>
      </c>
      <c r="M165" t="str">
        <f t="shared" si="5"/>
        <v>55</v>
      </c>
      <c r="N165" s="3" t="str">
        <f>VLOOKUP(Table2[[#This Row],[Tulu/kulu liik2]],Table5[[Tulu/kulu liik]:[Kontode koondnimetus]],4,FALSE)</f>
        <v>Muud tegevuskulud</v>
      </c>
      <c r="O165" s="3" t="str">
        <f>VLOOKUP(Table2[[#This Row],[Tulu/kulu liik2]],Table5[],6,FALSE)</f>
        <v>Majandamiskulud</v>
      </c>
      <c r="P165" s="3" t="str">
        <f>VLOOKUP(Table2[[#This Row],[Tulu/kulu liik2]],Table5[],5,FALSE)</f>
        <v>Põhitegevuse kulu</v>
      </c>
    </row>
    <row r="166" spans="1:16" x14ac:dyDescent="0.25">
      <c r="A166" t="str">
        <f t="shared" si="4"/>
        <v>06</v>
      </c>
      <c r="B166" t="s">
        <v>254</v>
      </c>
      <c r="C166" s="3" t="str">
        <f>VLOOKUP(Table2[[#This Row],[Tegevusala]],Table4[],2,FALSE)</f>
        <v>Laekvere halduspiirkond</v>
      </c>
      <c r="D166" s="3" t="str">
        <f>VLOOKUP(Table2[[#This Row],[Tegevusala]],Table4[[Tegevusala kood]:[Tegevusala alanimetus]],4,FALSE)</f>
        <v>Muu elamu- ja kommunaalmajanduse tegevus</v>
      </c>
      <c r="E166" s="3" t="str">
        <f>VLOOKUP(Table2[[#This Row],[Tegevusala nimetus2]],Table4[[Tegevusala nimetus]:[Tegevusala koondnimetus]],2,FALSE)</f>
        <v>Elamu- ja kommunaalmajandus</v>
      </c>
      <c r="F166" t="s">
        <v>850</v>
      </c>
      <c r="G166" t="s">
        <v>904</v>
      </c>
      <c r="H166" s="40">
        <v>500</v>
      </c>
      <c r="I166" s="2" t="s">
        <v>906</v>
      </c>
      <c r="J166">
        <v>5513</v>
      </c>
      <c r="K166" s="3" t="str">
        <f>VLOOKUP(Table2[[#This Row],[Konto]],Table5[[Konto]:[Konto nimetus]],2,FALSE)</f>
        <v>Sõidukite ülalpidamise kulud</v>
      </c>
      <c r="L166">
        <v>55</v>
      </c>
      <c r="M166" t="str">
        <f t="shared" si="5"/>
        <v>55</v>
      </c>
      <c r="N166" s="3" t="str">
        <f>VLOOKUP(Table2[[#This Row],[Tulu/kulu liik2]],Table5[[Tulu/kulu liik]:[Kontode koondnimetus]],4,FALSE)</f>
        <v>Muud tegevuskulud</v>
      </c>
      <c r="O166" s="3" t="str">
        <f>VLOOKUP(Table2[[#This Row],[Tulu/kulu liik2]],Table5[],6,FALSE)</f>
        <v>Majandamiskulud</v>
      </c>
      <c r="P166" s="3" t="str">
        <f>VLOOKUP(Table2[[#This Row],[Tulu/kulu liik2]],Table5[],5,FALSE)</f>
        <v>Põhitegevuse kulu</v>
      </c>
    </row>
    <row r="167" spans="1:16" x14ac:dyDescent="0.25">
      <c r="A167" t="str">
        <f t="shared" si="4"/>
        <v>06</v>
      </c>
      <c r="B167" t="s">
        <v>254</v>
      </c>
      <c r="C167" s="3" t="str">
        <f>VLOOKUP(Table2[[#This Row],[Tegevusala]],Table4[],2,FALSE)</f>
        <v>Laekvere halduspiirkond</v>
      </c>
      <c r="D167" s="3" t="str">
        <f>VLOOKUP(Table2[[#This Row],[Tegevusala]],Table4[[Tegevusala kood]:[Tegevusala alanimetus]],4,FALSE)</f>
        <v>Muu elamu- ja kommunaalmajanduse tegevus</v>
      </c>
      <c r="E167" s="3" t="str">
        <f>VLOOKUP(Table2[[#This Row],[Tegevusala nimetus2]],Table4[[Tegevusala nimetus]:[Tegevusala koondnimetus]],2,FALSE)</f>
        <v>Elamu- ja kommunaalmajandus</v>
      </c>
      <c r="F167" t="s">
        <v>850</v>
      </c>
      <c r="G167" t="s">
        <v>907</v>
      </c>
      <c r="H167" s="40">
        <v>600</v>
      </c>
      <c r="I167" s="2" t="s">
        <v>900</v>
      </c>
      <c r="J167">
        <v>5513</v>
      </c>
      <c r="K167" s="3" t="str">
        <f>VLOOKUP(Table2[[#This Row],[Konto]],Table5[[Konto]:[Konto nimetus]],2,FALSE)</f>
        <v>Sõidukite ülalpidamise kulud</v>
      </c>
      <c r="L167">
        <v>55</v>
      </c>
      <c r="M167" t="str">
        <f t="shared" si="5"/>
        <v>55</v>
      </c>
      <c r="N167" s="3" t="str">
        <f>VLOOKUP(Table2[[#This Row],[Tulu/kulu liik2]],Table5[[Tulu/kulu liik]:[Kontode koondnimetus]],4,FALSE)</f>
        <v>Muud tegevuskulud</v>
      </c>
      <c r="O167" s="3" t="str">
        <f>VLOOKUP(Table2[[#This Row],[Tulu/kulu liik2]],Table5[],6,FALSE)</f>
        <v>Majandamiskulud</v>
      </c>
      <c r="P167" s="3" t="str">
        <f>VLOOKUP(Table2[[#This Row],[Tulu/kulu liik2]],Table5[],5,FALSE)</f>
        <v>Põhitegevuse kulu</v>
      </c>
    </row>
    <row r="168" spans="1:16" x14ac:dyDescent="0.25">
      <c r="A168" t="str">
        <f t="shared" si="4"/>
        <v>06</v>
      </c>
      <c r="B168" t="s">
        <v>254</v>
      </c>
      <c r="C168" s="3" t="str">
        <f>VLOOKUP(Table2[[#This Row],[Tegevusala]],Table4[],2,FALSE)</f>
        <v>Laekvere halduspiirkond</v>
      </c>
      <c r="D168" s="3" t="str">
        <f>VLOOKUP(Table2[[#This Row],[Tegevusala]],Table4[[Tegevusala kood]:[Tegevusala alanimetus]],4,FALSE)</f>
        <v>Muu elamu- ja kommunaalmajanduse tegevus</v>
      </c>
      <c r="E168" s="3" t="str">
        <f>VLOOKUP(Table2[[#This Row],[Tegevusala nimetus2]],Table4[[Tegevusala nimetus]:[Tegevusala koondnimetus]],2,FALSE)</f>
        <v>Elamu- ja kommunaalmajandus</v>
      </c>
      <c r="F168" t="s">
        <v>850</v>
      </c>
      <c r="G168" t="s">
        <v>908</v>
      </c>
      <c r="H168" s="40">
        <v>1500</v>
      </c>
      <c r="I168" s="2" t="s">
        <v>909</v>
      </c>
      <c r="J168">
        <v>5513</v>
      </c>
      <c r="K168" s="3" t="str">
        <f>VLOOKUP(Table2[[#This Row],[Konto]],Table5[[Konto]:[Konto nimetus]],2,FALSE)</f>
        <v>Sõidukite ülalpidamise kulud</v>
      </c>
      <c r="L168">
        <v>55</v>
      </c>
      <c r="M168" t="str">
        <f t="shared" si="5"/>
        <v>55</v>
      </c>
      <c r="N168" s="3" t="str">
        <f>VLOOKUP(Table2[[#This Row],[Tulu/kulu liik2]],Table5[[Tulu/kulu liik]:[Kontode koondnimetus]],4,FALSE)</f>
        <v>Muud tegevuskulud</v>
      </c>
      <c r="O168" s="3" t="str">
        <f>VLOOKUP(Table2[[#This Row],[Tulu/kulu liik2]],Table5[],6,FALSE)</f>
        <v>Majandamiskulud</v>
      </c>
      <c r="P168" s="3" t="str">
        <f>VLOOKUP(Table2[[#This Row],[Tulu/kulu liik2]],Table5[],5,FALSE)</f>
        <v>Põhitegevuse kulu</v>
      </c>
    </row>
    <row r="169" spans="1:16" x14ac:dyDescent="0.25">
      <c r="A169" t="str">
        <f t="shared" si="4"/>
        <v>06</v>
      </c>
      <c r="B169" t="s">
        <v>254</v>
      </c>
      <c r="C169" s="3" t="str">
        <f>VLOOKUP(Table2[[#This Row],[Tegevusala]],Table4[],2,FALSE)</f>
        <v>Laekvere halduspiirkond</v>
      </c>
      <c r="D169" s="3" t="str">
        <f>VLOOKUP(Table2[[#This Row],[Tegevusala]],Table4[[Tegevusala kood]:[Tegevusala alanimetus]],4,FALSE)</f>
        <v>Muu elamu- ja kommunaalmajanduse tegevus</v>
      </c>
      <c r="E169" s="3" t="str">
        <f>VLOOKUP(Table2[[#This Row],[Tegevusala nimetus2]],Table4[[Tegevusala nimetus]:[Tegevusala koondnimetus]],2,FALSE)</f>
        <v>Elamu- ja kommunaalmajandus</v>
      </c>
      <c r="F169" t="s">
        <v>850</v>
      </c>
      <c r="G169" t="s">
        <v>910</v>
      </c>
      <c r="H169" s="40">
        <v>500</v>
      </c>
      <c r="I169" s="2" t="s">
        <v>911</v>
      </c>
      <c r="J169">
        <v>5513</v>
      </c>
      <c r="K169" s="3" t="str">
        <f>VLOOKUP(Table2[[#This Row],[Konto]],Table5[[Konto]:[Konto nimetus]],2,FALSE)</f>
        <v>Sõidukite ülalpidamise kulud</v>
      </c>
      <c r="L169">
        <v>55</v>
      </c>
      <c r="M169" t="str">
        <f t="shared" si="5"/>
        <v>55</v>
      </c>
      <c r="N169" s="3" t="str">
        <f>VLOOKUP(Table2[[#This Row],[Tulu/kulu liik2]],Table5[[Tulu/kulu liik]:[Kontode koondnimetus]],4,FALSE)</f>
        <v>Muud tegevuskulud</v>
      </c>
      <c r="O169" s="3" t="str">
        <f>VLOOKUP(Table2[[#This Row],[Tulu/kulu liik2]],Table5[],6,FALSE)</f>
        <v>Majandamiskulud</v>
      </c>
      <c r="P169" s="3" t="str">
        <f>VLOOKUP(Table2[[#This Row],[Tulu/kulu liik2]],Table5[],5,FALSE)</f>
        <v>Põhitegevuse kulu</v>
      </c>
    </row>
    <row r="170" spans="1:16" x14ac:dyDescent="0.25">
      <c r="A170" t="str">
        <f t="shared" si="4"/>
        <v>06</v>
      </c>
      <c r="B170" t="s">
        <v>254</v>
      </c>
      <c r="C170" s="3" t="str">
        <f>VLOOKUP(Table2[[#This Row],[Tegevusala]],Table4[],2,FALSE)</f>
        <v>Laekvere halduspiirkond</v>
      </c>
      <c r="D170" s="3" t="str">
        <f>VLOOKUP(Table2[[#This Row],[Tegevusala]],Table4[[Tegevusala kood]:[Tegevusala alanimetus]],4,FALSE)</f>
        <v>Muu elamu- ja kommunaalmajanduse tegevus</v>
      </c>
      <c r="E170" s="3" t="str">
        <f>VLOOKUP(Table2[[#This Row],[Tegevusala nimetus2]],Table4[[Tegevusala nimetus]:[Tegevusala koondnimetus]],2,FALSE)</f>
        <v>Elamu- ja kommunaalmajandus</v>
      </c>
      <c r="F170" t="s">
        <v>850</v>
      </c>
      <c r="G170" s="33" t="s">
        <v>918</v>
      </c>
      <c r="H170" s="47">
        <v>1700</v>
      </c>
      <c r="I170" s="35" t="s">
        <v>919</v>
      </c>
      <c r="J170">
        <v>5515</v>
      </c>
      <c r="K170" s="3" t="str">
        <f>VLOOKUP(Table2[[#This Row],[Konto]],Table5[[Konto]:[Konto nimetus]],2,FALSE)</f>
        <v>Inventari kulud, v.a infotehnoloogia ja kaitseotstarbelised kulud</v>
      </c>
      <c r="L170">
        <v>55</v>
      </c>
      <c r="M170" t="str">
        <f t="shared" si="5"/>
        <v>55</v>
      </c>
      <c r="N170" s="3" t="str">
        <f>VLOOKUP(Table2[[#This Row],[Tulu/kulu liik2]],Table5[[Tulu/kulu liik]:[Kontode koondnimetus]],4,FALSE)</f>
        <v>Muud tegevuskulud</v>
      </c>
      <c r="O170" s="3" t="str">
        <f>VLOOKUP(Table2[[#This Row],[Tulu/kulu liik2]],Table5[],6,FALSE)</f>
        <v>Majandamiskulud</v>
      </c>
      <c r="P170" s="3" t="str">
        <f>VLOOKUP(Table2[[#This Row],[Tulu/kulu liik2]],Table5[],5,FALSE)</f>
        <v>Põhitegevuse kulu</v>
      </c>
    </row>
    <row r="171" spans="1:16" x14ac:dyDescent="0.25">
      <c r="A171" t="str">
        <f t="shared" si="4"/>
        <v>06</v>
      </c>
      <c r="B171" t="s">
        <v>254</v>
      </c>
      <c r="C171" s="3" t="str">
        <f>VLOOKUP(Table2[[#This Row],[Tegevusala]],Table4[],2,FALSE)</f>
        <v>Laekvere halduspiirkond</v>
      </c>
      <c r="D171" s="3" t="str">
        <f>VLOOKUP(Table2[[#This Row],[Tegevusala]],Table4[[Tegevusala kood]:[Tegevusala alanimetus]],4,FALSE)</f>
        <v>Muu elamu- ja kommunaalmajanduse tegevus</v>
      </c>
      <c r="E171" s="3" t="str">
        <f>VLOOKUP(Table2[[#This Row],[Tegevusala nimetus2]],Table4[[Tegevusala nimetus]:[Tegevusala koondnimetus]],2,FALSE)</f>
        <v>Elamu- ja kommunaalmajandus</v>
      </c>
      <c r="F171" t="s">
        <v>850</v>
      </c>
      <c r="G171" s="33" t="s">
        <v>920</v>
      </c>
      <c r="H171" s="47">
        <v>2800</v>
      </c>
      <c r="I171" s="35" t="s">
        <v>921</v>
      </c>
      <c r="J171">
        <v>5515</v>
      </c>
      <c r="K171" s="3" t="str">
        <f>VLOOKUP(Table2[[#This Row],[Konto]],Table5[[Konto]:[Konto nimetus]],2,FALSE)</f>
        <v>Inventari kulud, v.a infotehnoloogia ja kaitseotstarbelised kulud</v>
      </c>
      <c r="L171">
        <v>55</v>
      </c>
      <c r="M171" t="str">
        <f t="shared" si="5"/>
        <v>55</v>
      </c>
      <c r="N171" s="3" t="str">
        <f>VLOOKUP(Table2[[#This Row],[Tulu/kulu liik2]],Table5[[Tulu/kulu liik]:[Kontode koondnimetus]],4,FALSE)</f>
        <v>Muud tegevuskulud</v>
      </c>
      <c r="O171" s="3" t="str">
        <f>VLOOKUP(Table2[[#This Row],[Tulu/kulu liik2]],Table5[],6,FALSE)</f>
        <v>Majandamiskulud</v>
      </c>
      <c r="P171" s="3" t="str">
        <f>VLOOKUP(Table2[[#This Row],[Tulu/kulu liik2]],Table5[],5,FALSE)</f>
        <v>Põhitegevuse kulu</v>
      </c>
    </row>
    <row r="172" spans="1:16" x14ac:dyDescent="0.25">
      <c r="A172" t="str">
        <f t="shared" si="4"/>
        <v>06</v>
      </c>
      <c r="B172" t="s">
        <v>254</v>
      </c>
      <c r="C172" s="3" t="str">
        <f>VLOOKUP(Table2[[#This Row],[Tegevusala]],Table4[],2,FALSE)</f>
        <v>Laekvere halduspiirkond</v>
      </c>
      <c r="D172" s="3" t="str">
        <f>VLOOKUP(Table2[[#This Row],[Tegevusala]],Table4[[Tegevusala kood]:[Tegevusala alanimetus]],4,FALSE)</f>
        <v>Muu elamu- ja kommunaalmajanduse tegevus</v>
      </c>
      <c r="E172" s="3" t="str">
        <f>VLOOKUP(Table2[[#This Row],[Tegevusala nimetus2]],Table4[[Tegevusala nimetus]:[Tegevusala koondnimetus]],2,FALSE)</f>
        <v>Elamu- ja kommunaalmajandus</v>
      </c>
      <c r="F172" t="s">
        <v>850</v>
      </c>
      <c r="G172" t="s">
        <v>922</v>
      </c>
      <c r="H172" s="40">
        <v>4000</v>
      </c>
      <c r="I172" s="2" t="s">
        <v>923</v>
      </c>
      <c r="J172">
        <v>5515</v>
      </c>
      <c r="K172" s="3" t="str">
        <f>VLOOKUP(Table2[[#This Row],[Konto]],Table5[[Konto]:[Konto nimetus]],2,FALSE)</f>
        <v>Inventari kulud, v.a infotehnoloogia ja kaitseotstarbelised kulud</v>
      </c>
      <c r="L172">
        <v>55</v>
      </c>
      <c r="M172" t="str">
        <f t="shared" si="5"/>
        <v>55</v>
      </c>
      <c r="N172" s="3" t="str">
        <f>VLOOKUP(Table2[[#This Row],[Tulu/kulu liik2]],Table5[[Tulu/kulu liik]:[Kontode koondnimetus]],4,FALSE)</f>
        <v>Muud tegevuskulud</v>
      </c>
      <c r="O172" s="3" t="str">
        <f>VLOOKUP(Table2[[#This Row],[Tulu/kulu liik2]],Table5[],6,FALSE)</f>
        <v>Majandamiskulud</v>
      </c>
      <c r="P172" s="3" t="str">
        <f>VLOOKUP(Table2[[#This Row],[Tulu/kulu liik2]],Table5[],5,FALSE)</f>
        <v>Põhitegevuse kulu</v>
      </c>
    </row>
    <row r="173" spans="1:16" x14ac:dyDescent="0.25">
      <c r="A173" t="str">
        <f t="shared" si="4"/>
        <v>06</v>
      </c>
      <c r="B173" t="s">
        <v>254</v>
      </c>
      <c r="C173" s="3" t="str">
        <f>VLOOKUP(Table2[[#This Row],[Tegevusala]],Table4[],2,FALSE)</f>
        <v>Laekvere halduspiirkond</v>
      </c>
      <c r="D173" s="3" t="str">
        <f>VLOOKUP(Table2[[#This Row],[Tegevusala]],Table4[[Tegevusala kood]:[Tegevusala alanimetus]],4,FALSE)</f>
        <v>Muu elamu- ja kommunaalmajanduse tegevus</v>
      </c>
      <c r="E173" s="3" t="str">
        <f>VLOOKUP(Table2[[#This Row],[Tegevusala nimetus2]],Table4[[Tegevusala nimetus]:[Tegevusala koondnimetus]],2,FALSE)</f>
        <v>Elamu- ja kommunaalmajandus</v>
      </c>
      <c r="F173" t="s">
        <v>850</v>
      </c>
      <c r="G173" t="s">
        <v>924</v>
      </c>
      <c r="H173" s="40">
        <v>100</v>
      </c>
      <c r="J173">
        <v>5525</v>
      </c>
      <c r="K173" s="3" t="str">
        <f>VLOOKUP(Table2[[#This Row],[Konto]],Table5[[Konto]:[Konto nimetus]],2,FALSE)</f>
        <v>Kommunikatsiooni-, kultuuri- ja vaba aja sisustamise kulud</v>
      </c>
      <c r="L173">
        <v>55</v>
      </c>
      <c r="M173" t="str">
        <f t="shared" si="5"/>
        <v>55</v>
      </c>
      <c r="N173" s="3" t="str">
        <f>VLOOKUP(Table2[[#This Row],[Tulu/kulu liik2]],Table5[[Tulu/kulu liik]:[Kontode koondnimetus]],4,FALSE)</f>
        <v>Muud tegevuskulud</v>
      </c>
      <c r="O173" s="3" t="str">
        <f>VLOOKUP(Table2[[#This Row],[Tulu/kulu liik2]],Table5[],6,FALSE)</f>
        <v>Majandamiskulud</v>
      </c>
      <c r="P173" s="3" t="str">
        <f>VLOOKUP(Table2[[#This Row],[Tulu/kulu liik2]],Table5[],5,FALSE)</f>
        <v>Põhitegevuse kulu</v>
      </c>
    </row>
    <row r="174" spans="1:16" x14ac:dyDescent="0.25">
      <c r="A174" t="str">
        <f t="shared" si="4"/>
        <v>06</v>
      </c>
      <c r="B174" t="s">
        <v>254</v>
      </c>
      <c r="C174" s="3" t="str">
        <f>VLOOKUP(Table2[[#This Row],[Tegevusala]],Table4[],2,FALSE)</f>
        <v>Laekvere halduspiirkond</v>
      </c>
      <c r="D174" s="3" t="str">
        <f>VLOOKUP(Table2[[#This Row],[Tegevusala]],Table4[[Tegevusala kood]:[Tegevusala alanimetus]],4,FALSE)</f>
        <v>Muu elamu- ja kommunaalmajanduse tegevus</v>
      </c>
      <c r="E174" s="3" t="str">
        <f>VLOOKUP(Table2[[#This Row],[Tegevusala nimetus2]],Table4[[Tegevusala nimetus]:[Tegevusala koondnimetus]],2,FALSE)</f>
        <v>Elamu- ja kommunaalmajandus</v>
      </c>
      <c r="F174" t="s">
        <v>850</v>
      </c>
      <c r="G174" t="s">
        <v>925</v>
      </c>
      <c r="H174" s="40">
        <v>2000</v>
      </c>
      <c r="I174" s="2" t="s">
        <v>926</v>
      </c>
      <c r="J174">
        <v>5540</v>
      </c>
      <c r="K174" s="3" t="str">
        <f>VLOOKUP(Table2[[#This Row],[Konto]],Table5[[Konto]:[Konto nimetus]],2,FALSE)</f>
        <v>Mitmesugused majanduskulud</v>
      </c>
      <c r="L174">
        <v>55</v>
      </c>
      <c r="M174" t="str">
        <f t="shared" si="5"/>
        <v>55</v>
      </c>
      <c r="N174" s="3" t="str">
        <f>VLOOKUP(Table2[[#This Row],[Tulu/kulu liik2]],Table5[[Tulu/kulu liik]:[Kontode koondnimetus]],4,FALSE)</f>
        <v>Muud tegevuskulud</v>
      </c>
      <c r="O174" s="3" t="str">
        <f>VLOOKUP(Table2[[#This Row],[Tulu/kulu liik2]],Table5[],6,FALSE)</f>
        <v>Majandamiskulud</v>
      </c>
      <c r="P174" s="3" t="str">
        <f>VLOOKUP(Table2[[#This Row],[Tulu/kulu liik2]],Table5[],5,FALSE)</f>
        <v>Põhitegevuse kulu</v>
      </c>
    </row>
    <row r="175" spans="1:16" x14ac:dyDescent="0.25">
      <c r="A175" t="str">
        <f t="shared" si="4"/>
        <v>06</v>
      </c>
      <c r="B175" t="s">
        <v>254</v>
      </c>
      <c r="C175" s="3" t="str">
        <f>VLOOKUP(Table2[[#This Row],[Tegevusala]],Table4[],2,FALSE)</f>
        <v>Laekvere halduspiirkond</v>
      </c>
      <c r="D175" s="3" t="str">
        <f>VLOOKUP(Table2[[#This Row],[Tegevusala]],Table4[[Tegevusala kood]:[Tegevusala alanimetus]],4,FALSE)</f>
        <v>Muu elamu- ja kommunaalmajanduse tegevus</v>
      </c>
      <c r="E175" s="3" t="str">
        <f>VLOOKUP(Table2[[#This Row],[Tegevusala nimetus2]],Table4[[Tegevusala nimetus]:[Tegevusala koondnimetus]],2,FALSE)</f>
        <v>Elamu- ja kommunaalmajandus</v>
      </c>
      <c r="F175" t="s">
        <v>850</v>
      </c>
      <c r="G175" t="s">
        <v>927</v>
      </c>
      <c r="H175" s="40">
        <v>500</v>
      </c>
      <c r="I175" s="2" t="s">
        <v>928</v>
      </c>
      <c r="J175">
        <v>5522</v>
      </c>
      <c r="K175" s="3" t="str">
        <f>VLOOKUP(Table2[[#This Row],[Konto]],Table5[[Konto]:[Konto nimetus]],2,FALSE)</f>
        <v>Meditsiinikulud ja hügieenitarbed</v>
      </c>
      <c r="L175">
        <v>55</v>
      </c>
      <c r="M175" t="str">
        <f t="shared" si="5"/>
        <v>55</v>
      </c>
      <c r="N175" s="3" t="str">
        <f>VLOOKUP(Table2[[#This Row],[Tulu/kulu liik2]],Table5[[Tulu/kulu liik]:[Kontode koondnimetus]],4,FALSE)</f>
        <v>Muud tegevuskulud</v>
      </c>
      <c r="O175" s="3" t="str">
        <f>VLOOKUP(Table2[[#This Row],[Tulu/kulu liik2]],Table5[],6,FALSE)</f>
        <v>Majandamiskulud</v>
      </c>
      <c r="P175" s="3" t="str">
        <f>VLOOKUP(Table2[[#This Row],[Tulu/kulu liik2]],Table5[],5,FALSE)</f>
        <v>Põhitegevuse kulu</v>
      </c>
    </row>
    <row r="176" spans="1:16" x14ac:dyDescent="0.25">
      <c r="A176" t="str">
        <f t="shared" si="4"/>
        <v>06</v>
      </c>
      <c r="B176" t="s">
        <v>254</v>
      </c>
      <c r="C176" s="3" t="str">
        <f>VLOOKUP(Table2[[#This Row],[Tegevusala]],Table4[],2,FALSE)</f>
        <v>Laekvere halduspiirkond</v>
      </c>
      <c r="D176" s="3" t="str">
        <f>VLOOKUP(Table2[[#This Row],[Tegevusala]],Table4[[Tegevusala kood]:[Tegevusala alanimetus]],4,FALSE)</f>
        <v>Muu elamu- ja kommunaalmajanduse tegevus</v>
      </c>
      <c r="E176" s="3" t="str">
        <f>VLOOKUP(Table2[[#This Row],[Tegevusala nimetus2]],Table4[[Tegevusala nimetus]:[Tegevusala koondnimetus]],2,FALSE)</f>
        <v>Elamu- ja kommunaalmajandus</v>
      </c>
      <c r="F176" t="s">
        <v>850</v>
      </c>
      <c r="G176" t="s">
        <v>929</v>
      </c>
      <c r="H176" s="40">
        <v>500</v>
      </c>
      <c r="I176" s="2" t="s">
        <v>928</v>
      </c>
      <c r="J176">
        <v>5515</v>
      </c>
      <c r="K176" s="3" t="str">
        <f>VLOOKUP(Table2[[#This Row],[Konto]],Table5[[Konto]:[Konto nimetus]],2,FALSE)</f>
        <v>Inventari kulud, v.a infotehnoloogia ja kaitseotstarbelised kulud</v>
      </c>
      <c r="L176">
        <v>55</v>
      </c>
      <c r="M176" t="str">
        <f t="shared" si="5"/>
        <v>55</v>
      </c>
      <c r="N176" s="3" t="str">
        <f>VLOOKUP(Table2[[#This Row],[Tulu/kulu liik2]],Table5[[Tulu/kulu liik]:[Kontode koondnimetus]],4,FALSE)</f>
        <v>Muud tegevuskulud</v>
      </c>
      <c r="O176" s="3" t="str">
        <f>VLOOKUP(Table2[[#This Row],[Tulu/kulu liik2]],Table5[],6,FALSE)</f>
        <v>Majandamiskulud</v>
      </c>
      <c r="P176" s="3" t="str">
        <f>VLOOKUP(Table2[[#This Row],[Tulu/kulu liik2]],Table5[],5,FALSE)</f>
        <v>Põhitegevuse kulu</v>
      </c>
    </row>
    <row r="177" spans="1:16" x14ac:dyDescent="0.25">
      <c r="A177" t="str">
        <f t="shared" si="4"/>
        <v>06</v>
      </c>
      <c r="B177" t="s">
        <v>254</v>
      </c>
      <c r="C177" s="3" t="str">
        <f>VLOOKUP(Table2[[#This Row],[Tegevusala]],Table4[],2,FALSE)</f>
        <v>Laekvere halduspiirkond</v>
      </c>
      <c r="D177" s="3" t="str">
        <f>VLOOKUP(Table2[[#This Row],[Tegevusala]],Table4[[Tegevusala kood]:[Tegevusala alanimetus]],4,FALSE)</f>
        <v>Muu elamu- ja kommunaalmajanduse tegevus</v>
      </c>
      <c r="E177" s="3" t="str">
        <f>VLOOKUP(Table2[[#This Row],[Tegevusala nimetus2]],Table4[[Tegevusala nimetus]:[Tegevusala koondnimetus]],2,FALSE)</f>
        <v>Elamu- ja kommunaalmajandus</v>
      </c>
      <c r="F177" t="s">
        <v>850</v>
      </c>
      <c r="G177" t="s">
        <v>676</v>
      </c>
      <c r="H177" s="40">
        <v>200</v>
      </c>
      <c r="I177" s="2" t="s">
        <v>930</v>
      </c>
      <c r="J177">
        <v>5522</v>
      </c>
      <c r="K177" s="3" t="str">
        <f>VLOOKUP(Table2[[#This Row],[Konto]],Table5[[Konto]:[Konto nimetus]],2,FALSE)</f>
        <v>Meditsiinikulud ja hügieenitarbed</v>
      </c>
      <c r="L177">
        <v>55</v>
      </c>
      <c r="M177" t="str">
        <f t="shared" si="5"/>
        <v>55</v>
      </c>
      <c r="N177" s="3" t="str">
        <f>VLOOKUP(Table2[[#This Row],[Tulu/kulu liik2]],Table5[[Tulu/kulu liik]:[Kontode koondnimetus]],4,FALSE)</f>
        <v>Muud tegevuskulud</v>
      </c>
      <c r="O177" s="3" t="str">
        <f>VLOOKUP(Table2[[#This Row],[Tulu/kulu liik2]],Table5[],6,FALSE)</f>
        <v>Majandamiskulud</v>
      </c>
      <c r="P177" s="3" t="str">
        <f>VLOOKUP(Table2[[#This Row],[Tulu/kulu liik2]],Table5[],5,FALSE)</f>
        <v>Põhitegevuse kulu</v>
      </c>
    </row>
    <row r="178" spans="1:16" x14ac:dyDescent="0.25">
      <c r="A178" t="str">
        <f t="shared" si="4"/>
        <v>06</v>
      </c>
      <c r="B178" t="s">
        <v>254</v>
      </c>
      <c r="C178" s="3" t="str">
        <f>VLOOKUP(Table2[[#This Row],[Tegevusala]],Table4[],2,FALSE)</f>
        <v>Laekvere halduspiirkond</v>
      </c>
      <c r="D178" s="3" t="str">
        <f>VLOOKUP(Table2[[#This Row],[Tegevusala]],Table4[[Tegevusala kood]:[Tegevusala alanimetus]],4,FALSE)</f>
        <v>Muu elamu- ja kommunaalmajanduse tegevus</v>
      </c>
      <c r="E178" s="3" t="str">
        <f>VLOOKUP(Table2[[#This Row],[Tegevusala nimetus2]],Table4[[Tegevusala nimetus]:[Tegevusala koondnimetus]],2,FALSE)</f>
        <v>Elamu- ja kommunaalmajandus</v>
      </c>
      <c r="F178" t="s">
        <v>850</v>
      </c>
      <c r="G178" t="s">
        <v>931</v>
      </c>
      <c r="H178" s="40">
        <v>400</v>
      </c>
      <c r="J178">
        <v>5525</v>
      </c>
      <c r="K178" s="3" t="str">
        <f>VLOOKUP(Table2[[#This Row],[Konto]],Table5[[Konto]:[Konto nimetus]],2,FALSE)</f>
        <v>Kommunikatsiooni-, kultuuri- ja vaba aja sisustamise kulud</v>
      </c>
      <c r="L178">
        <v>55</v>
      </c>
      <c r="M178" t="str">
        <f t="shared" si="5"/>
        <v>55</v>
      </c>
      <c r="N178" s="3" t="str">
        <f>VLOOKUP(Table2[[#This Row],[Tulu/kulu liik2]],Table5[[Tulu/kulu liik]:[Kontode koondnimetus]],4,FALSE)</f>
        <v>Muud tegevuskulud</v>
      </c>
      <c r="O178" s="3" t="str">
        <f>VLOOKUP(Table2[[#This Row],[Tulu/kulu liik2]],Table5[],6,FALSE)</f>
        <v>Majandamiskulud</v>
      </c>
      <c r="P178" s="3" t="str">
        <f>VLOOKUP(Table2[[#This Row],[Tulu/kulu liik2]],Table5[],5,FALSE)</f>
        <v>Põhitegevuse kulu</v>
      </c>
    </row>
    <row r="179" spans="1:16" x14ac:dyDescent="0.25">
      <c r="A179" t="str">
        <f t="shared" si="4"/>
        <v>06</v>
      </c>
      <c r="B179" t="s">
        <v>254</v>
      </c>
      <c r="C179" s="3" t="str">
        <f>VLOOKUP(Table2[[#This Row],[Tegevusala]],Table4[],2,FALSE)</f>
        <v>Laekvere halduspiirkond</v>
      </c>
      <c r="D179" s="3" t="str">
        <f>VLOOKUP(Table2[[#This Row],[Tegevusala]],Table4[[Tegevusala kood]:[Tegevusala alanimetus]],4,FALSE)</f>
        <v>Muu elamu- ja kommunaalmajanduse tegevus</v>
      </c>
      <c r="E179" s="3" t="str">
        <f>VLOOKUP(Table2[[#This Row],[Tegevusala nimetus2]],Table4[[Tegevusala nimetus]:[Tegevusala koondnimetus]],2,FALSE)</f>
        <v>Elamu- ja kommunaalmajandus</v>
      </c>
      <c r="F179" t="s">
        <v>850</v>
      </c>
      <c r="G179" t="s">
        <v>932</v>
      </c>
      <c r="H179" s="40">
        <v>6000</v>
      </c>
      <c r="I179" s="2" t="s">
        <v>933</v>
      </c>
      <c r="J179">
        <v>5540</v>
      </c>
      <c r="K179" s="3" t="str">
        <f>VLOOKUP(Table2[[#This Row],[Konto]],Table5[[Konto]:[Konto nimetus]],2,FALSE)</f>
        <v>Mitmesugused majanduskulud</v>
      </c>
      <c r="L179">
        <v>55</v>
      </c>
      <c r="M179" t="str">
        <f t="shared" si="5"/>
        <v>55</v>
      </c>
      <c r="N179" s="3" t="str">
        <f>VLOOKUP(Table2[[#This Row],[Tulu/kulu liik2]],Table5[[Tulu/kulu liik]:[Kontode koondnimetus]],4,FALSE)</f>
        <v>Muud tegevuskulud</v>
      </c>
      <c r="O179" s="3" t="str">
        <f>VLOOKUP(Table2[[#This Row],[Tulu/kulu liik2]],Table5[],6,FALSE)</f>
        <v>Majandamiskulud</v>
      </c>
      <c r="P179" s="3" t="str">
        <f>VLOOKUP(Table2[[#This Row],[Tulu/kulu liik2]],Table5[],5,FALSE)</f>
        <v>Põhitegevuse kulu</v>
      </c>
    </row>
    <row r="180" spans="1:16" x14ac:dyDescent="0.25">
      <c r="A180" t="str">
        <f t="shared" si="4"/>
        <v>06</v>
      </c>
      <c r="B180" t="s">
        <v>254</v>
      </c>
      <c r="C180" s="3" t="str">
        <f>VLOOKUP(Table2[[#This Row],[Tegevusala]],Table4[],2,FALSE)</f>
        <v>Laekvere halduspiirkond</v>
      </c>
      <c r="D180" s="3" t="str">
        <f>VLOOKUP(Table2[[#This Row],[Tegevusala]],Table4[[Tegevusala kood]:[Tegevusala alanimetus]],4,FALSE)</f>
        <v>Muu elamu- ja kommunaalmajanduse tegevus</v>
      </c>
      <c r="E180" s="3" t="str">
        <f>VLOOKUP(Table2[[#This Row],[Tegevusala nimetus2]],Table4[[Tegevusala nimetus]:[Tegevusala koondnimetus]],2,FALSE)</f>
        <v>Elamu- ja kommunaalmajandus</v>
      </c>
      <c r="F180" t="s">
        <v>850</v>
      </c>
      <c r="G180" t="s">
        <v>912</v>
      </c>
      <c r="H180" s="40">
        <v>3050</v>
      </c>
      <c r="I180" s="2" t="s">
        <v>913</v>
      </c>
      <c r="J180">
        <v>5514</v>
      </c>
      <c r="K180" s="3" t="str">
        <f>VLOOKUP(Table2[[#This Row],[Konto]],Table5[[Konto]:[Konto nimetus]],2,FALSE)</f>
        <v>Info- ja kommunikatsioonitehnoliigised kulud</v>
      </c>
      <c r="L180">
        <v>55</v>
      </c>
      <c r="M180" t="str">
        <f t="shared" si="5"/>
        <v>55</v>
      </c>
      <c r="N180" s="3" t="str">
        <f>VLOOKUP(Table2[[#This Row],[Tulu/kulu liik2]],Table5[[Tulu/kulu liik]:[Kontode koondnimetus]],4,FALSE)</f>
        <v>Muud tegevuskulud</v>
      </c>
      <c r="O180" s="3" t="str">
        <f>VLOOKUP(Table2[[#This Row],[Tulu/kulu liik2]],Table5[],6,FALSE)</f>
        <v>Majandamiskulud</v>
      </c>
      <c r="P180" s="3" t="str">
        <f>VLOOKUP(Table2[[#This Row],[Tulu/kulu liik2]],Table5[],5,FALSE)</f>
        <v>Põhitegevuse kulu</v>
      </c>
    </row>
    <row r="181" spans="1:16" x14ac:dyDescent="0.25">
      <c r="A181" t="str">
        <f t="shared" si="4"/>
        <v>06</v>
      </c>
      <c r="B181" t="s">
        <v>254</v>
      </c>
      <c r="C181" s="3" t="str">
        <f>VLOOKUP(Table2[[#This Row],[Tegevusala]],Table4[],2,FALSE)</f>
        <v>Laekvere halduspiirkond</v>
      </c>
      <c r="D181" s="3" t="str">
        <f>VLOOKUP(Table2[[#This Row],[Tegevusala]],Table4[[Tegevusala kood]:[Tegevusala alanimetus]],4,FALSE)</f>
        <v>Muu elamu- ja kommunaalmajanduse tegevus</v>
      </c>
      <c r="E181" s="3" t="str">
        <f>VLOOKUP(Table2[[#This Row],[Tegevusala nimetus2]],Table4[[Tegevusala nimetus]:[Tegevusala koondnimetus]],2,FALSE)</f>
        <v>Elamu- ja kommunaalmajandus</v>
      </c>
      <c r="F181" t="s">
        <v>850</v>
      </c>
      <c r="G181" t="s">
        <v>916</v>
      </c>
      <c r="H181" s="40">
        <v>300</v>
      </c>
      <c r="I181" s="2" t="s">
        <v>917</v>
      </c>
      <c r="J181">
        <v>5514</v>
      </c>
      <c r="K181" s="3" t="str">
        <f>VLOOKUP(Table2[[#This Row],[Konto]],Table5[[Konto]:[Konto nimetus]],2,FALSE)</f>
        <v>Info- ja kommunikatsioonitehnoliigised kulud</v>
      </c>
      <c r="L181">
        <v>55</v>
      </c>
      <c r="M181" t="str">
        <f t="shared" si="5"/>
        <v>55</v>
      </c>
      <c r="N181" s="3" t="str">
        <f>VLOOKUP(Table2[[#This Row],[Tulu/kulu liik2]],Table5[[Tulu/kulu liik]:[Kontode koondnimetus]],4,FALSE)</f>
        <v>Muud tegevuskulud</v>
      </c>
      <c r="O181" s="3" t="str">
        <f>VLOOKUP(Table2[[#This Row],[Tulu/kulu liik2]],Table5[],6,FALSE)</f>
        <v>Majandamiskulud</v>
      </c>
      <c r="P181" s="3" t="str">
        <f>VLOOKUP(Table2[[#This Row],[Tulu/kulu liik2]],Table5[],5,FALSE)</f>
        <v>Põhitegevuse kulu</v>
      </c>
    </row>
    <row r="182" spans="1:16" hidden="1" x14ac:dyDescent="0.25">
      <c r="A182" t="str">
        <f t="shared" si="4"/>
        <v>06</v>
      </c>
      <c r="B182" t="s">
        <v>254</v>
      </c>
      <c r="C182" s="3" t="str">
        <f>VLOOKUP(Table2[[#This Row],[Tegevusala]],Table4[],2,FALSE)</f>
        <v>Laekvere halduspiirkond</v>
      </c>
      <c r="D182" s="3" t="str">
        <f>VLOOKUP(Table2[[#This Row],[Tegevusala]],Table4[[Tegevusala kood]:[Tegevusala alanimetus]],4,FALSE)</f>
        <v>Muu elamu- ja kommunaalmajanduse tegevus</v>
      </c>
      <c r="E182" s="3" t="str">
        <f>VLOOKUP(Table2[[#This Row],[Tegevusala nimetus2]],Table4[[Tegevusala nimetus]:[Tegevusala koondnimetus]],2,FALSE)</f>
        <v>Elamu- ja kommunaalmajandus</v>
      </c>
      <c r="F182" t="s">
        <v>850</v>
      </c>
      <c r="G182" t="s">
        <v>2050</v>
      </c>
      <c r="H182" s="40">
        <v>5000</v>
      </c>
      <c r="I182" s="2" t="s">
        <v>2051</v>
      </c>
      <c r="J182">
        <v>1550</v>
      </c>
      <c r="K182" s="3" t="str">
        <f>VLOOKUP(Table2[[#This Row],[Konto]],Table5[[Konto]:[Konto nimetus]],2,FALSE)</f>
        <v>Maa soetamine</v>
      </c>
      <c r="L182">
        <v>15</v>
      </c>
      <c r="M182" t="str">
        <f t="shared" si="5"/>
        <v>15</v>
      </c>
      <c r="N182" s="3" t="str">
        <f>VLOOKUP(Table2[[#This Row],[Tulu/kulu liik2]],Table5[[Tulu/kulu liik]:[Kontode koondnimetus]],4,FALSE)</f>
        <v>Põhivara soetus (-)</v>
      </c>
      <c r="O182" s="34" t="str">
        <f>VLOOKUP(Table2[[#This Row],[Tulu/kulu liik2]],Table5[],6,FALSE)</f>
        <v>Põhivara soetus (-)</v>
      </c>
      <c r="P182" s="3" t="str">
        <f>VLOOKUP(Table2[[#This Row],[Tulu/kulu liik2]],Table5[],5,FALSE)</f>
        <v>Investeerimistegevus</v>
      </c>
    </row>
    <row r="183" spans="1:16" x14ac:dyDescent="0.25">
      <c r="A183" t="str">
        <f t="shared" si="4"/>
        <v>06</v>
      </c>
      <c r="B183" t="s">
        <v>255</v>
      </c>
      <c r="C183" s="3" t="str">
        <f>VLOOKUP(Table2[[#This Row],[Tegevusala]],Table4[],2,FALSE)</f>
        <v xml:space="preserve"> Rägavere halduspiirkond</v>
      </c>
      <c r="D183" s="3" t="str">
        <f>VLOOKUP(Table2[[#This Row],[Tegevusala]],Table4[[Tegevusala kood]:[Tegevusala alanimetus]],4,FALSE)</f>
        <v>Muu elamu- ja kommunaalmajanduse tegevus</v>
      </c>
      <c r="E183" s="3" t="str">
        <f>VLOOKUP(Table2[[#This Row],[Tegevusala nimetus2]],Table4[[Tegevusala nimetus]:[Tegevusala koondnimetus]],2,FALSE)</f>
        <v>Elamu- ja kommunaalmajandus</v>
      </c>
      <c r="F183" t="s">
        <v>934</v>
      </c>
      <c r="G183" t="s">
        <v>937</v>
      </c>
      <c r="H183" s="40">
        <v>814</v>
      </c>
      <c r="J183">
        <v>5511</v>
      </c>
      <c r="K183" s="3" t="str">
        <f>VLOOKUP(Table2[[#This Row],[Konto]],Table5[[Konto]:[Konto nimetus]],2,FALSE)</f>
        <v>Kinnistute, hoonete ja ruumide majandamiskulud</v>
      </c>
      <c r="L183">
        <v>55</v>
      </c>
      <c r="M183" t="str">
        <f t="shared" si="5"/>
        <v>55</v>
      </c>
      <c r="N183" s="3" t="str">
        <f>VLOOKUP(Table2[[#This Row],[Tulu/kulu liik2]],Table5[[Tulu/kulu liik]:[Kontode koondnimetus]],4,FALSE)</f>
        <v>Muud tegevuskulud</v>
      </c>
      <c r="O183" s="3" t="str">
        <f>VLOOKUP(Table2[[#This Row],[Tulu/kulu liik2]],Table5[],6,FALSE)</f>
        <v>Majandamiskulud</v>
      </c>
      <c r="P183" s="3" t="str">
        <f>VLOOKUP(Table2[[#This Row],[Tulu/kulu liik2]],Table5[],5,FALSE)</f>
        <v>Põhitegevuse kulu</v>
      </c>
    </row>
    <row r="184" spans="1:16" x14ac:dyDescent="0.25">
      <c r="A184" t="str">
        <f t="shared" si="4"/>
        <v>06</v>
      </c>
      <c r="B184" t="s">
        <v>255</v>
      </c>
      <c r="C184" s="3" t="str">
        <f>VLOOKUP(Table2[[#This Row],[Tegevusala]],Table4[],2,FALSE)</f>
        <v xml:space="preserve"> Rägavere halduspiirkond</v>
      </c>
      <c r="D184" s="3" t="str">
        <f>VLOOKUP(Table2[[#This Row],[Tegevusala]],Table4[[Tegevusala kood]:[Tegevusala alanimetus]],4,FALSE)</f>
        <v>Muu elamu- ja kommunaalmajanduse tegevus</v>
      </c>
      <c r="E184" s="3" t="str">
        <f>VLOOKUP(Table2[[#This Row],[Tegevusala nimetus2]],Table4[[Tegevusala nimetus]:[Tegevusala koondnimetus]],2,FALSE)</f>
        <v>Elamu- ja kommunaalmajandus</v>
      </c>
      <c r="F184" t="s">
        <v>934</v>
      </c>
      <c r="G184" s="33" t="s">
        <v>870</v>
      </c>
      <c r="H184" s="47">
        <v>10600</v>
      </c>
      <c r="I184" s="35"/>
      <c r="J184" s="33">
        <v>5511</v>
      </c>
      <c r="K184" s="3" t="str">
        <f>VLOOKUP(Table2[[#This Row],[Konto]],Table5[[Konto]:[Konto nimetus]],2,FALSE)</f>
        <v>Kinnistute, hoonete ja ruumide majandamiskulud</v>
      </c>
      <c r="L184">
        <v>55</v>
      </c>
      <c r="M184" t="str">
        <f t="shared" si="5"/>
        <v>55</v>
      </c>
      <c r="N184" s="3" t="str">
        <f>VLOOKUP(Table2[[#This Row],[Tulu/kulu liik2]],Table5[[Tulu/kulu liik]:[Kontode koondnimetus]],4,FALSE)</f>
        <v>Muud tegevuskulud</v>
      </c>
      <c r="O184" s="3" t="str">
        <f>VLOOKUP(Table2[[#This Row],[Tulu/kulu liik2]],Table5[],6,FALSE)</f>
        <v>Majandamiskulud</v>
      </c>
      <c r="P184" s="3" t="str">
        <f>VLOOKUP(Table2[[#This Row],[Tulu/kulu liik2]],Table5[],5,FALSE)</f>
        <v>Põhitegevuse kulu</v>
      </c>
    </row>
    <row r="185" spans="1:16" x14ac:dyDescent="0.25">
      <c r="A185" t="str">
        <f t="shared" si="4"/>
        <v>06</v>
      </c>
      <c r="B185" t="s">
        <v>255</v>
      </c>
      <c r="C185" s="3" t="str">
        <f>VLOOKUP(Table2[[#This Row],[Tegevusala]],Table4[],2,FALSE)</f>
        <v xml:space="preserve"> Rägavere halduspiirkond</v>
      </c>
      <c r="D185" s="3" t="str">
        <f>VLOOKUP(Table2[[#This Row],[Tegevusala]],Table4[[Tegevusala kood]:[Tegevusala alanimetus]],4,FALSE)</f>
        <v>Muu elamu- ja kommunaalmajanduse tegevus</v>
      </c>
      <c r="E185" s="3" t="str">
        <f>VLOOKUP(Table2[[#This Row],[Tegevusala nimetus2]],Table4[[Tegevusala nimetus]:[Tegevusala koondnimetus]],2,FALSE)</f>
        <v>Elamu- ja kommunaalmajandus</v>
      </c>
      <c r="F185" t="s">
        <v>934</v>
      </c>
      <c r="G185" t="s">
        <v>872</v>
      </c>
      <c r="H185" s="40">
        <v>350</v>
      </c>
      <c r="J185">
        <v>5511</v>
      </c>
      <c r="K185" s="3" t="str">
        <f>VLOOKUP(Table2[[#This Row],[Konto]],Table5[[Konto]:[Konto nimetus]],2,FALSE)</f>
        <v>Kinnistute, hoonete ja ruumide majandamiskulud</v>
      </c>
      <c r="L185">
        <v>55</v>
      </c>
      <c r="M185" t="str">
        <f t="shared" si="5"/>
        <v>55</v>
      </c>
      <c r="N185" s="3" t="str">
        <f>VLOOKUP(Table2[[#This Row],[Tulu/kulu liik2]],Table5[[Tulu/kulu liik]:[Kontode koondnimetus]],4,FALSE)</f>
        <v>Muud tegevuskulud</v>
      </c>
      <c r="O185" s="3" t="str">
        <f>VLOOKUP(Table2[[#This Row],[Tulu/kulu liik2]],Table5[],6,FALSE)</f>
        <v>Majandamiskulud</v>
      </c>
      <c r="P185" s="3" t="str">
        <f>VLOOKUP(Table2[[#This Row],[Tulu/kulu liik2]],Table5[],5,FALSE)</f>
        <v>Põhitegevuse kulu</v>
      </c>
    </row>
    <row r="186" spans="1:16" x14ac:dyDescent="0.25">
      <c r="A186" t="str">
        <f t="shared" si="4"/>
        <v>06</v>
      </c>
      <c r="B186" t="s">
        <v>255</v>
      </c>
      <c r="C186" s="3" t="str">
        <f>VLOOKUP(Table2[[#This Row],[Tegevusala]],Table4[],2,FALSE)</f>
        <v xml:space="preserve"> Rägavere halduspiirkond</v>
      </c>
      <c r="D186" s="3" t="str">
        <f>VLOOKUP(Table2[[#This Row],[Tegevusala]],Table4[[Tegevusala kood]:[Tegevusala alanimetus]],4,FALSE)</f>
        <v>Muu elamu- ja kommunaalmajanduse tegevus</v>
      </c>
      <c r="E186" s="3" t="str">
        <f>VLOOKUP(Table2[[#This Row],[Tegevusala nimetus2]],Table4[[Tegevusala nimetus]:[Tegevusala koondnimetus]],2,FALSE)</f>
        <v>Elamu- ja kommunaalmajandus</v>
      </c>
      <c r="F186" t="s">
        <v>934</v>
      </c>
      <c r="G186" t="s">
        <v>874</v>
      </c>
      <c r="H186" s="40">
        <v>110</v>
      </c>
      <c r="J186">
        <v>5511</v>
      </c>
      <c r="K186" s="3" t="str">
        <f>VLOOKUP(Table2[[#This Row],[Konto]],Table5[[Konto]:[Konto nimetus]],2,FALSE)</f>
        <v>Kinnistute, hoonete ja ruumide majandamiskulud</v>
      </c>
      <c r="L186">
        <v>55</v>
      </c>
      <c r="M186" t="str">
        <f t="shared" si="5"/>
        <v>55</v>
      </c>
      <c r="N186" s="3" t="str">
        <f>VLOOKUP(Table2[[#This Row],[Tulu/kulu liik2]],Table5[[Tulu/kulu liik]:[Kontode koondnimetus]],4,FALSE)</f>
        <v>Muud tegevuskulud</v>
      </c>
      <c r="O186" s="3" t="str">
        <f>VLOOKUP(Table2[[#This Row],[Tulu/kulu liik2]],Table5[],6,FALSE)</f>
        <v>Majandamiskulud</v>
      </c>
      <c r="P186" s="3" t="str">
        <f>VLOOKUP(Table2[[#This Row],[Tulu/kulu liik2]],Table5[],5,FALSE)</f>
        <v>Põhitegevuse kulu</v>
      </c>
    </row>
    <row r="187" spans="1:16" x14ac:dyDescent="0.25">
      <c r="A187" t="str">
        <f t="shared" si="4"/>
        <v>06</v>
      </c>
      <c r="B187" t="s">
        <v>255</v>
      </c>
      <c r="C187" s="3" t="str">
        <f>VLOOKUP(Table2[[#This Row],[Tegevusala]],Table4[],2,FALSE)</f>
        <v xml:space="preserve"> Rägavere halduspiirkond</v>
      </c>
      <c r="D187" s="3" t="str">
        <f>VLOOKUP(Table2[[#This Row],[Tegevusala]],Table4[[Tegevusala kood]:[Tegevusala alanimetus]],4,FALSE)</f>
        <v>Muu elamu- ja kommunaalmajanduse tegevus</v>
      </c>
      <c r="E187" s="3" t="str">
        <f>VLOOKUP(Table2[[#This Row],[Tegevusala nimetus2]],Table4[[Tegevusala nimetus]:[Tegevusala koondnimetus]],2,FALSE)</f>
        <v>Elamu- ja kommunaalmajandus</v>
      </c>
      <c r="F187" t="s">
        <v>934</v>
      </c>
      <c r="G187" t="s">
        <v>887</v>
      </c>
      <c r="H187" s="40">
        <v>200</v>
      </c>
      <c r="J187">
        <v>5511</v>
      </c>
      <c r="K187" s="3" t="str">
        <f>VLOOKUP(Table2[[#This Row],[Konto]],Table5[[Konto]:[Konto nimetus]],2,FALSE)</f>
        <v>Kinnistute, hoonete ja ruumide majandamiskulud</v>
      </c>
      <c r="L187">
        <v>55</v>
      </c>
      <c r="M187" t="str">
        <f t="shared" si="5"/>
        <v>55</v>
      </c>
      <c r="N187" s="3" t="str">
        <f>VLOOKUP(Table2[[#This Row],[Tulu/kulu liik2]],Table5[[Tulu/kulu liik]:[Kontode koondnimetus]],4,FALSE)</f>
        <v>Muud tegevuskulud</v>
      </c>
      <c r="O187" s="3" t="str">
        <f>VLOOKUP(Table2[[#This Row],[Tulu/kulu liik2]],Table5[],6,FALSE)</f>
        <v>Majandamiskulud</v>
      </c>
      <c r="P187" s="3" t="str">
        <f>VLOOKUP(Table2[[#This Row],[Tulu/kulu liik2]],Table5[],5,FALSE)</f>
        <v>Põhitegevuse kulu</v>
      </c>
    </row>
    <row r="188" spans="1:16" x14ac:dyDescent="0.25">
      <c r="A188" t="str">
        <f t="shared" si="4"/>
        <v>06</v>
      </c>
      <c r="B188" t="s">
        <v>255</v>
      </c>
      <c r="C188" s="3" t="str">
        <f>VLOOKUP(Table2[[#This Row],[Tegevusala]],Table4[],2,FALSE)</f>
        <v xml:space="preserve"> Rägavere halduspiirkond</v>
      </c>
      <c r="D188" s="3" t="str">
        <f>VLOOKUP(Table2[[#This Row],[Tegevusala]],Table4[[Tegevusala kood]:[Tegevusala alanimetus]],4,FALSE)</f>
        <v>Muu elamu- ja kommunaalmajanduse tegevus</v>
      </c>
      <c r="E188" s="3" t="str">
        <f>VLOOKUP(Table2[[#This Row],[Tegevusala nimetus2]],Table4[[Tegevusala nimetus]:[Tegevusala koondnimetus]],2,FALSE)</f>
        <v>Elamu- ja kommunaalmajandus</v>
      </c>
      <c r="F188" t="s">
        <v>934</v>
      </c>
      <c r="G188" t="s">
        <v>938</v>
      </c>
      <c r="H188" s="40">
        <v>500</v>
      </c>
      <c r="J188">
        <v>5511</v>
      </c>
      <c r="K188" s="3" t="str">
        <f>VLOOKUP(Table2[[#This Row],[Konto]],Table5[[Konto]:[Konto nimetus]],2,FALSE)</f>
        <v>Kinnistute, hoonete ja ruumide majandamiskulud</v>
      </c>
      <c r="L188">
        <v>55</v>
      </c>
      <c r="M188" t="str">
        <f t="shared" si="5"/>
        <v>55</v>
      </c>
      <c r="N188" s="3" t="str">
        <f>VLOOKUP(Table2[[#This Row],[Tulu/kulu liik2]],Table5[[Tulu/kulu liik]:[Kontode koondnimetus]],4,FALSE)</f>
        <v>Muud tegevuskulud</v>
      </c>
      <c r="O188" s="3" t="str">
        <f>VLOOKUP(Table2[[#This Row],[Tulu/kulu liik2]],Table5[],6,FALSE)</f>
        <v>Majandamiskulud</v>
      </c>
      <c r="P188" s="3" t="str">
        <f>VLOOKUP(Table2[[#This Row],[Tulu/kulu liik2]],Table5[],5,FALSE)</f>
        <v>Põhitegevuse kulu</v>
      </c>
    </row>
    <row r="189" spans="1:16" x14ac:dyDescent="0.25">
      <c r="A189" t="str">
        <f t="shared" si="4"/>
        <v>06</v>
      </c>
      <c r="B189" t="s">
        <v>255</v>
      </c>
      <c r="C189" s="3" t="str">
        <f>VLOOKUP(Table2[[#This Row],[Tegevusala]],Table4[],2,FALSE)</f>
        <v xml:space="preserve"> Rägavere halduspiirkond</v>
      </c>
      <c r="D189" s="3" t="str">
        <f>VLOOKUP(Table2[[#This Row],[Tegevusala]],Table4[[Tegevusala kood]:[Tegevusala alanimetus]],4,FALSE)</f>
        <v>Muu elamu- ja kommunaalmajanduse tegevus</v>
      </c>
      <c r="E189" s="3" t="str">
        <f>VLOOKUP(Table2[[#This Row],[Tegevusala nimetus2]],Table4[[Tegevusala nimetus]:[Tegevusala koondnimetus]],2,FALSE)</f>
        <v>Elamu- ja kommunaalmajandus</v>
      </c>
      <c r="F189" t="s">
        <v>934</v>
      </c>
      <c r="G189" t="s">
        <v>891</v>
      </c>
      <c r="H189" s="40">
        <v>150</v>
      </c>
      <c r="I189" s="2" t="s">
        <v>944</v>
      </c>
      <c r="J189">
        <v>5511</v>
      </c>
      <c r="K189" s="3" t="str">
        <f>VLOOKUP(Table2[[#This Row],[Konto]],Table5[[Konto]:[Konto nimetus]],2,FALSE)</f>
        <v>Kinnistute, hoonete ja ruumide majandamiskulud</v>
      </c>
      <c r="L189">
        <v>55</v>
      </c>
      <c r="M189" t="str">
        <f t="shared" si="5"/>
        <v>55</v>
      </c>
      <c r="N189" s="3" t="str">
        <f>VLOOKUP(Table2[[#This Row],[Tulu/kulu liik2]],Table5[[Tulu/kulu liik]:[Kontode koondnimetus]],4,FALSE)</f>
        <v>Muud tegevuskulud</v>
      </c>
      <c r="O189" s="3" t="str">
        <f>VLOOKUP(Table2[[#This Row],[Tulu/kulu liik2]],Table5[],6,FALSE)</f>
        <v>Majandamiskulud</v>
      </c>
      <c r="P189" s="3" t="str">
        <f>VLOOKUP(Table2[[#This Row],[Tulu/kulu liik2]],Table5[],5,FALSE)</f>
        <v>Põhitegevuse kulu</v>
      </c>
    </row>
    <row r="190" spans="1:16" x14ac:dyDescent="0.25">
      <c r="A190" t="str">
        <f t="shared" si="4"/>
        <v>06</v>
      </c>
      <c r="B190" t="s">
        <v>255</v>
      </c>
      <c r="C190" s="3" t="str">
        <f>VLOOKUP(Table2[[#This Row],[Tegevusala]],Table4[],2,FALSE)</f>
        <v xml:space="preserve"> Rägavere halduspiirkond</v>
      </c>
      <c r="D190" s="3" t="str">
        <f>VLOOKUP(Table2[[#This Row],[Tegevusala]],Table4[[Tegevusala kood]:[Tegevusala alanimetus]],4,FALSE)</f>
        <v>Muu elamu- ja kommunaalmajanduse tegevus</v>
      </c>
      <c r="E190" s="3" t="str">
        <f>VLOOKUP(Table2[[#This Row],[Tegevusala nimetus2]],Table4[[Tegevusala nimetus]:[Tegevusala koondnimetus]],2,FALSE)</f>
        <v>Elamu- ja kommunaalmajandus</v>
      </c>
      <c r="F190" t="s">
        <v>934</v>
      </c>
      <c r="G190" t="s">
        <v>894</v>
      </c>
      <c r="H190" s="40">
        <v>540</v>
      </c>
      <c r="J190">
        <v>5511</v>
      </c>
      <c r="K190" s="3" t="str">
        <f>VLOOKUP(Table2[[#This Row],[Konto]],Table5[[Konto]:[Konto nimetus]],2,FALSE)</f>
        <v>Kinnistute, hoonete ja ruumide majandamiskulud</v>
      </c>
      <c r="L190">
        <v>55</v>
      </c>
      <c r="M190" t="str">
        <f t="shared" si="5"/>
        <v>55</v>
      </c>
      <c r="N190" s="3" t="str">
        <f>VLOOKUP(Table2[[#This Row],[Tulu/kulu liik2]],Table5[[Tulu/kulu liik]:[Kontode koondnimetus]],4,FALSE)</f>
        <v>Muud tegevuskulud</v>
      </c>
      <c r="O190" s="3" t="str">
        <f>VLOOKUP(Table2[[#This Row],[Tulu/kulu liik2]],Table5[],6,FALSE)</f>
        <v>Majandamiskulud</v>
      </c>
      <c r="P190" s="3" t="str">
        <f>VLOOKUP(Table2[[#This Row],[Tulu/kulu liik2]],Table5[],5,FALSE)</f>
        <v>Põhitegevuse kulu</v>
      </c>
    </row>
    <row r="191" spans="1:16" x14ac:dyDescent="0.25">
      <c r="A191" t="str">
        <f t="shared" si="4"/>
        <v>06</v>
      </c>
      <c r="B191" t="s">
        <v>255</v>
      </c>
      <c r="C191" s="3" t="str">
        <f>VLOOKUP(Table2[[#This Row],[Tegevusala]],Table4[],2,FALSE)</f>
        <v xml:space="preserve"> Rägavere halduspiirkond</v>
      </c>
      <c r="D191" s="3" t="str">
        <f>VLOOKUP(Table2[[#This Row],[Tegevusala]],Table4[[Tegevusala kood]:[Tegevusala alanimetus]],4,FALSE)</f>
        <v>Muu elamu- ja kommunaalmajanduse tegevus</v>
      </c>
      <c r="E191" s="3" t="str">
        <f>VLOOKUP(Table2[[#This Row],[Tegevusala nimetus2]],Table4[[Tegevusala nimetus]:[Tegevusala koondnimetus]],2,FALSE)</f>
        <v>Elamu- ja kommunaalmajandus</v>
      </c>
      <c r="F191" t="s">
        <v>934</v>
      </c>
      <c r="G191" t="s">
        <v>896</v>
      </c>
      <c r="H191" s="40">
        <v>200</v>
      </c>
      <c r="J191">
        <v>5511</v>
      </c>
      <c r="K191" s="3" t="str">
        <f>VLOOKUP(Table2[[#This Row],[Konto]],Table5[[Konto]:[Konto nimetus]],2,FALSE)</f>
        <v>Kinnistute, hoonete ja ruumide majandamiskulud</v>
      </c>
      <c r="L191">
        <v>55</v>
      </c>
      <c r="M191" t="str">
        <f t="shared" si="5"/>
        <v>55</v>
      </c>
      <c r="N191" s="3" t="str">
        <f>VLOOKUP(Table2[[#This Row],[Tulu/kulu liik2]],Table5[[Tulu/kulu liik]:[Kontode koondnimetus]],4,FALSE)</f>
        <v>Muud tegevuskulud</v>
      </c>
      <c r="O191" s="3" t="str">
        <f>VLOOKUP(Table2[[#This Row],[Tulu/kulu liik2]],Table5[],6,FALSE)</f>
        <v>Majandamiskulud</v>
      </c>
      <c r="P191" s="3" t="str">
        <f>VLOOKUP(Table2[[#This Row],[Tulu/kulu liik2]],Table5[],5,FALSE)</f>
        <v>Põhitegevuse kulu</v>
      </c>
    </row>
    <row r="192" spans="1:16" x14ac:dyDescent="0.25">
      <c r="A192" t="str">
        <f t="shared" si="4"/>
        <v>06</v>
      </c>
      <c r="B192" t="s">
        <v>255</v>
      </c>
      <c r="C192" s="3" t="str">
        <f>VLOOKUP(Table2[[#This Row],[Tegevusala]],Table4[],2,FALSE)</f>
        <v xml:space="preserve"> Rägavere halduspiirkond</v>
      </c>
      <c r="D192" s="3" t="str">
        <f>VLOOKUP(Table2[[#This Row],[Tegevusala]],Table4[[Tegevusala kood]:[Tegevusala alanimetus]],4,FALSE)</f>
        <v>Muu elamu- ja kommunaalmajanduse tegevus</v>
      </c>
      <c r="E192" s="3" t="str">
        <f>VLOOKUP(Table2[[#This Row],[Tegevusala nimetus2]],Table4[[Tegevusala nimetus]:[Tegevusala koondnimetus]],2,FALSE)</f>
        <v>Elamu- ja kommunaalmajandus</v>
      </c>
      <c r="F192" t="s">
        <v>934</v>
      </c>
      <c r="G192" t="s">
        <v>939</v>
      </c>
      <c r="H192" s="40">
        <v>116</v>
      </c>
      <c r="J192">
        <v>5511</v>
      </c>
      <c r="K192" s="3" t="str">
        <f>VLOOKUP(Table2[[#This Row],[Konto]],Table5[[Konto]:[Konto nimetus]],2,FALSE)</f>
        <v>Kinnistute, hoonete ja ruumide majandamiskulud</v>
      </c>
      <c r="L192">
        <v>55</v>
      </c>
      <c r="M192" t="str">
        <f t="shared" si="5"/>
        <v>55</v>
      </c>
      <c r="N192" s="3" t="str">
        <f>VLOOKUP(Table2[[#This Row],[Tulu/kulu liik2]],Table5[[Tulu/kulu liik]:[Kontode koondnimetus]],4,FALSE)</f>
        <v>Muud tegevuskulud</v>
      </c>
      <c r="O192" s="3" t="str">
        <f>VLOOKUP(Table2[[#This Row],[Tulu/kulu liik2]],Table5[],6,FALSE)</f>
        <v>Majandamiskulud</v>
      </c>
      <c r="P192" s="3" t="str">
        <f>VLOOKUP(Table2[[#This Row],[Tulu/kulu liik2]],Table5[],5,FALSE)</f>
        <v>Põhitegevuse kulu</v>
      </c>
    </row>
    <row r="193" spans="1:16" x14ac:dyDescent="0.25">
      <c r="A193" t="str">
        <f t="shared" si="4"/>
        <v>06</v>
      </c>
      <c r="B193" t="s">
        <v>255</v>
      </c>
      <c r="C193" s="3" t="str">
        <f>VLOOKUP(Table2[[#This Row],[Tegevusala]],Table4[],2,FALSE)</f>
        <v xml:space="preserve"> Rägavere halduspiirkond</v>
      </c>
      <c r="D193" s="3" t="str">
        <f>VLOOKUP(Table2[[#This Row],[Tegevusala]],Table4[[Tegevusala kood]:[Tegevusala alanimetus]],4,FALSE)</f>
        <v>Muu elamu- ja kommunaalmajanduse tegevus</v>
      </c>
      <c r="E193" s="3" t="str">
        <f>VLOOKUP(Table2[[#This Row],[Tegevusala nimetus2]],Table4[[Tegevusala nimetus]:[Tegevusala koondnimetus]],2,FALSE)</f>
        <v>Elamu- ja kommunaalmajandus</v>
      </c>
      <c r="F193" t="s">
        <v>934</v>
      </c>
      <c r="G193" t="s">
        <v>940</v>
      </c>
      <c r="H193" s="40">
        <v>300</v>
      </c>
      <c r="J193">
        <v>5511</v>
      </c>
      <c r="K193" s="3" t="str">
        <f>VLOOKUP(Table2[[#This Row],[Konto]],Table5[[Konto]:[Konto nimetus]],2,FALSE)</f>
        <v>Kinnistute, hoonete ja ruumide majandamiskulud</v>
      </c>
      <c r="L193">
        <v>55</v>
      </c>
      <c r="M193" t="str">
        <f t="shared" si="5"/>
        <v>55</v>
      </c>
      <c r="N193" s="3" t="str">
        <f>VLOOKUP(Table2[[#This Row],[Tulu/kulu liik2]],Table5[[Tulu/kulu liik]:[Kontode koondnimetus]],4,FALSE)</f>
        <v>Muud tegevuskulud</v>
      </c>
      <c r="O193" s="3" t="str">
        <f>VLOOKUP(Table2[[#This Row],[Tulu/kulu liik2]],Table5[],6,FALSE)</f>
        <v>Majandamiskulud</v>
      </c>
      <c r="P193" s="3" t="str">
        <f>VLOOKUP(Table2[[#This Row],[Tulu/kulu liik2]],Table5[],5,FALSE)</f>
        <v>Põhitegevuse kulu</v>
      </c>
    </row>
    <row r="194" spans="1:16" x14ac:dyDescent="0.25">
      <c r="A194" t="str">
        <f t="shared" ref="A194:A257" si="6">LEFT(B194,2)</f>
        <v>06</v>
      </c>
      <c r="B194" t="s">
        <v>255</v>
      </c>
      <c r="C194" s="3" t="str">
        <f>VLOOKUP(Table2[[#This Row],[Tegevusala]],Table4[],2,FALSE)</f>
        <v xml:space="preserve"> Rägavere halduspiirkond</v>
      </c>
      <c r="D194" s="3" t="str">
        <f>VLOOKUP(Table2[[#This Row],[Tegevusala]],Table4[[Tegevusala kood]:[Tegevusala alanimetus]],4,FALSE)</f>
        <v>Muu elamu- ja kommunaalmajanduse tegevus</v>
      </c>
      <c r="E194" s="3" t="str">
        <f>VLOOKUP(Table2[[#This Row],[Tegevusala nimetus2]],Table4[[Tegevusala nimetus]:[Tegevusala koondnimetus]],2,FALSE)</f>
        <v>Elamu- ja kommunaalmajandus</v>
      </c>
      <c r="F194" t="s">
        <v>934</v>
      </c>
      <c r="G194" t="s">
        <v>941</v>
      </c>
      <c r="H194" s="40">
        <v>4000</v>
      </c>
      <c r="J194">
        <v>5511</v>
      </c>
      <c r="K194" s="3" t="str">
        <f>VLOOKUP(Table2[[#This Row],[Konto]],Table5[[Konto]:[Konto nimetus]],2,FALSE)</f>
        <v>Kinnistute, hoonete ja ruumide majandamiskulud</v>
      </c>
      <c r="L194">
        <v>55</v>
      </c>
      <c r="M194" t="str">
        <f t="shared" ref="M194:M257" si="7">LEFT(J194,2)</f>
        <v>55</v>
      </c>
      <c r="N194" s="3" t="str">
        <f>VLOOKUP(Table2[[#This Row],[Tulu/kulu liik2]],Table5[[Tulu/kulu liik]:[Kontode koondnimetus]],4,FALSE)</f>
        <v>Muud tegevuskulud</v>
      </c>
      <c r="O194" s="3" t="str">
        <f>VLOOKUP(Table2[[#This Row],[Tulu/kulu liik2]],Table5[],6,FALSE)</f>
        <v>Majandamiskulud</v>
      </c>
      <c r="P194" s="3" t="str">
        <f>VLOOKUP(Table2[[#This Row],[Tulu/kulu liik2]],Table5[],5,FALSE)</f>
        <v>Põhitegevuse kulu</v>
      </c>
    </row>
    <row r="195" spans="1:16" x14ac:dyDescent="0.25">
      <c r="A195" t="str">
        <f t="shared" si="6"/>
        <v>06</v>
      </c>
      <c r="B195" t="s">
        <v>255</v>
      </c>
      <c r="C195" s="3" t="str">
        <f>VLOOKUP(Table2[[#This Row],[Tegevusala]],Table4[],2,FALSE)</f>
        <v xml:space="preserve"> Rägavere halduspiirkond</v>
      </c>
      <c r="D195" s="3" t="str">
        <f>VLOOKUP(Table2[[#This Row],[Tegevusala]],Table4[[Tegevusala kood]:[Tegevusala alanimetus]],4,FALSE)</f>
        <v>Muu elamu- ja kommunaalmajanduse tegevus</v>
      </c>
      <c r="E195" s="3" t="str">
        <f>VLOOKUP(Table2[[#This Row],[Tegevusala nimetus2]],Table4[[Tegevusala nimetus]:[Tegevusala koondnimetus]],2,FALSE)</f>
        <v>Elamu- ja kommunaalmajandus</v>
      </c>
      <c r="F195" t="s">
        <v>934</v>
      </c>
      <c r="G195" t="s">
        <v>942</v>
      </c>
      <c r="H195" s="40">
        <v>570</v>
      </c>
      <c r="J195">
        <v>5511</v>
      </c>
      <c r="K195" s="3" t="str">
        <f>VLOOKUP(Table2[[#This Row],[Konto]],Table5[[Konto]:[Konto nimetus]],2,FALSE)</f>
        <v>Kinnistute, hoonete ja ruumide majandamiskulud</v>
      </c>
      <c r="L195">
        <v>55</v>
      </c>
      <c r="M195" t="str">
        <f t="shared" si="7"/>
        <v>55</v>
      </c>
      <c r="N195" s="3" t="str">
        <f>VLOOKUP(Table2[[#This Row],[Tulu/kulu liik2]],Table5[[Tulu/kulu liik]:[Kontode koondnimetus]],4,FALSE)</f>
        <v>Muud tegevuskulud</v>
      </c>
      <c r="O195" s="3" t="str">
        <f>VLOOKUP(Table2[[#This Row],[Tulu/kulu liik2]],Table5[],6,FALSE)</f>
        <v>Majandamiskulud</v>
      </c>
      <c r="P195" s="3" t="str">
        <f>VLOOKUP(Table2[[#This Row],[Tulu/kulu liik2]],Table5[],5,FALSE)</f>
        <v>Põhitegevuse kulu</v>
      </c>
    </row>
    <row r="196" spans="1:16" x14ac:dyDescent="0.25">
      <c r="A196" t="str">
        <f t="shared" si="6"/>
        <v>06</v>
      </c>
      <c r="B196" t="s">
        <v>255</v>
      </c>
      <c r="C196" s="3" t="str">
        <f>VLOOKUP(Table2[[#This Row],[Tegevusala]],Table4[],2,FALSE)</f>
        <v xml:space="preserve"> Rägavere halduspiirkond</v>
      </c>
      <c r="D196" s="3" t="str">
        <f>VLOOKUP(Table2[[#This Row],[Tegevusala]],Table4[[Tegevusala kood]:[Tegevusala alanimetus]],4,FALSE)</f>
        <v>Muu elamu- ja kommunaalmajanduse tegevus</v>
      </c>
      <c r="E196" s="3" t="str">
        <f>VLOOKUP(Table2[[#This Row],[Tegevusala nimetus2]],Table4[[Tegevusala nimetus]:[Tegevusala koondnimetus]],2,FALSE)</f>
        <v>Elamu- ja kommunaalmajandus</v>
      </c>
      <c r="F196" t="s">
        <v>934</v>
      </c>
      <c r="G196" t="s">
        <v>943</v>
      </c>
      <c r="H196" s="40">
        <v>3000</v>
      </c>
      <c r="J196">
        <v>5511</v>
      </c>
      <c r="K196" s="3" t="str">
        <f>VLOOKUP(Table2[[#This Row],[Konto]],Table5[[Konto]:[Konto nimetus]],2,FALSE)</f>
        <v>Kinnistute, hoonete ja ruumide majandamiskulud</v>
      </c>
      <c r="L196">
        <v>55</v>
      </c>
      <c r="M196" t="str">
        <f t="shared" si="7"/>
        <v>55</v>
      </c>
      <c r="N196" s="3" t="str">
        <f>VLOOKUP(Table2[[#This Row],[Tulu/kulu liik2]],Table5[[Tulu/kulu liik]:[Kontode koondnimetus]],4,FALSE)</f>
        <v>Muud tegevuskulud</v>
      </c>
      <c r="O196" s="3" t="str">
        <f>VLOOKUP(Table2[[#This Row],[Tulu/kulu liik2]],Table5[],6,FALSE)</f>
        <v>Majandamiskulud</v>
      </c>
      <c r="P196" s="3" t="str">
        <f>VLOOKUP(Table2[[#This Row],[Tulu/kulu liik2]],Table5[],5,FALSE)</f>
        <v>Põhitegevuse kulu</v>
      </c>
    </row>
    <row r="197" spans="1:16" x14ac:dyDescent="0.25">
      <c r="A197" t="str">
        <f t="shared" si="6"/>
        <v>06</v>
      </c>
      <c r="B197" t="s">
        <v>255</v>
      </c>
      <c r="C197" s="3" t="str">
        <f>VLOOKUP(Table2[[#This Row],[Tegevusala]],Table4[],2,FALSE)</f>
        <v xml:space="preserve"> Rägavere halduspiirkond</v>
      </c>
      <c r="D197" s="3" t="str">
        <f>VLOOKUP(Table2[[#This Row],[Tegevusala]],Table4[[Tegevusala kood]:[Tegevusala alanimetus]],4,FALSE)</f>
        <v>Muu elamu- ja kommunaalmajanduse tegevus</v>
      </c>
      <c r="E197" s="3" t="str">
        <f>VLOOKUP(Table2[[#This Row],[Tegevusala nimetus2]],Table4[[Tegevusala nimetus]:[Tegevusala koondnimetus]],2,FALSE)</f>
        <v>Elamu- ja kommunaalmajandus</v>
      </c>
      <c r="F197" t="s">
        <v>934</v>
      </c>
      <c r="G197" t="s">
        <v>864</v>
      </c>
      <c r="H197" s="40">
        <v>300</v>
      </c>
      <c r="I197" s="2" t="s">
        <v>865</v>
      </c>
      <c r="J197">
        <v>5500</v>
      </c>
      <c r="K197" s="3" t="str">
        <f>VLOOKUP(Table2[[#This Row],[Konto]],Table5[[Konto]:[Konto nimetus]],2,FALSE)</f>
        <v>Administreerimiskulud</v>
      </c>
      <c r="L197">
        <v>55</v>
      </c>
      <c r="M197" t="str">
        <f t="shared" si="7"/>
        <v>55</v>
      </c>
      <c r="N197" s="3" t="str">
        <f>VLOOKUP(Table2[[#This Row],[Tulu/kulu liik2]],Table5[[Tulu/kulu liik]:[Kontode koondnimetus]],4,FALSE)</f>
        <v>Muud tegevuskulud</v>
      </c>
      <c r="O197" s="3" t="str">
        <f>VLOOKUP(Table2[[#This Row],[Tulu/kulu liik2]],Table5[],6,FALSE)</f>
        <v>Majandamiskulud</v>
      </c>
      <c r="P197" s="3" t="str">
        <f>VLOOKUP(Table2[[#This Row],[Tulu/kulu liik2]],Table5[],5,FALSE)</f>
        <v>Põhitegevuse kulu</v>
      </c>
    </row>
    <row r="198" spans="1:16" x14ac:dyDescent="0.25">
      <c r="A198" t="str">
        <f t="shared" si="6"/>
        <v>06</v>
      </c>
      <c r="B198" t="s">
        <v>255</v>
      </c>
      <c r="C198" s="3" t="str">
        <f>VLOOKUP(Table2[[#This Row],[Tegevusala]],Table4[],2,FALSE)</f>
        <v xml:space="preserve"> Rägavere halduspiirkond</v>
      </c>
      <c r="D198" s="3" t="str">
        <f>VLOOKUP(Table2[[#This Row],[Tegevusala]],Table4[[Tegevusala kood]:[Tegevusala alanimetus]],4,FALSE)</f>
        <v>Muu elamu- ja kommunaalmajanduse tegevus</v>
      </c>
      <c r="E198" s="3" t="str">
        <f>VLOOKUP(Table2[[#This Row],[Tegevusala nimetus2]],Table4[[Tegevusala nimetus]:[Tegevusala koondnimetus]],2,FALSE)</f>
        <v>Elamu- ja kommunaalmajandus</v>
      </c>
      <c r="F198" t="s">
        <v>934</v>
      </c>
      <c r="G198" t="s">
        <v>793</v>
      </c>
      <c r="H198" s="40">
        <v>26.4</v>
      </c>
      <c r="I198" s="2" t="s">
        <v>936</v>
      </c>
      <c r="J198">
        <v>5500</v>
      </c>
      <c r="K198" s="3" t="str">
        <f>VLOOKUP(Table2[[#This Row],[Konto]],Table5[[Konto]:[Konto nimetus]],2,FALSE)</f>
        <v>Administreerimiskulud</v>
      </c>
      <c r="L198">
        <v>55</v>
      </c>
      <c r="M198" t="str">
        <f t="shared" si="7"/>
        <v>55</v>
      </c>
      <c r="N198" s="3" t="str">
        <f>VLOOKUP(Table2[[#This Row],[Tulu/kulu liik2]],Table5[[Tulu/kulu liik]:[Kontode koondnimetus]],4,FALSE)</f>
        <v>Muud tegevuskulud</v>
      </c>
      <c r="O198" s="3" t="str">
        <f>VLOOKUP(Table2[[#This Row],[Tulu/kulu liik2]],Table5[],6,FALSE)</f>
        <v>Majandamiskulud</v>
      </c>
      <c r="P198" s="3" t="str">
        <f>VLOOKUP(Table2[[#This Row],[Tulu/kulu liik2]],Table5[],5,FALSE)</f>
        <v>Põhitegevuse kulu</v>
      </c>
    </row>
    <row r="199" spans="1:16" x14ac:dyDescent="0.25">
      <c r="A199" t="str">
        <f t="shared" si="6"/>
        <v>06</v>
      </c>
      <c r="B199" t="s">
        <v>255</v>
      </c>
      <c r="C199" s="3" t="str">
        <f>VLOOKUP(Table2[[#This Row],[Tegevusala]],Table4[],2,FALSE)</f>
        <v xml:space="preserve"> Rägavere halduspiirkond</v>
      </c>
      <c r="D199" s="3" t="str">
        <f>VLOOKUP(Table2[[#This Row],[Tegevusala]],Table4[[Tegevusala kood]:[Tegevusala alanimetus]],4,FALSE)</f>
        <v>Muu elamu- ja kommunaalmajanduse tegevus</v>
      </c>
      <c r="E199" s="3" t="str">
        <f>VLOOKUP(Table2[[#This Row],[Tegevusala nimetus2]],Table4[[Tegevusala nimetus]:[Tegevusala koondnimetus]],2,FALSE)</f>
        <v>Elamu- ja kommunaalmajandus</v>
      </c>
      <c r="F199" t="s">
        <v>934</v>
      </c>
      <c r="G199" t="s">
        <v>409</v>
      </c>
      <c r="H199" s="40">
        <v>200</v>
      </c>
      <c r="J199">
        <v>5504</v>
      </c>
      <c r="K199" s="3" t="str">
        <f>VLOOKUP(Table2[[#This Row],[Konto]],Table5[[Konto]:[Konto nimetus]],2,FALSE)</f>
        <v>Koolituskulud</v>
      </c>
      <c r="L199">
        <v>55</v>
      </c>
      <c r="M199" t="str">
        <f t="shared" si="7"/>
        <v>55</v>
      </c>
      <c r="N199" s="3" t="str">
        <f>VLOOKUP(Table2[[#This Row],[Tulu/kulu liik2]],Table5[[Tulu/kulu liik]:[Kontode koondnimetus]],4,FALSE)</f>
        <v>Muud tegevuskulud</v>
      </c>
      <c r="O199" s="3" t="str">
        <f>VLOOKUP(Table2[[#This Row],[Tulu/kulu liik2]],Table5[],6,FALSE)</f>
        <v>Majandamiskulud</v>
      </c>
      <c r="P199" s="3" t="str">
        <f>VLOOKUP(Table2[[#This Row],[Tulu/kulu liik2]],Table5[],5,FALSE)</f>
        <v>Põhitegevuse kulu</v>
      </c>
    </row>
    <row r="200" spans="1:16" x14ac:dyDescent="0.25">
      <c r="A200" t="str">
        <f t="shared" si="6"/>
        <v>06</v>
      </c>
      <c r="B200" t="s">
        <v>255</v>
      </c>
      <c r="C200" s="3" t="str">
        <f>VLOOKUP(Table2[[#This Row],[Tegevusala]],Table4[],2,FALSE)</f>
        <v xml:space="preserve"> Rägavere halduspiirkond</v>
      </c>
      <c r="D200" s="3" t="str">
        <f>VLOOKUP(Table2[[#This Row],[Tegevusala]],Table4[[Tegevusala kood]:[Tegevusala alanimetus]],4,FALSE)</f>
        <v>Muu elamu- ja kommunaalmajanduse tegevus</v>
      </c>
      <c r="E200" s="3" t="str">
        <f>VLOOKUP(Table2[[#This Row],[Tegevusala nimetus2]],Table4[[Tegevusala nimetus]:[Tegevusala koondnimetus]],2,FALSE)</f>
        <v>Elamu- ja kommunaalmajandus</v>
      </c>
      <c r="F200" t="s">
        <v>934</v>
      </c>
      <c r="G200" t="s">
        <v>945</v>
      </c>
      <c r="H200" s="40">
        <v>3500</v>
      </c>
      <c r="I200" s="2" t="s">
        <v>198</v>
      </c>
      <c r="J200">
        <v>5513</v>
      </c>
      <c r="K200" s="3" t="str">
        <f>VLOOKUP(Table2[[#This Row],[Konto]],Table5[[Konto]:[Konto nimetus]],2,FALSE)</f>
        <v>Sõidukite ülalpidamise kulud</v>
      </c>
      <c r="L200">
        <v>55</v>
      </c>
      <c r="M200" t="str">
        <f t="shared" si="7"/>
        <v>55</v>
      </c>
      <c r="N200" s="3" t="str">
        <f>VLOOKUP(Table2[[#This Row],[Tulu/kulu liik2]],Table5[[Tulu/kulu liik]:[Kontode koondnimetus]],4,FALSE)</f>
        <v>Muud tegevuskulud</v>
      </c>
      <c r="O200" s="3" t="str">
        <f>VLOOKUP(Table2[[#This Row],[Tulu/kulu liik2]],Table5[],6,FALSE)</f>
        <v>Majandamiskulud</v>
      </c>
      <c r="P200" s="3" t="str">
        <f>VLOOKUP(Table2[[#This Row],[Tulu/kulu liik2]],Table5[],5,FALSE)</f>
        <v>Põhitegevuse kulu</v>
      </c>
    </row>
    <row r="201" spans="1:16" x14ac:dyDescent="0.25">
      <c r="A201" t="str">
        <f t="shared" si="6"/>
        <v>06</v>
      </c>
      <c r="B201" t="s">
        <v>255</v>
      </c>
      <c r="C201" s="3" t="str">
        <f>VLOOKUP(Table2[[#This Row],[Tegevusala]],Table4[],2,FALSE)</f>
        <v xml:space="preserve"> Rägavere halduspiirkond</v>
      </c>
      <c r="D201" s="3" t="str">
        <f>VLOOKUP(Table2[[#This Row],[Tegevusala]],Table4[[Tegevusala kood]:[Tegevusala alanimetus]],4,FALSE)</f>
        <v>Muu elamu- ja kommunaalmajanduse tegevus</v>
      </c>
      <c r="E201" s="3" t="str">
        <f>VLOOKUP(Table2[[#This Row],[Tegevusala nimetus2]],Table4[[Tegevusala nimetus]:[Tegevusala koondnimetus]],2,FALSE)</f>
        <v>Elamu- ja kommunaalmajandus</v>
      </c>
      <c r="F201" t="s">
        <v>934</v>
      </c>
      <c r="G201" t="s">
        <v>946</v>
      </c>
      <c r="H201" s="40">
        <v>8000</v>
      </c>
      <c r="I201" s="2" t="s">
        <v>2101</v>
      </c>
      <c r="J201">
        <v>5513</v>
      </c>
      <c r="K201" s="3" t="str">
        <f>VLOOKUP(Table2[[#This Row],[Konto]],Table5[[Konto]:[Konto nimetus]],2,FALSE)</f>
        <v>Sõidukite ülalpidamise kulud</v>
      </c>
      <c r="L201">
        <v>55</v>
      </c>
      <c r="M201" t="str">
        <f t="shared" si="7"/>
        <v>55</v>
      </c>
      <c r="N201" s="3" t="str">
        <f>VLOOKUP(Table2[[#This Row],[Tulu/kulu liik2]],Table5[[Tulu/kulu liik]:[Kontode koondnimetus]],4,FALSE)</f>
        <v>Muud tegevuskulud</v>
      </c>
      <c r="O201" s="3" t="str">
        <f>VLOOKUP(Table2[[#This Row],[Tulu/kulu liik2]],Table5[],6,FALSE)</f>
        <v>Majandamiskulud</v>
      </c>
      <c r="P201" s="3" t="str">
        <f>VLOOKUP(Table2[[#This Row],[Tulu/kulu liik2]],Table5[],5,FALSE)</f>
        <v>Põhitegevuse kulu</v>
      </c>
    </row>
    <row r="202" spans="1:16" x14ac:dyDescent="0.25">
      <c r="A202" t="str">
        <f t="shared" si="6"/>
        <v>06</v>
      </c>
      <c r="B202" t="s">
        <v>255</v>
      </c>
      <c r="C202" s="3" t="str">
        <f>VLOOKUP(Table2[[#This Row],[Tegevusala]],Table4[],2,FALSE)</f>
        <v xml:space="preserve"> Rägavere halduspiirkond</v>
      </c>
      <c r="D202" s="3" t="str">
        <f>VLOOKUP(Table2[[#This Row],[Tegevusala]],Table4[[Tegevusala kood]:[Tegevusala alanimetus]],4,FALSE)</f>
        <v>Muu elamu- ja kommunaalmajanduse tegevus</v>
      </c>
      <c r="E202" s="3" t="str">
        <f>VLOOKUP(Table2[[#This Row],[Tegevusala nimetus2]],Table4[[Tegevusala nimetus]:[Tegevusala koondnimetus]],2,FALSE)</f>
        <v>Elamu- ja kommunaalmajandus</v>
      </c>
      <c r="F202" t="s">
        <v>934</v>
      </c>
      <c r="G202" t="s">
        <v>442</v>
      </c>
      <c r="H202" s="40">
        <f>300*12</f>
        <v>3600</v>
      </c>
      <c r="J202">
        <v>5513</v>
      </c>
      <c r="K202" s="3" t="str">
        <f>VLOOKUP(Table2[[#This Row],[Konto]],Table5[[Konto]:[Konto nimetus]],2,FALSE)</f>
        <v>Sõidukite ülalpidamise kulud</v>
      </c>
      <c r="L202">
        <v>55</v>
      </c>
      <c r="M202" t="str">
        <f t="shared" si="7"/>
        <v>55</v>
      </c>
      <c r="N202" s="3" t="str">
        <f>VLOOKUP(Table2[[#This Row],[Tulu/kulu liik2]],Table5[[Tulu/kulu liik]:[Kontode koondnimetus]],4,FALSE)</f>
        <v>Muud tegevuskulud</v>
      </c>
      <c r="O202" s="3" t="str">
        <f>VLOOKUP(Table2[[#This Row],[Tulu/kulu liik2]],Table5[],6,FALSE)</f>
        <v>Majandamiskulud</v>
      </c>
      <c r="P202" s="3" t="str">
        <f>VLOOKUP(Table2[[#This Row],[Tulu/kulu liik2]],Table5[],5,FALSE)</f>
        <v>Põhitegevuse kulu</v>
      </c>
    </row>
    <row r="203" spans="1:16" x14ac:dyDescent="0.25">
      <c r="A203" t="str">
        <f t="shared" si="6"/>
        <v>06</v>
      </c>
      <c r="B203" t="s">
        <v>255</v>
      </c>
      <c r="C203" s="3" t="str">
        <f>VLOOKUP(Table2[[#This Row],[Tegevusala]],Table4[],2,FALSE)</f>
        <v xml:space="preserve"> Rägavere halduspiirkond</v>
      </c>
      <c r="D203" s="3" t="str">
        <f>VLOOKUP(Table2[[#This Row],[Tegevusala]],Table4[[Tegevusala kood]:[Tegevusala alanimetus]],4,FALSE)</f>
        <v>Muu elamu- ja kommunaalmajanduse tegevus</v>
      </c>
      <c r="E203" s="3" t="str">
        <f>VLOOKUP(Table2[[#This Row],[Tegevusala nimetus2]],Table4[[Tegevusala nimetus]:[Tegevusala koondnimetus]],2,FALSE)</f>
        <v>Elamu- ja kommunaalmajandus</v>
      </c>
      <c r="F203" t="s">
        <v>934</v>
      </c>
      <c r="G203" t="s">
        <v>918</v>
      </c>
      <c r="H203" s="40">
        <v>900</v>
      </c>
      <c r="I203" s="2" t="s">
        <v>949</v>
      </c>
      <c r="J203">
        <v>5515</v>
      </c>
      <c r="K203" s="3" t="str">
        <f>VLOOKUP(Table2[[#This Row],[Konto]],Table5[[Konto]:[Konto nimetus]],2,FALSE)</f>
        <v>Inventari kulud, v.a infotehnoloogia ja kaitseotstarbelised kulud</v>
      </c>
      <c r="L203">
        <v>55</v>
      </c>
      <c r="M203" t="str">
        <f t="shared" si="7"/>
        <v>55</v>
      </c>
      <c r="N203" s="3" t="str">
        <f>VLOOKUP(Table2[[#This Row],[Tulu/kulu liik2]],Table5[[Tulu/kulu liik]:[Kontode koondnimetus]],4,FALSE)</f>
        <v>Muud tegevuskulud</v>
      </c>
      <c r="O203" s="3" t="str">
        <f>VLOOKUP(Table2[[#This Row],[Tulu/kulu liik2]],Table5[],6,FALSE)</f>
        <v>Majandamiskulud</v>
      </c>
      <c r="P203" s="3" t="str">
        <f>VLOOKUP(Table2[[#This Row],[Tulu/kulu liik2]],Table5[],5,FALSE)</f>
        <v>Põhitegevuse kulu</v>
      </c>
    </row>
    <row r="204" spans="1:16" x14ac:dyDescent="0.25">
      <c r="A204" t="str">
        <f t="shared" si="6"/>
        <v>06</v>
      </c>
      <c r="B204" t="s">
        <v>255</v>
      </c>
      <c r="C204" s="3" t="str">
        <f>VLOOKUP(Table2[[#This Row],[Tegevusala]],Table4[],2,FALSE)</f>
        <v xml:space="preserve"> Rägavere halduspiirkond</v>
      </c>
      <c r="D204" s="3" t="str">
        <f>VLOOKUP(Table2[[#This Row],[Tegevusala]],Table4[[Tegevusala kood]:[Tegevusala alanimetus]],4,FALSE)</f>
        <v>Muu elamu- ja kommunaalmajanduse tegevus</v>
      </c>
      <c r="E204" s="3" t="str">
        <f>VLOOKUP(Table2[[#This Row],[Tegevusala nimetus2]],Table4[[Tegevusala nimetus]:[Tegevusala koondnimetus]],2,FALSE)</f>
        <v>Elamu- ja kommunaalmajandus</v>
      </c>
      <c r="F204" t="s">
        <v>934</v>
      </c>
      <c r="G204" t="s">
        <v>950</v>
      </c>
      <c r="H204" s="40">
        <v>2000</v>
      </c>
      <c r="J204">
        <v>5515</v>
      </c>
      <c r="K204" s="3" t="str">
        <f>VLOOKUP(Table2[[#This Row],[Konto]],Table5[[Konto]:[Konto nimetus]],2,FALSE)</f>
        <v>Inventari kulud, v.a infotehnoloogia ja kaitseotstarbelised kulud</v>
      </c>
      <c r="L204">
        <v>55</v>
      </c>
      <c r="M204" t="str">
        <f t="shared" si="7"/>
        <v>55</v>
      </c>
      <c r="N204" s="3" t="str">
        <f>VLOOKUP(Table2[[#This Row],[Tulu/kulu liik2]],Table5[[Tulu/kulu liik]:[Kontode koondnimetus]],4,FALSE)</f>
        <v>Muud tegevuskulud</v>
      </c>
      <c r="O204" s="3" t="str">
        <f>VLOOKUP(Table2[[#This Row],[Tulu/kulu liik2]],Table5[],6,FALSE)</f>
        <v>Majandamiskulud</v>
      </c>
      <c r="P204" s="3" t="str">
        <f>VLOOKUP(Table2[[#This Row],[Tulu/kulu liik2]],Table5[],5,FALSE)</f>
        <v>Põhitegevuse kulu</v>
      </c>
    </row>
    <row r="205" spans="1:16" x14ac:dyDescent="0.25">
      <c r="A205" t="str">
        <f t="shared" si="6"/>
        <v>06</v>
      </c>
      <c r="B205" t="s">
        <v>255</v>
      </c>
      <c r="C205" s="3" t="str">
        <f>VLOOKUP(Table2[[#This Row],[Tegevusala]],Table4[],2,FALSE)</f>
        <v xml:space="preserve"> Rägavere halduspiirkond</v>
      </c>
      <c r="D205" s="3" t="str">
        <f>VLOOKUP(Table2[[#This Row],[Tegevusala]],Table4[[Tegevusala kood]:[Tegevusala alanimetus]],4,FALSE)</f>
        <v>Muu elamu- ja kommunaalmajanduse tegevus</v>
      </c>
      <c r="E205" s="3" t="str">
        <f>VLOOKUP(Table2[[#This Row],[Tegevusala nimetus2]],Table4[[Tegevusala nimetus]:[Tegevusala koondnimetus]],2,FALSE)</f>
        <v>Elamu- ja kommunaalmajandus</v>
      </c>
      <c r="F205" t="s">
        <v>934</v>
      </c>
      <c r="G205" t="s">
        <v>912</v>
      </c>
      <c r="H205" s="40">
        <v>381.6</v>
      </c>
      <c r="I205" s="2" t="s">
        <v>948</v>
      </c>
      <c r="J205">
        <v>5514</v>
      </c>
      <c r="K205" s="3" t="str">
        <f>VLOOKUP(Table2[[#This Row],[Konto]],Table5[[Konto]:[Konto nimetus]],2,FALSE)</f>
        <v>Info- ja kommunikatsioonitehnoliigised kulud</v>
      </c>
      <c r="L205">
        <v>55</v>
      </c>
      <c r="M205" t="str">
        <f t="shared" si="7"/>
        <v>55</v>
      </c>
      <c r="N205" s="3" t="str">
        <f>VLOOKUP(Table2[[#This Row],[Tulu/kulu liik2]],Table5[[Tulu/kulu liik]:[Kontode koondnimetus]],4,FALSE)</f>
        <v>Muud tegevuskulud</v>
      </c>
      <c r="O205" s="3" t="str">
        <f>VLOOKUP(Table2[[#This Row],[Tulu/kulu liik2]],Table5[],6,FALSE)</f>
        <v>Majandamiskulud</v>
      </c>
      <c r="P205" s="3" t="str">
        <f>VLOOKUP(Table2[[#This Row],[Tulu/kulu liik2]],Table5[],5,FALSE)</f>
        <v>Põhitegevuse kulu</v>
      </c>
    </row>
    <row r="206" spans="1:16" x14ac:dyDescent="0.25">
      <c r="A206" t="str">
        <f t="shared" si="6"/>
        <v>06</v>
      </c>
      <c r="B206" t="s">
        <v>257</v>
      </c>
      <c r="C206" s="3" t="str">
        <f>VLOOKUP(Table2[[#This Row],[Tegevusala]],Table4[],2,FALSE)</f>
        <v xml:space="preserve"> Roela halduspiirkond</v>
      </c>
      <c r="D206" s="3" t="str">
        <f>VLOOKUP(Table2[[#This Row],[Tegevusala]],Table4[[Tegevusala kood]:[Tegevusala alanimetus]],4,FALSE)</f>
        <v>Muu elamu- ja kommunaalmajanduse tegevus</v>
      </c>
      <c r="E206" s="3" t="str">
        <f>VLOOKUP(Table2[[#This Row],[Tegevusala nimetus2]],Table4[[Tegevusala nimetus]:[Tegevusala koondnimetus]],2,FALSE)</f>
        <v>Elamu- ja kommunaalmajandus</v>
      </c>
      <c r="F206" t="s">
        <v>962</v>
      </c>
      <c r="G206" t="s">
        <v>963</v>
      </c>
      <c r="H206" s="40">
        <v>12950</v>
      </c>
      <c r="I206" s="2" t="s">
        <v>964</v>
      </c>
      <c r="J206">
        <v>5511</v>
      </c>
      <c r="K206" s="3" t="str">
        <f>VLOOKUP(Table2[[#This Row],[Konto]],Table5[[Konto]:[Konto nimetus]],2,FALSE)</f>
        <v>Kinnistute, hoonete ja ruumide majandamiskulud</v>
      </c>
      <c r="L206">
        <v>55</v>
      </c>
      <c r="M206" t="str">
        <f t="shared" si="7"/>
        <v>55</v>
      </c>
      <c r="N206" s="3" t="str">
        <f>VLOOKUP(Table2[[#This Row],[Tulu/kulu liik2]],Table5[[Tulu/kulu liik]:[Kontode koondnimetus]],4,FALSE)</f>
        <v>Muud tegevuskulud</v>
      </c>
      <c r="O206" s="3" t="str">
        <f>VLOOKUP(Table2[[#This Row],[Tulu/kulu liik2]],Table5[],6,FALSE)</f>
        <v>Majandamiskulud</v>
      </c>
      <c r="P206" s="3" t="str">
        <f>VLOOKUP(Table2[[#This Row],[Tulu/kulu liik2]],Table5[],5,FALSE)</f>
        <v>Põhitegevuse kulu</v>
      </c>
    </row>
    <row r="207" spans="1:16" x14ac:dyDescent="0.25">
      <c r="A207" t="str">
        <f t="shared" si="6"/>
        <v>06</v>
      </c>
      <c r="B207" t="s">
        <v>257</v>
      </c>
      <c r="C207" s="3" t="str">
        <f>VLOOKUP(Table2[[#This Row],[Tegevusala]],Table4[],2,FALSE)</f>
        <v xml:space="preserve"> Roela halduspiirkond</v>
      </c>
      <c r="D207" s="3" t="str">
        <f>VLOOKUP(Table2[[#This Row],[Tegevusala]],Table4[[Tegevusala kood]:[Tegevusala alanimetus]],4,FALSE)</f>
        <v>Muu elamu- ja kommunaalmajanduse tegevus</v>
      </c>
      <c r="E207" s="3" t="str">
        <f>VLOOKUP(Table2[[#This Row],[Tegevusala nimetus2]],Table4[[Tegevusala nimetus]:[Tegevusala koondnimetus]],2,FALSE)</f>
        <v>Elamu- ja kommunaalmajandus</v>
      </c>
      <c r="F207" t="s">
        <v>962</v>
      </c>
      <c r="G207" t="s">
        <v>965</v>
      </c>
      <c r="H207" s="40">
        <v>150</v>
      </c>
      <c r="J207">
        <v>5511</v>
      </c>
      <c r="K207" s="3" t="str">
        <f>VLOOKUP(Table2[[#This Row],[Konto]],Table5[[Konto]:[Konto nimetus]],2,FALSE)</f>
        <v>Kinnistute, hoonete ja ruumide majandamiskulud</v>
      </c>
      <c r="L207">
        <v>55</v>
      </c>
      <c r="M207" t="str">
        <f t="shared" si="7"/>
        <v>55</v>
      </c>
      <c r="N207" s="3" t="str">
        <f>VLOOKUP(Table2[[#This Row],[Tulu/kulu liik2]],Table5[[Tulu/kulu liik]:[Kontode koondnimetus]],4,FALSE)</f>
        <v>Muud tegevuskulud</v>
      </c>
      <c r="O207" s="3" t="str">
        <f>VLOOKUP(Table2[[#This Row],[Tulu/kulu liik2]],Table5[],6,FALSE)</f>
        <v>Majandamiskulud</v>
      </c>
      <c r="P207" s="3" t="str">
        <f>VLOOKUP(Table2[[#This Row],[Tulu/kulu liik2]],Table5[],5,FALSE)</f>
        <v>Põhitegevuse kulu</v>
      </c>
    </row>
    <row r="208" spans="1:16" x14ac:dyDescent="0.25">
      <c r="A208" t="str">
        <f t="shared" si="6"/>
        <v>06</v>
      </c>
      <c r="B208" t="s">
        <v>257</v>
      </c>
      <c r="C208" s="3" t="str">
        <f>VLOOKUP(Table2[[#This Row],[Tegevusala]],Table4[],2,FALSE)</f>
        <v xml:space="preserve"> Roela halduspiirkond</v>
      </c>
      <c r="D208" s="3" t="str">
        <f>VLOOKUP(Table2[[#This Row],[Tegevusala]],Table4[[Tegevusala kood]:[Tegevusala alanimetus]],4,FALSE)</f>
        <v>Muu elamu- ja kommunaalmajanduse tegevus</v>
      </c>
      <c r="E208" s="3" t="str">
        <f>VLOOKUP(Table2[[#This Row],[Tegevusala nimetus2]],Table4[[Tegevusala nimetus]:[Tegevusala koondnimetus]],2,FALSE)</f>
        <v>Elamu- ja kommunaalmajandus</v>
      </c>
      <c r="F208" t="s">
        <v>962</v>
      </c>
      <c r="G208" t="s">
        <v>966</v>
      </c>
      <c r="H208" s="40">
        <v>2000</v>
      </c>
      <c r="I208" s="2" t="s">
        <v>967</v>
      </c>
      <c r="J208">
        <v>5511</v>
      </c>
      <c r="K208" s="3" t="str">
        <f>VLOOKUP(Table2[[#This Row],[Konto]],Table5[[Konto]:[Konto nimetus]],2,FALSE)</f>
        <v>Kinnistute, hoonete ja ruumide majandamiskulud</v>
      </c>
      <c r="L208">
        <v>55</v>
      </c>
      <c r="M208" t="str">
        <f t="shared" si="7"/>
        <v>55</v>
      </c>
      <c r="N208" s="3" t="str">
        <f>VLOOKUP(Table2[[#This Row],[Tulu/kulu liik2]],Table5[[Tulu/kulu liik]:[Kontode koondnimetus]],4,FALSE)</f>
        <v>Muud tegevuskulud</v>
      </c>
      <c r="O208" s="3" t="str">
        <f>VLOOKUP(Table2[[#This Row],[Tulu/kulu liik2]],Table5[],6,FALSE)</f>
        <v>Majandamiskulud</v>
      </c>
      <c r="P208" s="3" t="str">
        <f>VLOOKUP(Table2[[#This Row],[Tulu/kulu liik2]],Table5[],5,FALSE)</f>
        <v>Põhitegevuse kulu</v>
      </c>
    </row>
    <row r="209" spans="1:16" x14ac:dyDescent="0.25">
      <c r="A209" t="str">
        <f t="shared" si="6"/>
        <v>06</v>
      </c>
      <c r="B209" t="s">
        <v>257</v>
      </c>
      <c r="C209" s="3" t="str">
        <f>VLOOKUP(Table2[[#This Row],[Tegevusala]],Table4[],2,FALSE)</f>
        <v xml:space="preserve"> Roela halduspiirkond</v>
      </c>
      <c r="D209" s="3" t="str">
        <f>VLOOKUP(Table2[[#This Row],[Tegevusala]],Table4[[Tegevusala kood]:[Tegevusala alanimetus]],4,FALSE)</f>
        <v>Muu elamu- ja kommunaalmajanduse tegevus</v>
      </c>
      <c r="E209" s="3" t="str">
        <f>VLOOKUP(Table2[[#This Row],[Tegevusala nimetus2]],Table4[[Tegevusala nimetus]:[Tegevusala koondnimetus]],2,FALSE)</f>
        <v>Elamu- ja kommunaalmajandus</v>
      </c>
      <c r="F209" t="s">
        <v>962</v>
      </c>
      <c r="G209" t="s">
        <v>968</v>
      </c>
      <c r="H209" s="40">
        <v>500</v>
      </c>
      <c r="J209">
        <v>5511</v>
      </c>
      <c r="K209" s="3" t="str">
        <f>VLOOKUP(Table2[[#This Row],[Konto]],Table5[[Konto]:[Konto nimetus]],2,FALSE)</f>
        <v>Kinnistute, hoonete ja ruumide majandamiskulud</v>
      </c>
      <c r="L209">
        <v>55</v>
      </c>
      <c r="M209" t="str">
        <f t="shared" si="7"/>
        <v>55</v>
      </c>
      <c r="N209" s="3" t="str">
        <f>VLOOKUP(Table2[[#This Row],[Tulu/kulu liik2]],Table5[[Tulu/kulu liik]:[Kontode koondnimetus]],4,FALSE)</f>
        <v>Muud tegevuskulud</v>
      </c>
      <c r="O209" s="3" t="str">
        <f>VLOOKUP(Table2[[#This Row],[Tulu/kulu liik2]],Table5[],6,FALSE)</f>
        <v>Majandamiskulud</v>
      </c>
      <c r="P209" s="3" t="str">
        <f>VLOOKUP(Table2[[#This Row],[Tulu/kulu liik2]],Table5[],5,FALSE)</f>
        <v>Põhitegevuse kulu</v>
      </c>
    </row>
    <row r="210" spans="1:16" x14ac:dyDescent="0.25">
      <c r="A210" t="str">
        <f t="shared" si="6"/>
        <v>06</v>
      </c>
      <c r="B210" t="s">
        <v>257</v>
      </c>
      <c r="C210" s="3" t="str">
        <f>VLOOKUP(Table2[[#This Row],[Tegevusala]],Table4[],2,FALSE)</f>
        <v xml:space="preserve"> Roela halduspiirkond</v>
      </c>
      <c r="D210" s="3" t="str">
        <f>VLOOKUP(Table2[[#This Row],[Tegevusala]],Table4[[Tegevusala kood]:[Tegevusala alanimetus]],4,FALSE)</f>
        <v>Muu elamu- ja kommunaalmajanduse tegevus</v>
      </c>
      <c r="E210" s="3" t="str">
        <f>VLOOKUP(Table2[[#This Row],[Tegevusala nimetus2]],Table4[[Tegevusala nimetus]:[Tegevusala koondnimetus]],2,FALSE)</f>
        <v>Elamu- ja kommunaalmajandus</v>
      </c>
      <c r="F210" t="s">
        <v>962</v>
      </c>
      <c r="G210" t="s">
        <v>943</v>
      </c>
      <c r="H210" s="40">
        <v>3000</v>
      </c>
      <c r="I210" s="2" t="s">
        <v>969</v>
      </c>
      <c r="J210">
        <v>5511</v>
      </c>
      <c r="K210" s="3" t="str">
        <f>VLOOKUP(Table2[[#This Row],[Konto]],Table5[[Konto]:[Konto nimetus]],2,FALSE)</f>
        <v>Kinnistute, hoonete ja ruumide majandamiskulud</v>
      </c>
      <c r="L210">
        <v>55</v>
      </c>
      <c r="M210" t="str">
        <f t="shared" si="7"/>
        <v>55</v>
      </c>
      <c r="N210" s="3" t="str">
        <f>VLOOKUP(Table2[[#This Row],[Tulu/kulu liik2]],Table5[[Tulu/kulu liik]:[Kontode koondnimetus]],4,FALSE)</f>
        <v>Muud tegevuskulud</v>
      </c>
      <c r="O210" s="3" t="str">
        <f>VLOOKUP(Table2[[#This Row],[Tulu/kulu liik2]],Table5[],6,FALSE)</f>
        <v>Majandamiskulud</v>
      </c>
      <c r="P210" s="3" t="str">
        <f>VLOOKUP(Table2[[#This Row],[Tulu/kulu liik2]],Table5[],5,FALSE)</f>
        <v>Põhitegevuse kulu</v>
      </c>
    </row>
    <row r="211" spans="1:16" x14ac:dyDescent="0.25">
      <c r="A211" t="str">
        <f t="shared" si="6"/>
        <v>06</v>
      </c>
      <c r="B211" t="s">
        <v>257</v>
      </c>
      <c r="C211" s="3" t="str">
        <f>VLOOKUP(Table2[[#This Row],[Tegevusala]],Table4[],2,FALSE)</f>
        <v xml:space="preserve"> Roela halduspiirkond</v>
      </c>
      <c r="D211" s="3" t="str">
        <f>VLOOKUP(Table2[[#This Row],[Tegevusala]],Table4[[Tegevusala kood]:[Tegevusala alanimetus]],4,FALSE)</f>
        <v>Muu elamu- ja kommunaalmajanduse tegevus</v>
      </c>
      <c r="E211" s="3" t="str">
        <f>VLOOKUP(Table2[[#This Row],[Tegevusala nimetus2]],Table4[[Tegevusala nimetus]:[Tegevusala koondnimetus]],2,FALSE)</f>
        <v>Elamu- ja kommunaalmajandus</v>
      </c>
      <c r="F211" t="s">
        <v>962</v>
      </c>
      <c r="G211" t="s">
        <v>510</v>
      </c>
      <c r="H211" s="40">
        <v>600</v>
      </c>
      <c r="I211" s="2" t="s">
        <v>970</v>
      </c>
      <c r="J211">
        <v>5511</v>
      </c>
      <c r="K211" s="3" t="str">
        <f>VLOOKUP(Table2[[#This Row],[Konto]],Table5[[Konto]:[Konto nimetus]],2,FALSE)</f>
        <v>Kinnistute, hoonete ja ruumide majandamiskulud</v>
      </c>
      <c r="L211">
        <v>55</v>
      </c>
      <c r="M211" t="str">
        <f t="shared" si="7"/>
        <v>55</v>
      </c>
      <c r="N211" s="3" t="str">
        <f>VLOOKUP(Table2[[#This Row],[Tulu/kulu liik2]],Table5[[Tulu/kulu liik]:[Kontode koondnimetus]],4,FALSE)</f>
        <v>Muud tegevuskulud</v>
      </c>
      <c r="O211" s="3" t="str">
        <f>VLOOKUP(Table2[[#This Row],[Tulu/kulu liik2]],Table5[],6,FALSE)</f>
        <v>Majandamiskulud</v>
      </c>
      <c r="P211" s="3" t="str">
        <f>VLOOKUP(Table2[[#This Row],[Tulu/kulu liik2]],Table5[],5,FALSE)</f>
        <v>Põhitegevuse kulu</v>
      </c>
    </row>
    <row r="212" spans="1:16" x14ac:dyDescent="0.25">
      <c r="A212" t="str">
        <f t="shared" si="6"/>
        <v>06</v>
      </c>
      <c r="B212" t="s">
        <v>257</v>
      </c>
      <c r="C212" s="3" t="str">
        <f>VLOOKUP(Table2[[#This Row],[Tegevusala]],Table4[],2,FALSE)</f>
        <v xml:space="preserve"> Roela halduspiirkond</v>
      </c>
      <c r="D212" s="3" t="str">
        <f>VLOOKUP(Table2[[#This Row],[Tegevusala]],Table4[[Tegevusala kood]:[Tegevusala alanimetus]],4,FALSE)</f>
        <v>Muu elamu- ja kommunaalmajanduse tegevus</v>
      </c>
      <c r="E212" s="3" t="str">
        <f>VLOOKUP(Table2[[#This Row],[Tegevusala nimetus2]],Table4[[Tegevusala nimetus]:[Tegevusala koondnimetus]],2,FALSE)</f>
        <v>Elamu- ja kommunaalmajandus</v>
      </c>
      <c r="F212" t="s">
        <v>962</v>
      </c>
      <c r="G212" t="s">
        <v>971</v>
      </c>
      <c r="H212" s="40">
        <v>160</v>
      </c>
      <c r="I212" s="2" t="s">
        <v>972</v>
      </c>
      <c r="J212">
        <v>5511</v>
      </c>
      <c r="K212" s="3" t="str">
        <f>VLOOKUP(Table2[[#This Row],[Konto]],Table5[[Konto]:[Konto nimetus]],2,FALSE)</f>
        <v>Kinnistute, hoonete ja ruumide majandamiskulud</v>
      </c>
      <c r="L212">
        <v>55</v>
      </c>
      <c r="M212" t="str">
        <f t="shared" si="7"/>
        <v>55</v>
      </c>
      <c r="N212" s="3" t="str">
        <f>VLOOKUP(Table2[[#This Row],[Tulu/kulu liik2]],Table5[[Tulu/kulu liik]:[Kontode koondnimetus]],4,FALSE)</f>
        <v>Muud tegevuskulud</v>
      </c>
      <c r="O212" s="3" t="str">
        <f>VLOOKUP(Table2[[#This Row],[Tulu/kulu liik2]],Table5[],6,FALSE)</f>
        <v>Majandamiskulud</v>
      </c>
      <c r="P212" s="3" t="str">
        <f>VLOOKUP(Table2[[#This Row],[Tulu/kulu liik2]],Table5[],5,FALSE)</f>
        <v>Põhitegevuse kulu</v>
      </c>
    </row>
    <row r="213" spans="1:16" x14ac:dyDescent="0.25">
      <c r="A213" t="str">
        <f t="shared" si="6"/>
        <v>06</v>
      </c>
      <c r="B213" t="s">
        <v>257</v>
      </c>
      <c r="C213" s="3" t="str">
        <f>VLOOKUP(Table2[[#This Row],[Tegevusala]],Table4[],2,FALSE)</f>
        <v xml:space="preserve"> Roela halduspiirkond</v>
      </c>
      <c r="D213" s="3" t="str">
        <f>VLOOKUP(Table2[[#This Row],[Tegevusala]],Table4[[Tegevusala kood]:[Tegevusala alanimetus]],4,FALSE)</f>
        <v>Muu elamu- ja kommunaalmajanduse tegevus</v>
      </c>
      <c r="E213" s="3" t="str">
        <f>VLOOKUP(Table2[[#This Row],[Tegevusala nimetus2]],Table4[[Tegevusala nimetus]:[Tegevusala koondnimetus]],2,FALSE)</f>
        <v>Elamu- ja kommunaalmajandus</v>
      </c>
      <c r="F213" t="s">
        <v>962</v>
      </c>
      <c r="G213" t="s">
        <v>973</v>
      </c>
      <c r="H213" s="40">
        <v>155</v>
      </c>
      <c r="I213" s="2" t="s">
        <v>972</v>
      </c>
      <c r="J213">
        <v>5511</v>
      </c>
      <c r="K213" s="3" t="str">
        <f>VLOOKUP(Table2[[#This Row],[Konto]],Table5[[Konto]:[Konto nimetus]],2,FALSE)</f>
        <v>Kinnistute, hoonete ja ruumide majandamiskulud</v>
      </c>
      <c r="L213">
        <v>55</v>
      </c>
      <c r="M213" t="str">
        <f t="shared" si="7"/>
        <v>55</v>
      </c>
      <c r="N213" s="3" t="str">
        <f>VLOOKUP(Table2[[#This Row],[Tulu/kulu liik2]],Table5[[Tulu/kulu liik]:[Kontode koondnimetus]],4,FALSE)</f>
        <v>Muud tegevuskulud</v>
      </c>
      <c r="O213" s="3" t="str">
        <f>VLOOKUP(Table2[[#This Row],[Tulu/kulu liik2]],Table5[],6,FALSE)</f>
        <v>Majandamiskulud</v>
      </c>
      <c r="P213" s="3" t="str">
        <f>VLOOKUP(Table2[[#This Row],[Tulu/kulu liik2]],Table5[],5,FALSE)</f>
        <v>Põhitegevuse kulu</v>
      </c>
    </row>
    <row r="214" spans="1:16" x14ac:dyDescent="0.25">
      <c r="A214" t="str">
        <f t="shared" si="6"/>
        <v>06</v>
      </c>
      <c r="B214" t="s">
        <v>257</v>
      </c>
      <c r="C214" s="3" t="str">
        <f>VLOOKUP(Table2[[#This Row],[Tegevusala]],Table4[],2,FALSE)</f>
        <v xml:space="preserve"> Roela halduspiirkond</v>
      </c>
      <c r="D214" s="3" t="str">
        <f>VLOOKUP(Table2[[#This Row],[Tegevusala]],Table4[[Tegevusala kood]:[Tegevusala alanimetus]],4,FALSE)</f>
        <v>Muu elamu- ja kommunaalmajanduse tegevus</v>
      </c>
      <c r="E214" s="3" t="str">
        <f>VLOOKUP(Table2[[#This Row],[Tegevusala nimetus2]],Table4[[Tegevusala nimetus]:[Tegevusala koondnimetus]],2,FALSE)</f>
        <v>Elamu- ja kommunaalmajandus</v>
      </c>
      <c r="F214" t="s">
        <v>962</v>
      </c>
      <c r="G214" t="s">
        <v>974</v>
      </c>
      <c r="H214" s="40">
        <v>250</v>
      </c>
      <c r="I214" s="2" t="s">
        <v>972</v>
      </c>
      <c r="J214">
        <v>5511</v>
      </c>
      <c r="K214" s="3" t="str">
        <f>VLOOKUP(Table2[[#This Row],[Konto]],Table5[[Konto]:[Konto nimetus]],2,FALSE)</f>
        <v>Kinnistute, hoonete ja ruumide majandamiskulud</v>
      </c>
      <c r="L214">
        <v>55</v>
      </c>
      <c r="M214" t="str">
        <f t="shared" si="7"/>
        <v>55</v>
      </c>
      <c r="N214" s="3" t="str">
        <f>VLOOKUP(Table2[[#This Row],[Tulu/kulu liik2]],Table5[[Tulu/kulu liik]:[Kontode koondnimetus]],4,FALSE)</f>
        <v>Muud tegevuskulud</v>
      </c>
      <c r="O214" s="3" t="str">
        <f>VLOOKUP(Table2[[#This Row],[Tulu/kulu liik2]],Table5[],6,FALSE)</f>
        <v>Majandamiskulud</v>
      </c>
      <c r="P214" s="3" t="str">
        <f>VLOOKUP(Table2[[#This Row],[Tulu/kulu liik2]],Table5[],5,FALSE)</f>
        <v>Põhitegevuse kulu</v>
      </c>
    </row>
    <row r="215" spans="1:16" x14ac:dyDescent="0.25">
      <c r="A215" t="str">
        <f t="shared" si="6"/>
        <v>06</v>
      </c>
      <c r="B215" t="s">
        <v>257</v>
      </c>
      <c r="C215" s="3" t="str">
        <f>VLOOKUP(Table2[[#This Row],[Tegevusala]],Table4[],2,FALSE)</f>
        <v xml:space="preserve"> Roela halduspiirkond</v>
      </c>
      <c r="D215" s="3" t="str">
        <f>VLOOKUP(Table2[[#This Row],[Tegevusala]],Table4[[Tegevusala kood]:[Tegevusala alanimetus]],4,FALSE)</f>
        <v>Muu elamu- ja kommunaalmajanduse tegevus</v>
      </c>
      <c r="E215" s="3" t="str">
        <f>VLOOKUP(Table2[[#This Row],[Tegevusala nimetus2]],Table4[[Tegevusala nimetus]:[Tegevusala koondnimetus]],2,FALSE)</f>
        <v>Elamu- ja kommunaalmajandus</v>
      </c>
      <c r="F215" t="s">
        <v>962</v>
      </c>
      <c r="G215" t="s">
        <v>975</v>
      </c>
      <c r="H215" s="40">
        <v>13500</v>
      </c>
      <c r="J215">
        <v>5511</v>
      </c>
      <c r="K215" s="3" t="str">
        <f>VLOOKUP(Table2[[#This Row],[Konto]],Table5[[Konto]:[Konto nimetus]],2,FALSE)</f>
        <v>Kinnistute, hoonete ja ruumide majandamiskulud</v>
      </c>
      <c r="L215">
        <v>55</v>
      </c>
      <c r="M215" t="str">
        <f t="shared" si="7"/>
        <v>55</v>
      </c>
      <c r="N215" s="3" t="str">
        <f>VLOOKUP(Table2[[#This Row],[Tulu/kulu liik2]],Table5[[Tulu/kulu liik]:[Kontode koondnimetus]],4,FALSE)</f>
        <v>Muud tegevuskulud</v>
      </c>
      <c r="O215" s="3" t="str">
        <f>VLOOKUP(Table2[[#This Row],[Tulu/kulu liik2]],Table5[],6,FALSE)</f>
        <v>Majandamiskulud</v>
      </c>
      <c r="P215" s="3" t="str">
        <f>VLOOKUP(Table2[[#This Row],[Tulu/kulu liik2]],Table5[],5,FALSE)</f>
        <v>Põhitegevuse kulu</v>
      </c>
    </row>
    <row r="216" spans="1:16" x14ac:dyDescent="0.25">
      <c r="A216" t="str">
        <f t="shared" si="6"/>
        <v>06</v>
      </c>
      <c r="B216" t="s">
        <v>257</v>
      </c>
      <c r="C216" s="3" t="str">
        <f>VLOOKUP(Table2[[#This Row],[Tegevusala]],Table4[],2,FALSE)</f>
        <v xml:space="preserve"> Roela halduspiirkond</v>
      </c>
      <c r="D216" s="3" t="str">
        <f>VLOOKUP(Table2[[#This Row],[Tegevusala]],Table4[[Tegevusala kood]:[Tegevusala alanimetus]],4,FALSE)</f>
        <v>Muu elamu- ja kommunaalmajanduse tegevus</v>
      </c>
      <c r="E216" s="3" t="str">
        <f>VLOOKUP(Table2[[#This Row],[Tegevusala nimetus2]],Table4[[Tegevusala nimetus]:[Tegevusala koondnimetus]],2,FALSE)</f>
        <v>Elamu- ja kommunaalmajandus</v>
      </c>
      <c r="F216" t="s">
        <v>962</v>
      </c>
      <c r="G216" t="s">
        <v>976</v>
      </c>
      <c r="H216" s="40">
        <v>5000</v>
      </c>
      <c r="J216">
        <v>5511</v>
      </c>
      <c r="K216" s="3" t="str">
        <f>VLOOKUP(Table2[[#This Row],[Konto]],Table5[[Konto]:[Konto nimetus]],2,FALSE)</f>
        <v>Kinnistute, hoonete ja ruumide majandamiskulud</v>
      </c>
      <c r="L216">
        <v>55</v>
      </c>
      <c r="M216" t="str">
        <f t="shared" si="7"/>
        <v>55</v>
      </c>
      <c r="N216" s="3" t="str">
        <f>VLOOKUP(Table2[[#This Row],[Tulu/kulu liik2]],Table5[[Tulu/kulu liik]:[Kontode koondnimetus]],4,FALSE)</f>
        <v>Muud tegevuskulud</v>
      </c>
      <c r="O216" s="3" t="str">
        <f>VLOOKUP(Table2[[#This Row],[Tulu/kulu liik2]],Table5[],6,FALSE)</f>
        <v>Majandamiskulud</v>
      </c>
      <c r="P216" s="3" t="str">
        <f>VLOOKUP(Table2[[#This Row],[Tulu/kulu liik2]],Table5[],5,FALSE)</f>
        <v>Põhitegevuse kulu</v>
      </c>
    </row>
    <row r="217" spans="1:16" x14ac:dyDescent="0.25">
      <c r="A217" t="str">
        <f t="shared" si="6"/>
        <v>06</v>
      </c>
      <c r="B217" t="s">
        <v>257</v>
      </c>
      <c r="C217" s="3" t="str">
        <f>VLOOKUP(Table2[[#This Row],[Tegevusala]],Table4[],2,FALSE)</f>
        <v xml:space="preserve"> Roela halduspiirkond</v>
      </c>
      <c r="D217" s="3" t="str">
        <f>VLOOKUP(Table2[[#This Row],[Tegevusala]],Table4[[Tegevusala kood]:[Tegevusala alanimetus]],4,FALSE)</f>
        <v>Muu elamu- ja kommunaalmajanduse tegevus</v>
      </c>
      <c r="E217" s="3" t="str">
        <f>VLOOKUP(Table2[[#This Row],[Tegevusala nimetus2]],Table4[[Tegevusala nimetus]:[Tegevusala koondnimetus]],2,FALSE)</f>
        <v>Elamu- ja kommunaalmajandus</v>
      </c>
      <c r="F217" t="s">
        <v>962</v>
      </c>
      <c r="G217" t="s">
        <v>977</v>
      </c>
      <c r="H217" s="40">
        <v>4800</v>
      </c>
      <c r="J217">
        <v>5511</v>
      </c>
      <c r="K217" s="3" t="str">
        <f>VLOOKUP(Table2[[#This Row],[Konto]],Table5[[Konto]:[Konto nimetus]],2,FALSE)</f>
        <v>Kinnistute, hoonete ja ruumide majandamiskulud</v>
      </c>
      <c r="L217">
        <v>55</v>
      </c>
      <c r="M217" t="str">
        <f t="shared" si="7"/>
        <v>55</v>
      </c>
      <c r="N217" s="3" t="str">
        <f>VLOOKUP(Table2[[#This Row],[Tulu/kulu liik2]],Table5[[Tulu/kulu liik]:[Kontode koondnimetus]],4,FALSE)</f>
        <v>Muud tegevuskulud</v>
      </c>
      <c r="O217" s="3" t="str">
        <f>VLOOKUP(Table2[[#This Row],[Tulu/kulu liik2]],Table5[],6,FALSE)</f>
        <v>Majandamiskulud</v>
      </c>
      <c r="P217" s="3" t="str">
        <f>VLOOKUP(Table2[[#This Row],[Tulu/kulu liik2]],Table5[],5,FALSE)</f>
        <v>Põhitegevuse kulu</v>
      </c>
    </row>
    <row r="218" spans="1:16" x14ac:dyDescent="0.25">
      <c r="A218" t="str">
        <f t="shared" si="6"/>
        <v>06</v>
      </c>
      <c r="B218" t="s">
        <v>259</v>
      </c>
      <c r="C218" s="3" t="str">
        <f>VLOOKUP(Table2[[#This Row],[Tegevusala]],Table4[],2,FALSE)</f>
        <v xml:space="preserve"> Tudu halduspiirkond</v>
      </c>
      <c r="D218" s="3" t="str">
        <f>VLOOKUP(Table2[[#This Row],[Tegevusala]],Table4[[Tegevusala kood]:[Tegevusala alanimetus]],4,FALSE)</f>
        <v>Muu elamu- ja kommunaalmajanduse tegevus</v>
      </c>
      <c r="E218" s="3" t="str">
        <f>VLOOKUP(Table2[[#This Row],[Tegevusala nimetus2]],Table4[[Tegevusala nimetus]:[Tegevusala koondnimetus]],2,FALSE)</f>
        <v>Elamu- ja kommunaalmajandus</v>
      </c>
      <c r="F218" t="s">
        <v>987</v>
      </c>
      <c r="G218" t="s">
        <v>943</v>
      </c>
      <c r="H218" s="40">
        <v>2500</v>
      </c>
      <c r="I218" s="2" t="s">
        <v>969</v>
      </c>
      <c r="J218">
        <v>5511</v>
      </c>
      <c r="K218" s="3" t="str">
        <f>VLOOKUP(Table2[[#This Row],[Konto]],Table5[[Konto]:[Konto nimetus]],2,FALSE)</f>
        <v>Kinnistute, hoonete ja ruumide majandamiskulud</v>
      </c>
      <c r="L218">
        <v>55</v>
      </c>
      <c r="M218" t="str">
        <f t="shared" si="7"/>
        <v>55</v>
      </c>
      <c r="N218" s="3" t="str">
        <f>VLOOKUP(Table2[[#This Row],[Tulu/kulu liik2]],Table5[[Tulu/kulu liik]:[Kontode koondnimetus]],4,FALSE)</f>
        <v>Muud tegevuskulud</v>
      </c>
      <c r="O218" s="3" t="str">
        <f>VLOOKUP(Table2[[#This Row],[Tulu/kulu liik2]],Table5[],6,FALSE)</f>
        <v>Majandamiskulud</v>
      </c>
      <c r="P218" s="3" t="str">
        <f>VLOOKUP(Table2[[#This Row],[Tulu/kulu liik2]],Table5[],5,FALSE)</f>
        <v>Põhitegevuse kulu</v>
      </c>
    </row>
    <row r="219" spans="1:16" x14ac:dyDescent="0.25">
      <c r="A219" t="str">
        <f t="shared" si="6"/>
        <v>06</v>
      </c>
      <c r="B219" t="s">
        <v>259</v>
      </c>
      <c r="C219" s="3" t="str">
        <f>VLOOKUP(Table2[[#This Row],[Tegevusala]],Table4[],2,FALSE)</f>
        <v xml:space="preserve"> Tudu halduspiirkond</v>
      </c>
      <c r="D219" s="3" t="str">
        <f>VLOOKUP(Table2[[#This Row],[Tegevusala]],Table4[[Tegevusala kood]:[Tegevusala alanimetus]],4,FALSE)</f>
        <v>Muu elamu- ja kommunaalmajanduse tegevus</v>
      </c>
      <c r="E219" s="3" t="str">
        <f>VLOOKUP(Table2[[#This Row],[Tegevusala nimetus2]],Table4[[Tegevusala nimetus]:[Tegevusala koondnimetus]],2,FALSE)</f>
        <v>Elamu- ja kommunaalmajandus</v>
      </c>
      <c r="F219" t="s">
        <v>987</v>
      </c>
      <c r="G219" t="s">
        <v>978</v>
      </c>
      <c r="H219" s="40">
        <v>400</v>
      </c>
      <c r="I219" s="2" t="s">
        <v>979</v>
      </c>
      <c r="J219">
        <v>5511</v>
      </c>
      <c r="K219" s="3" t="str">
        <f>VLOOKUP(Table2[[#This Row],[Konto]],Table5[[Konto]:[Konto nimetus]],2,FALSE)</f>
        <v>Kinnistute, hoonete ja ruumide majandamiskulud</v>
      </c>
      <c r="L219">
        <v>55</v>
      </c>
      <c r="M219" t="str">
        <f t="shared" si="7"/>
        <v>55</v>
      </c>
      <c r="N219" s="3" t="str">
        <f>VLOOKUP(Table2[[#This Row],[Tulu/kulu liik2]],Table5[[Tulu/kulu liik]:[Kontode koondnimetus]],4,FALSE)</f>
        <v>Muud tegevuskulud</v>
      </c>
      <c r="O219" s="3" t="str">
        <f>VLOOKUP(Table2[[#This Row],[Tulu/kulu liik2]],Table5[],6,FALSE)</f>
        <v>Majandamiskulud</v>
      </c>
      <c r="P219" s="3" t="str">
        <f>VLOOKUP(Table2[[#This Row],[Tulu/kulu liik2]],Table5[],5,FALSE)</f>
        <v>Põhitegevuse kulu</v>
      </c>
    </row>
    <row r="220" spans="1:16" x14ac:dyDescent="0.25">
      <c r="A220" t="str">
        <f t="shared" si="6"/>
        <v>06</v>
      </c>
      <c r="B220" t="s">
        <v>259</v>
      </c>
      <c r="C220" s="3" t="str">
        <f>VLOOKUP(Table2[[#This Row],[Tegevusala]],Table4[],2,FALSE)</f>
        <v xml:space="preserve"> Tudu halduspiirkond</v>
      </c>
      <c r="D220" s="3" t="str">
        <f>VLOOKUP(Table2[[#This Row],[Tegevusala]],Table4[[Tegevusala kood]:[Tegevusala alanimetus]],4,FALSE)</f>
        <v>Muu elamu- ja kommunaalmajanduse tegevus</v>
      </c>
      <c r="E220" s="3" t="str">
        <f>VLOOKUP(Table2[[#This Row],[Tegevusala nimetus2]],Table4[[Tegevusala nimetus]:[Tegevusala koondnimetus]],2,FALSE)</f>
        <v>Elamu- ja kommunaalmajandus</v>
      </c>
      <c r="F220" t="s">
        <v>987</v>
      </c>
      <c r="G220" t="s">
        <v>971</v>
      </c>
      <c r="H220" s="40">
        <v>1200</v>
      </c>
      <c r="I220" s="2" t="s">
        <v>969</v>
      </c>
      <c r="J220">
        <v>5511</v>
      </c>
      <c r="K220" s="3" t="str">
        <f>VLOOKUP(Table2[[#This Row],[Konto]],Table5[[Konto]:[Konto nimetus]],2,FALSE)</f>
        <v>Kinnistute, hoonete ja ruumide majandamiskulud</v>
      </c>
      <c r="L220">
        <v>55</v>
      </c>
      <c r="M220" t="str">
        <f t="shared" si="7"/>
        <v>55</v>
      </c>
      <c r="N220" s="3" t="str">
        <f>VLOOKUP(Table2[[#This Row],[Tulu/kulu liik2]],Table5[[Tulu/kulu liik]:[Kontode koondnimetus]],4,FALSE)</f>
        <v>Muud tegevuskulud</v>
      </c>
      <c r="O220" s="3" t="str">
        <f>VLOOKUP(Table2[[#This Row],[Tulu/kulu liik2]],Table5[],6,FALSE)</f>
        <v>Majandamiskulud</v>
      </c>
      <c r="P220" s="3" t="str">
        <f>VLOOKUP(Table2[[#This Row],[Tulu/kulu liik2]],Table5[],5,FALSE)</f>
        <v>Põhitegevuse kulu</v>
      </c>
    </row>
    <row r="221" spans="1:16" x14ac:dyDescent="0.25">
      <c r="A221" t="str">
        <f t="shared" si="6"/>
        <v>06</v>
      </c>
      <c r="B221" t="s">
        <v>259</v>
      </c>
      <c r="C221" s="3" t="str">
        <f>VLOOKUP(Table2[[#This Row],[Tegevusala]],Table4[],2,FALSE)</f>
        <v xml:space="preserve"> Tudu halduspiirkond</v>
      </c>
      <c r="D221" s="3" t="str">
        <f>VLOOKUP(Table2[[#This Row],[Tegevusala]],Table4[[Tegevusala kood]:[Tegevusala alanimetus]],4,FALSE)</f>
        <v>Muu elamu- ja kommunaalmajanduse tegevus</v>
      </c>
      <c r="E221" s="3" t="str">
        <f>VLOOKUP(Table2[[#This Row],[Tegevusala nimetus2]],Table4[[Tegevusala nimetus]:[Tegevusala koondnimetus]],2,FALSE)</f>
        <v>Elamu- ja kommunaalmajandus</v>
      </c>
      <c r="F221" t="s">
        <v>987</v>
      </c>
      <c r="G221" t="s">
        <v>980</v>
      </c>
      <c r="H221" s="40">
        <v>14300</v>
      </c>
      <c r="I221" s="2" t="s">
        <v>981</v>
      </c>
      <c r="J221">
        <v>5511</v>
      </c>
      <c r="K221" s="3" t="str">
        <f>VLOOKUP(Table2[[#This Row],[Konto]],Table5[[Konto]:[Konto nimetus]],2,FALSE)</f>
        <v>Kinnistute, hoonete ja ruumide majandamiskulud</v>
      </c>
      <c r="L221">
        <v>55</v>
      </c>
      <c r="M221" t="str">
        <f t="shared" si="7"/>
        <v>55</v>
      </c>
      <c r="N221" s="3" t="str">
        <f>VLOOKUP(Table2[[#This Row],[Tulu/kulu liik2]],Table5[[Tulu/kulu liik]:[Kontode koondnimetus]],4,FALSE)</f>
        <v>Muud tegevuskulud</v>
      </c>
      <c r="O221" s="3" t="str">
        <f>VLOOKUP(Table2[[#This Row],[Tulu/kulu liik2]],Table5[],6,FALSE)</f>
        <v>Majandamiskulud</v>
      </c>
      <c r="P221" s="3" t="str">
        <f>VLOOKUP(Table2[[#This Row],[Tulu/kulu liik2]],Table5[],5,FALSE)</f>
        <v>Põhitegevuse kulu</v>
      </c>
    </row>
    <row r="222" spans="1:16" x14ac:dyDescent="0.25">
      <c r="A222" t="str">
        <f t="shared" si="6"/>
        <v>06</v>
      </c>
      <c r="B222" t="s">
        <v>259</v>
      </c>
      <c r="C222" s="3" t="str">
        <f>VLOOKUP(Table2[[#This Row],[Tegevusala]],Table4[],2,FALSE)</f>
        <v xml:space="preserve"> Tudu halduspiirkond</v>
      </c>
      <c r="D222" s="3" t="str">
        <f>VLOOKUP(Table2[[#This Row],[Tegevusala]],Table4[[Tegevusala kood]:[Tegevusala alanimetus]],4,FALSE)</f>
        <v>Muu elamu- ja kommunaalmajanduse tegevus</v>
      </c>
      <c r="E222" s="3" t="str">
        <f>VLOOKUP(Table2[[#This Row],[Tegevusala nimetus2]],Table4[[Tegevusala nimetus]:[Tegevusala koondnimetus]],2,FALSE)</f>
        <v>Elamu- ja kommunaalmajandus</v>
      </c>
      <c r="F222" t="s">
        <v>987</v>
      </c>
      <c r="G222" t="s">
        <v>982</v>
      </c>
      <c r="H222" s="40">
        <v>6500</v>
      </c>
      <c r="I222" s="2" t="s">
        <v>983</v>
      </c>
      <c r="J222">
        <v>5511</v>
      </c>
      <c r="K222" s="3" t="str">
        <f>VLOOKUP(Table2[[#This Row],[Konto]],Table5[[Konto]:[Konto nimetus]],2,FALSE)</f>
        <v>Kinnistute, hoonete ja ruumide majandamiskulud</v>
      </c>
      <c r="L222">
        <v>55</v>
      </c>
      <c r="M222" t="str">
        <f t="shared" si="7"/>
        <v>55</v>
      </c>
      <c r="N222" s="3" t="str">
        <f>VLOOKUP(Table2[[#This Row],[Tulu/kulu liik2]],Table5[[Tulu/kulu liik]:[Kontode koondnimetus]],4,FALSE)</f>
        <v>Muud tegevuskulud</v>
      </c>
      <c r="O222" s="3" t="str">
        <f>VLOOKUP(Table2[[#This Row],[Tulu/kulu liik2]],Table5[],6,FALSE)</f>
        <v>Majandamiskulud</v>
      </c>
      <c r="P222" s="3" t="str">
        <f>VLOOKUP(Table2[[#This Row],[Tulu/kulu liik2]],Table5[],5,FALSE)</f>
        <v>Põhitegevuse kulu</v>
      </c>
    </row>
    <row r="223" spans="1:16" x14ac:dyDescent="0.25">
      <c r="A223" t="str">
        <f t="shared" si="6"/>
        <v>06</v>
      </c>
      <c r="B223" t="s">
        <v>259</v>
      </c>
      <c r="C223" s="3" t="str">
        <f>VLOOKUP(Table2[[#This Row],[Tegevusala]],Table4[],2,FALSE)</f>
        <v xml:space="preserve"> Tudu halduspiirkond</v>
      </c>
      <c r="D223" s="3" t="str">
        <f>VLOOKUP(Table2[[#This Row],[Tegevusala]],Table4[[Tegevusala kood]:[Tegevusala alanimetus]],4,FALSE)</f>
        <v>Muu elamu- ja kommunaalmajanduse tegevus</v>
      </c>
      <c r="E223" s="3" t="str">
        <f>VLOOKUP(Table2[[#This Row],[Tegevusala nimetus2]],Table4[[Tegevusala nimetus]:[Tegevusala koondnimetus]],2,FALSE)</f>
        <v>Elamu- ja kommunaalmajandus</v>
      </c>
      <c r="F223" t="s">
        <v>987</v>
      </c>
      <c r="G223" t="s">
        <v>984</v>
      </c>
      <c r="H223" s="40">
        <v>3600</v>
      </c>
      <c r="J223">
        <v>5511</v>
      </c>
      <c r="K223" s="3" t="str">
        <f>VLOOKUP(Table2[[#This Row],[Konto]],Table5[[Konto]:[Konto nimetus]],2,FALSE)</f>
        <v>Kinnistute, hoonete ja ruumide majandamiskulud</v>
      </c>
      <c r="L223">
        <v>55</v>
      </c>
      <c r="M223" t="str">
        <f t="shared" si="7"/>
        <v>55</v>
      </c>
      <c r="N223" s="3" t="str">
        <f>VLOOKUP(Table2[[#This Row],[Tulu/kulu liik2]],Table5[[Tulu/kulu liik]:[Kontode koondnimetus]],4,FALSE)</f>
        <v>Muud tegevuskulud</v>
      </c>
      <c r="O223" s="3" t="str">
        <f>VLOOKUP(Table2[[#This Row],[Tulu/kulu liik2]],Table5[],6,FALSE)</f>
        <v>Majandamiskulud</v>
      </c>
      <c r="P223" s="3" t="str">
        <f>VLOOKUP(Table2[[#This Row],[Tulu/kulu liik2]],Table5[],5,FALSE)</f>
        <v>Põhitegevuse kulu</v>
      </c>
    </row>
    <row r="224" spans="1:16" x14ac:dyDescent="0.25">
      <c r="A224" t="str">
        <f t="shared" si="6"/>
        <v>06</v>
      </c>
      <c r="B224" t="s">
        <v>259</v>
      </c>
      <c r="C224" s="3" t="str">
        <f>VLOOKUP(Table2[[#This Row],[Tegevusala]],Table4[],2,FALSE)</f>
        <v xml:space="preserve"> Tudu halduspiirkond</v>
      </c>
      <c r="D224" s="3" t="str">
        <f>VLOOKUP(Table2[[#This Row],[Tegevusala]],Table4[[Tegevusala kood]:[Tegevusala alanimetus]],4,FALSE)</f>
        <v>Muu elamu- ja kommunaalmajanduse tegevus</v>
      </c>
      <c r="E224" s="3" t="str">
        <f>VLOOKUP(Table2[[#This Row],[Tegevusala nimetus2]],Table4[[Tegevusala nimetus]:[Tegevusala koondnimetus]],2,FALSE)</f>
        <v>Elamu- ja kommunaalmajandus</v>
      </c>
      <c r="F224" t="s">
        <v>987</v>
      </c>
      <c r="G224" t="s">
        <v>968</v>
      </c>
      <c r="H224" s="40">
        <v>300</v>
      </c>
      <c r="J224">
        <v>5511</v>
      </c>
      <c r="K224" s="3" t="str">
        <f>VLOOKUP(Table2[[#This Row],[Konto]],Table5[[Konto]:[Konto nimetus]],2,FALSE)</f>
        <v>Kinnistute, hoonete ja ruumide majandamiskulud</v>
      </c>
      <c r="L224">
        <v>55</v>
      </c>
      <c r="M224" t="str">
        <f t="shared" si="7"/>
        <v>55</v>
      </c>
      <c r="N224" s="3" t="str">
        <f>VLOOKUP(Table2[[#This Row],[Tulu/kulu liik2]],Table5[[Tulu/kulu liik]:[Kontode koondnimetus]],4,FALSE)</f>
        <v>Muud tegevuskulud</v>
      </c>
      <c r="O224" s="3" t="str">
        <f>VLOOKUP(Table2[[#This Row],[Tulu/kulu liik2]],Table5[],6,FALSE)</f>
        <v>Majandamiskulud</v>
      </c>
      <c r="P224" s="3" t="str">
        <f>VLOOKUP(Table2[[#This Row],[Tulu/kulu liik2]],Table5[],5,FALSE)</f>
        <v>Põhitegevuse kulu</v>
      </c>
    </row>
    <row r="225" spans="1:16" x14ac:dyDescent="0.25">
      <c r="A225" t="str">
        <f t="shared" si="6"/>
        <v>06</v>
      </c>
      <c r="B225" t="s">
        <v>259</v>
      </c>
      <c r="C225" s="3" t="str">
        <f>VLOOKUP(Table2[[#This Row],[Tegevusala]],Table4[],2,FALSE)</f>
        <v xml:space="preserve"> Tudu halduspiirkond</v>
      </c>
      <c r="D225" s="3" t="str">
        <f>VLOOKUP(Table2[[#This Row],[Tegevusala]],Table4[[Tegevusala kood]:[Tegevusala alanimetus]],4,FALSE)</f>
        <v>Muu elamu- ja kommunaalmajanduse tegevus</v>
      </c>
      <c r="E225" s="3" t="str">
        <f>VLOOKUP(Table2[[#This Row],[Tegevusala nimetus2]],Table4[[Tegevusala nimetus]:[Tegevusala koondnimetus]],2,FALSE)</f>
        <v>Elamu- ja kommunaalmajandus</v>
      </c>
      <c r="F225" t="s">
        <v>987</v>
      </c>
      <c r="G225" t="s">
        <v>966</v>
      </c>
      <c r="H225" s="40">
        <v>1500</v>
      </c>
      <c r="I225" s="2" t="s">
        <v>985</v>
      </c>
      <c r="J225">
        <v>5511</v>
      </c>
      <c r="K225" s="3" t="str">
        <f>VLOOKUP(Table2[[#This Row],[Konto]],Table5[[Konto]:[Konto nimetus]],2,FALSE)</f>
        <v>Kinnistute, hoonete ja ruumide majandamiskulud</v>
      </c>
      <c r="L225">
        <v>55</v>
      </c>
      <c r="M225" t="str">
        <f t="shared" si="7"/>
        <v>55</v>
      </c>
      <c r="N225" s="3" t="str">
        <f>VLOOKUP(Table2[[#This Row],[Tulu/kulu liik2]],Table5[[Tulu/kulu liik]:[Kontode koondnimetus]],4,FALSE)</f>
        <v>Muud tegevuskulud</v>
      </c>
      <c r="O225" s="3" t="str">
        <f>VLOOKUP(Table2[[#This Row],[Tulu/kulu liik2]],Table5[],6,FALSE)</f>
        <v>Majandamiskulud</v>
      </c>
      <c r="P225" s="3" t="str">
        <f>VLOOKUP(Table2[[#This Row],[Tulu/kulu liik2]],Table5[],5,FALSE)</f>
        <v>Põhitegevuse kulu</v>
      </c>
    </row>
    <row r="226" spans="1:16" x14ac:dyDescent="0.25">
      <c r="A226" t="str">
        <f t="shared" si="6"/>
        <v>06</v>
      </c>
      <c r="B226" t="s">
        <v>259</v>
      </c>
      <c r="C226" s="3" t="str">
        <f>VLOOKUP(Table2[[#This Row],[Tegevusala]],Table4[],2,FALSE)</f>
        <v xml:space="preserve"> Tudu halduspiirkond</v>
      </c>
      <c r="D226" s="3" t="str">
        <f>VLOOKUP(Table2[[#This Row],[Tegevusala]],Table4[[Tegevusala kood]:[Tegevusala alanimetus]],4,FALSE)</f>
        <v>Muu elamu- ja kommunaalmajanduse tegevus</v>
      </c>
      <c r="E226" s="3" t="str">
        <f>VLOOKUP(Table2[[#This Row],[Tegevusala nimetus2]],Table4[[Tegevusala nimetus]:[Tegevusala koondnimetus]],2,FALSE)</f>
        <v>Elamu- ja kommunaalmajandus</v>
      </c>
      <c r="F226" t="s">
        <v>987</v>
      </c>
      <c r="G226" t="s">
        <v>986</v>
      </c>
      <c r="H226" s="40">
        <v>500</v>
      </c>
      <c r="J226">
        <v>5511</v>
      </c>
      <c r="K226" s="3" t="str">
        <f>VLOOKUP(Table2[[#This Row],[Konto]],Table5[[Konto]:[Konto nimetus]],2,FALSE)</f>
        <v>Kinnistute, hoonete ja ruumide majandamiskulud</v>
      </c>
      <c r="L226">
        <v>55</v>
      </c>
      <c r="M226" t="str">
        <f t="shared" si="7"/>
        <v>55</v>
      </c>
      <c r="N226" s="3" t="str">
        <f>VLOOKUP(Table2[[#This Row],[Tulu/kulu liik2]],Table5[[Tulu/kulu liik]:[Kontode koondnimetus]],4,FALSE)</f>
        <v>Muud tegevuskulud</v>
      </c>
      <c r="O226" s="3" t="str">
        <f>VLOOKUP(Table2[[#This Row],[Tulu/kulu liik2]],Table5[],6,FALSE)</f>
        <v>Majandamiskulud</v>
      </c>
      <c r="P226" s="3" t="str">
        <f>VLOOKUP(Table2[[#This Row],[Tulu/kulu liik2]],Table5[],5,FALSE)</f>
        <v>Põhitegevuse kulu</v>
      </c>
    </row>
    <row r="227" spans="1:16" x14ac:dyDescent="0.25">
      <c r="A227" t="str">
        <f t="shared" si="6"/>
        <v>06</v>
      </c>
      <c r="B227" t="s">
        <v>259</v>
      </c>
      <c r="C227" s="3" t="str">
        <f>VLOOKUP(Table2[[#This Row],[Tegevusala]],Table4[],2,FALSE)</f>
        <v xml:space="preserve"> Tudu halduspiirkond</v>
      </c>
      <c r="D227" s="3" t="str">
        <f>VLOOKUP(Table2[[#This Row],[Tegevusala]],Table4[[Tegevusala kood]:[Tegevusala alanimetus]],4,FALSE)</f>
        <v>Muu elamu- ja kommunaalmajanduse tegevus</v>
      </c>
      <c r="E227" s="3" t="str">
        <f>VLOOKUP(Table2[[#This Row],[Tegevusala nimetus2]],Table4[[Tegevusala nimetus]:[Tegevusala koondnimetus]],2,FALSE)</f>
        <v>Elamu- ja kommunaalmajandus</v>
      </c>
      <c r="F227" t="s">
        <v>987</v>
      </c>
      <c r="G227" t="s">
        <v>1216</v>
      </c>
      <c r="H227" s="40">
        <v>580</v>
      </c>
      <c r="J227">
        <v>5514</v>
      </c>
      <c r="K227" s="3" t="str">
        <f>VLOOKUP(Table2[[#This Row],[Konto]],Table5[[Konto]:[Konto nimetus]],2,FALSE)</f>
        <v>Info- ja kommunikatsioonitehnoliigised kulud</v>
      </c>
      <c r="L227">
        <v>55</v>
      </c>
      <c r="M227" t="str">
        <f t="shared" si="7"/>
        <v>55</v>
      </c>
      <c r="N227" s="3" t="str">
        <f>VLOOKUP(Table2[[#This Row],[Tulu/kulu liik2]],Table5[[Tulu/kulu liik]:[Kontode koondnimetus]],4,FALSE)</f>
        <v>Muud tegevuskulud</v>
      </c>
      <c r="O227" s="34" t="str">
        <f>VLOOKUP(Table2[[#This Row],[Tulu/kulu liik2]],Table5[],6,FALSE)</f>
        <v>Majandamiskulud</v>
      </c>
      <c r="P227" s="3" t="str">
        <f>VLOOKUP(Table2[[#This Row],[Tulu/kulu liik2]],Table5[],5,FALSE)</f>
        <v>Põhitegevuse kulu</v>
      </c>
    </row>
    <row r="228" spans="1:16" x14ac:dyDescent="0.25">
      <c r="A228" t="str">
        <f t="shared" si="6"/>
        <v>06</v>
      </c>
      <c r="B228" t="s">
        <v>261</v>
      </c>
      <c r="C228" s="3" t="str">
        <f>VLOOKUP(Table2[[#This Row],[Tegevusala]],Table4[],2,FALSE)</f>
        <v xml:space="preserve"> Viru Jaagupi halduspiirkond</v>
      </c>
      <c r="D228" s="3" t="str">
        <f>VLOOKUP(Table2[[#This Row],[Tegevusala]],Table4[[Tegevusala kood]:[Tegevusala alanimetus]],4,FALSE)</f>
        <v>Muu elamu- ja kommunaalmajanduse tegevus</v>
      </c>
      <c r="E228" s="3" t="str">
        <f>VLOOKUP(Table2[[#This Row],[Tegevusala nimetus2]],Table4[[Tegevusala nimetus]:[Tegevusala koondnimetus]],2,FALSE)</f>
        <v>Elamu- ja kommunaalmajandus</v>
      </c>
      <c r="F228" s="14" t="s">
        <v>992</v>
      </c>
      <c r="G228" t="s">
        <v>971</v>
      </c>
      <c r="H228" s="40">
        <v>235</v>
      </c>
      <c r="I228" s="2" t="s">
        <v>994</v>
      </c>
      <c r="J228">
        <v>5511</v>
      </c>
      <c r="K228" s="3" t="str">
        <f>VLOOKUP(Table2[[#This Row],[Konto]],Table5[[Konto]:[Konto nimetus]],2,FALSE)</f>
        <v>Kinnistute, hoonete ja ruumide majandamiskulud</v>
      </c>
      <c r="L228">
        <v>55</v>
      </c>
      <c r="M228" t="str">
        <f t="shared" si="7"/>
        <v>55</v>
      </c>
      <c r="N228" s="3" t="str">
        <f>VLOOKUP(Table2[[#This Row],[Tulu/kulu liik2]],Table5[[Tulu/kulu liik]:[Kontode koondnimetus]],4,FALSE)</f>
        <v>Muud tegevuskulud</v>
      </c>
      <c r="O228" s="3" t="str">
        <f>VLOOKUP(Table2[[#This Row],[Tulu/kulu liik2]],Table5[],6,FALSE)</f>
        <v>Majandamiskulud</v>
      </c>
      <c r="P228" s="3" t="str">
        <f>VLOOKUP(Table2[[#This Row],[Tulu/kulu liik2]],Table5[],5,FALSE)</f>
        <v>Põhitegevuse kulu</v>
      </c>
    </row>
    <row r="229" spans="1:16" x14ac:dyDescent="0.25">
      <c r="A229" t="str">
        <f t="shared" si="6"/>
        <v>06</v>
      </c>
      <c r="B229" t="s">
        <v>261</v>
      </c>
      <c r="C229" s="3" t="str">
        <f>VLOOKUP(Table2[[#This Row],[Tegevusala]],Table4[],2,FALSE)</f>
        <v xml:space="preserve"> Viru Jaagupi halduspiirkond</v>
      </c>
      <c r="D229" s="3" t="str">
        <f>VLOOKUP(Table2[[#This Row],[Tegevusala]],Table4[[Tegevusala kood]:[Tegevusala alanimetus]],4,FALSE)</f>
        <v>Muu elamu- ja kommunaalmajanduse tegevus</v>
      </c>
      <c r="E229" s="3" t="str">
        <f>VLOOKUP(Table2[[#This Row],[Tegevusala nimetus2]],Table4[[Tegevusala nimetus]:[Tegevusala koondnimetus]],2,FALSE)</f>
        <v>Elamu- ja kommunaalmajandus</v>
      </c>
      <c r="F229" s="14" t="s">
        <v>992</v>
      </c>
      <c r="G229" t="s">
        <v>995</v>
      </c>
      <c r="H229" s="40">
        <v>92.4</v>
      </c>
      <c r="I229" s="2" t="s">
        <v>994</v>
      </c>
      <c r="J229">
        <v>5511</v>
      </c>
      <c r="K229" s="3" t="str">
        <f>VLOOKUP(Table2[[#This Row],[Konto]],Table5[[Konto]:[Konto nimetus]],2,FALSE)</f>
        <v>Kinnistute, hoonete ja ruumide majandamiskulud</v>
      </c>
      <c r="L229">
        <v>55</v>
      </c>
      <c r="M229" t="str">
        <f t="shared" si="7"/>
        <v>55</v>
      </c>
      <c r="N229" s="3" t="str">
        <f>VLOOKUP(Table2[[#This Row],[Tulu/kulu liik2]],Table5[[Tulu/kulu liik]:[Kontode koondnimetus]],4,FALSE)</f>
        <v>Muud tegevuskulud</v>
      </c>
      <c r="O229" s="3" t="str">
        <f>VLOOKUP(Table2[[#This Row],[Tulu/kulu liik2]],Table5[],6,FALSE)</f>
        <v>Majandamiskulud</v>
      </c>
      <c r="P229" s="3" t="str">
        <f>VLOOKUP(Table2[[#This Row],[Tulu/kulu liik2]],Table5[],5,FALSE)</f>
        <v>Põhitegevuse kulu</v>
      </c>
    </row>
    <row r="230" spans="1:16" x14ac:dyDescent="0.25">
      <c r="A230" t="str">
        <f t="shared" si="6"/>
        <v>06</v>
      </c>
      <c r="B230" t="s">
        <v>261</v>
      </c>
      <c r="C230" s="3" t="str">
        <f>VLOOKUP(Table2[[#This Row],[Tegevusala]],Table4[],2,FALSE)</f>
        <v xml:space="preserve"> Viru Jaagupi halduspiirkond</v>
      </c>
      <c r="D230" s="3" t="str">
        <f>VLOOKUP(Table2[[#This Row],[Tegevusala]],Table4[[Tegevusala kood]:[Tegevusala alanimetus]],4,FALSE)</f>
        <v>Muu elamu- ja kommunaalmajanduse tegevus</v>
      </c>
      <c r="E230" s="3" t="str">
        <f>VLOOKUP(Table2[[#This Row],[Tegevusala nimetus2]],Table4[[Tegevusala nimetus]:[Tegevusala koondnimetus]],2,FALSE)</f>
        <v>Elamu- ja kommunaalmajandus</v>
      </c>
      <c r="F230" s="14" t="s">
        <v>992</v>
      </c>
      <c r="G230" t="s">
        <v>510</v>
      </c>
      <c r="H230" s="40">
        <v>1400</v>
      </c>
      <c r="I230" s="2" t="s">
        <v>996</v>
      </c>
      <c r="J230">
        <v>5511</v>
      </c>
      <c r="K230" s="3" t="str">
        <f>VLOOKUP(Table2[[#This Row],[Konto]],Table5[[Konto]:[Konto nimetus]],2,FALSE)</f>
        <v>Kinnistute, hoonete ja ruumide majandamiskulud</v>
      </c>
      <c r="L230">
        <v>55</v>
      </c>
      <c r="M230" t="str">
        <f t="shared" si="7"/>
        <v>55</v>
      </c>
      <c r="N230" s="3" t="str">
        <f>VLOOKUP(Table2[[#This Row],[Tulu/kulu liik2]],Table5[[Tulu/kulu liik]:[Kontode koondnimetus]],4,FALSE)</f>
        <v>Muud tegevuskulud</v>
      </c>
      <c r="O230" s="3" t="str">
        <f>VLOOKUP(Table2[[#This Row],[Tulu/kulu liik2]],Table5[],6,FALSE)</f>
        <v>Majandamiskulud</v>
      </c>
      <c r="P230" s="3" t="str">
        <f>VLOOKUP(Table2[[#This Row],[Tulu/kulu liik2]],Table5[],5,FALSE)</f>
        <v>Põhitegevuse kulu</v>
      </c>
    </row>
    <row r="231" spans="1:16" x14ac:dyDescent="0.25">
      <c r="A231" t="str">
        <f t="shared" si="6"/>
        <v>06</v>
      </c>
      <c r="B231" t="s">
        <v>261</v>
      </c>
      <c r="C231" s="3" t="str">
        <f>VLOOKUP(Table2[[#This Row],[Tegevusala]],Table4[],2,FALSE)</f>
        <v xml:space="preserve"> Viru Jaagupi halduspiirkond</v>
      </c>
      <c r="D231" s="3" t="str">
        <f>VLOOKUP(Table2[[#This Row],[Tegevusala]],Table4[[Tegevusala kood]:[Tegevusala alanimetus]],4,FALSE)</f>
        <v>Muu elamu- ja kommunaalmajanduse tegevus</v>
      </c>
      <c r="E231" s="3" t="str">
        <f>VLOOKUP(Table2[[#This Row],[Tegevusala nimetus2]],Table4[[Tegevusala nimetus]:[Tegevusala koondnimetus]],2,FALSE)</f>
        <v>Elamu- ja kommunaalmajandus</v>
      </c>
      <c r="F231" s="14" t="s">
        <v>992</v>
      </c>
      <c r="G231" t="s">
        <v>971</v>
      </c>
      <c r="H231" s="40">
        <v>84</v>
      </c>
      <c r="I231" s="2" t="s">
        <v>997</v>
      </c>
      <c r="J231">
        <v>5511</v>
      </c>
      <c r="K231" s="3" t="str">
        <f>VLOOKUP(Table2[[#This Row],[Konto]],Table5[[Konto]:[Konto nimetus]],2,FALSE)</f>
        <v>Kinnistute, hoonete ja ruumide majandamiskulud</v>
      </c>
      <c r="L231">
        <v>55</v>
      </c>
      <c r="M231" t="str">
        <f t="shared" si="7"/>
        <v>55</v>
      </c>
      <c r="N231" s="3" t="str">
        <f>VLOOKUP(Table2[[#This Row],[Tulu/kulu liik2]],Table5[[Tulu/kulu liik]:[Kontode koondnimetus]],4,FALSE)</f>
        <v>Muud tegevuskulud</v>
      </c>
      <c r="O231" s="3" t="str">
        <f>VLOOKUP(Table2[[#This Row],[Tulu/kulu liik2]],Table5[],6,FALSE)</f>
        <v>Majandamiskulud</v>
      </c>
      <c r="P231" s="3" t="str">
        <f>VLOOKUP(Table2[[#This Row],[Tulu/kulu liik2]],Table5[],5,FALSE)</f>
        <v>Põhitegevuse kulu</v>
      </c>
    </row>
    <row r="232" spans="1:16" x14ac:dyDescent="0.25">
      <c r="A232" t="str">
        <f t="shared" si="6"/>
        <v>06</v>
      </c>
      <c r="B232" t="s">
        <v>261</v>
      </c>
      <c r="C232" s="3" t="str">
        <f>VLOOKUP(Table2[[#This Row],[Tegevusala]],Table4[],2,FALSE)</f>
        <v xml:space="preserve"> Viru Jaagupi halduspiirkond</v>
      </c>
      <c r="D232" s="3" t="str">
        <f>VLOOKUP(Table2[[#This Row],[Tegevusala]],Table4[[Tegevusala kood]:[Tegevusala alanimetus]],4,FALSE)</f>
        <v>Muu elamu- ja kommunaalmajanduse tegevus</v>
      </c>
      <c r="E232" s="3" t="str">
        <f>VLOOKUP(Table2[[#This Row],[Tegevusala nimetus2]],Table4[[Tegevusala nimetus]:[Tegevusala koondnimetus]],2,FALSE)</f>
        <v>Elamu- ja kommunaalmajandus</v>
      </c>
      <c r="F232" s="14" t="s">
        <v>992</v>
      </c>
      <c r="G232" t="s">
        <v>971</v>
      </c>
      <c r="H232" s="40">
        <v>350</v>
      </c>
      <c r="I232" s="2" t="s">
        <v>998</v>
      </c>
      <c r="J232">
        <v>5511</v>
      </c>
      <c r="K232" s="3" t="str">
        <f>VLOOKUP(Table2[[#This Row],[Konto]],Table5[[Konto]:[Konto nimetus]],2,FALSE)</f>
        <v>Kinnistute, hoonete ja ruumide majandamiskulud</v>
      </c>
      <c r="L232">
        <v>55</v>
      </c>
      <c r="M232" t="str">
        <f t="shared" si="7"/>
        <v>55</v>
      </c>
      <c r="N232" s="3" t="str">
        <f>VLOOKUP(Table2[[#This Row],[Tulu/kulu liik2]],Table5[[Tulu/kulu liik]:[Kontode koondnimetus]],4,FALSE)</f>
        <v>Muud tegevuskulud</v>
      </c>
      <c r="O232" s="3" t="str">
        <f>VLOOKUP(Table2[[#This Row],[Tulu/kulu liik2]],Table5[],6,FALSE)</f>
        <v>Majandamiskulud</v>
      </c>
      <c r="P232" s="3" t="str">
        <f>VLOOKUP(Table2[[#This Row],[Tulu/kulu liik2]],Table5[],5,FALSE)</f>
        <v>Põhitegevuse kulu</v>
      </c>
    </row>
    <row r="233" spans="1:16" x14ac:dyDescent="0.25">
      <c r="A233" t="str">
        <f t="shared" si="6"/>
        <v>06</v>
      </c>
      <c r="B233" t="s">
        <v>261</v>
      </c>
      <c r="C233" s="3" t="str">
        <f>VLOOKUP(Table2[[#This Row],[Tegevusala]],Table4[],2,FALSE)</f>
        <v xml:space="preserve"> Viru Jaagupi halduspiirkond</v>
      </c>
      <c r="D233" s="3" t="str">
        <f>VLOOKUP(Table2[[#This Row],[Tegevusala]],Table4[[Tegevusala kood]:[Tegevusala alanimetus]],4,FALSE)</f>
        <v>Muu elamu- ja kommunaalmajanduse tegevus</v>
      </c>
      <c r="E233" s="3" t="str">
        <f>VLOOKUP(Table2[[#This Row],[Tegevusala nimetus2]],Table4[[Tegevusala nimetus]:[Tegevusala koondnimetus]],2,FALSE)</f>
        <v>Elamu- ja kommunaalmajandus</v>
      </c>
      <c r="F233" s="14" t="s">
        <v>992</v>
      </c>
      <c r="G233" t="s">
        <v>999</v>
      </c>
      <c r="H233" s="40">
        <v>3600</v>
      </c>
      <c r="J233">
        <v>5511</v>
      </c>
      <c r="K233" s="3" t="str">
        <f>VLOOKUP(Table2[[#This Row],[Konto]],Table5[[Konto]:[Konto nimetus]],2,FALSE)</f>
        <v>Kinnistute, hoonete ja ruumide majandamiskulud</v>
      </c>
      <c r="L233">
        <v>55</v>
      </c>
      <c r="M233" t="str">
        <f t="shared" si="7"/>
        <v>55</v>
      </c>
      <c r="N233" s="3" t="str">
        <f>VLOOKUP(Table2[[#This Row],[Tulu/kulu liik2]],Table5[[Tulu/kulu liik]:[Kontode koondnimetus]],4,FALSE)</f>
        <v>Muud tegevuskulud</v>
      </c>
      <c r="O233" s="3" t="str">
        <f>VLOOKUP(Table2[[#This Row],[Tulu/kulu liik2]],Table5[],6,FALSE)</f>
        <v>Majandamiskulud</v>
      </c>
      <c r="P233" s="3" t="str">
        <f>VLOOKUP(Table2[[#This Row],[Tulu/kulu liik2]],Table5[],5,FALSE)</f>
        <v>Põhitegevuse kulu</v>
      </c>
    </row>
    <row r="234" spans="1:16" x14ac:dyDescent="0.25">
      <c r="A234" t="str">
        <f t="shared" si="6"/>
        <v>06</v>
      </c>
      <c r="B234" t="s">
        <v>261</v>
      </c>
      <c r="C234" s="3" t="str">
        <f>VLOOKUP(Table2[[#This Row],[Tegevusala]],Table4[],2,FALSE)</f>
        <v xml:space="preserve"> Viru Jaagupi halduspiirkond</v>
      </c>
      <c r="D234" s="3" t="str">
        <f>VLOOKUP(Table2[[#This Row],[Tegevusala]],Table4[[Tegevusala kood]:[Tegevusala alanimetus]],4,FALSE)</f>
        <v>Muu elamu- ja kommunaalmajanduse tegevus</v>
      </c>
      <c r="E234" s="3" t="str">
        <f>VLOOKUP(Table2[[#This Row],[Tegevusala nimetus2]],Table4[[Tegevusala nimetus]:[Tegevusala koondnimetus]],2,FALSE)</f>
        <v>Elamu- ja kommunaalmajandus</v>
      </c>
      <c r="F234" s="14" t="s">
        <v>992</v>
      </c>
      <c r="G234" t="s">
        <v>963</v>
      </c>
      <c r="H234" s="40">
        <v>3000</v>
      </c>
      <c r="J234">
        <v>5511</v>
      </c>
      <c r="K234" s="3" t="str">
        <f>VLOOKUP(Table2[[#This Row],[Konto]],Table5[[Konto]:[Konto nimetus]],2,FALSE)</f>
        <v>Kinnistute, hoonete ja ruumide majandamiskulud</v>
      </c>
      <c r="L234">
        <v>55</v>
      </c>
      <c r="M234" t="str">
        <f t="shared" si="7"/>
        <v>55</v>
      </c>
      <c r="N234" s="3" t="str">
        <f>VLOOKUP(Table2[[#This Row],[Tulu/kulu liik2]],Table5[[Tulu/kulu liik]:[Kontode koondnimetus]],4,FALSE)</f>
        <v>Muud tegevuskulud</v>
      </c>
      <c r="O234" s="3" t="str">
        <f>VLOOKUP(Table2[[#This Row],[Tulu/kulu liik2]],Table5[],6,FALSE)</f>
        <v>Majandamiskulud</v>
      </c>
      <c r="P234" s="3" t="str">
        <f>VLOOKUP(Table2[[#This Row],[Tulu/kulu liik2]],Table5[],5,FALSE)</f>
        <v>Põhitegevuse kulu</v>
      </c>
    </row>
    <row r="235" spans="1:16" x14ac:dyDescent="0.25">
      <c r="A235" t="str">
        <f t="shared" si="6"/>
        <v>06</v>
      </c>
      <c r="B235" t="s">
        <v>261</v>
      </c>
      <c r="C235" s="3" t="str">
        <f>VLOOKUP(Table2[[#This Row],[Tegevusala]],Table4[],2,FALSE)</f>
        <v xml:space="preserve"> Viru Jaagupi halduspiirkond</v>
      </c>
      <c r="D235" s="3" t="str">
        <f>VLOOKUP(Table2[[#This Row],[Tegevusala]],Table4[[Tegevusala kood]:[Tegevusala alanimetus]],4,FALSE)</f>
        <v>Muu elamu- ja kommunaalmajanduse tegevus</v>
      </c>
      <c r="E235" s="3" t="str">
        <f>VLOOKUP(Table2[[#This Row],[Tegevusala nimetus2]],Table4[[Tegevusala nimetus]:[Tegevusala koondnimetus]],2,FALSE)</f>
        <v>Elamu- ja kommunaalmajandus</v>
      </c>
      <c r="F235" s="14" t="s">
        <v>992</v>
      </c>
      <c r="G235" t="s">
        <v>943</v>
      </c>
      <c r="H235" s="40">
        <v>18000</v>
      </c>
      <c r="J235">
        <v>5511</v>
      </c>
      <c r="K235" s="3" t="str">
        <f>VLOOKUP(Table2[[#This Row],[Konto]],Table5[[Konto]:[Konto nimetus]],2,FALSE)</f>
        <v>Kinnistute, hoonete ja ruumide majandamiskulud</v>
      </c>
      <c r="L235">
        <v>55</v>
      </c>
      <c r="M235" t="str">
        <f t="shared" si="7"/>
        <v>55</v>
      </c>
      <c r="N235" s="3" t="str">
        <f>VLOOKUP(Table2[[#This Row],[Tulu/kulu liik2]],Table5[[Tulu/kulu liik]:[Kontode koondnimetus]],4,FALSE)</f>
        <v>Muud tegevuskulud</v>
      </c>
      <c r="O235" s="3" t="str">
        <f>VLOOKUP(Table2[[#This Row],[Tulu/kulu liik2]],Table5[],6,FALSE)</f>
        <v>Majandamiskulud</v>
      </c>
      <c r="P235" s="3" t="str">
        <f>VLOOKUP(Table2[[#This Row],[Tulu/kulu liik2]],Table5[],5,FALSE)</f>
        <v>Põhitegevuse kulu</v>
      </c>
    </row>
    <row r="236" spans="1:16" x14ac:dyDescent="0.25">
      <c r="A236" t="str">
        <f t="shared" si="6"/>
        <v>06</v>
      </c>
      <c r="B236" t="s">
        <v>261</v>
      </c>
      <c r="C236" s="3" t="str">
        <f>VLOOKUP(Table2[[#This Row],[Tegevusala]],Table4[],2,FALSE)</f>
        <v xml:space="preserve"> Viru Jaagupi halduspiirkond</v>
      </c>
      <c r="D236" s="3" t="str">
        <f>VLOOKUP(Table2[[#This Row],[Tegevusala]],Table4[[Tegevusala kood]:[Tegevusala alanimetus]],4,FALSE)</f>
        <v>Muu elamu- ja kommunaalmajanduse tegevus</v>
      </c>
      <c r="E236" s="3" t="str">
        <f>VLOOKUP(Table2[[#This Row],[Tegevusala nimetus2]],Table4[[Tegevusala nimetus]:[Tegevusala koondnimetus]],2,FALSE)</f>
        <v>Elamu- ja kommunaalmajandus</v>
      </c>
      <c r="F236" s="14" t="s">
        <v>992</v>
      </c>
      <c r="G236" t="s">
        <v>1000</v>
      </c>
      <c r="H236" s="40">
        <v>1000</v>
      </c>
      <c r="I236" s="2" t="s">
        <v>1001</v>
      </c>
      <c r="J236">
        <v>5511</v>
      </c>
      <c r="K236" s="3" t="str">
        <f>VLOOKUP(Table2[[#This Row],[Konto]],Table5[[Konto]:[Konto nimetus]],2,FALSE)</f>
        <v>Kinnistute, hoonete ja ruumide majandamiskulud</v>
      </c>
      <c r="L236">
        <v>55</v>
      </c>
      <c r="M236" t="str">
        <f t="shared" si="7"/>
        <v>55</v>
      </c>
      <c r="N236" s="3" t="str">
        <f>VLOOKUP(Table2[[#This Row],[Tulu/kulu liik2]],Table5[[Tulu/kulu liik]:[Kontode koondnimetus]],4,FALSE)</f>
        <v>Muud tegevuskulud</v>
      </c>
      <c r="O236" s="3" t="str">
        <f>VLOOKUP(Table2[[#This Row],[Tulu/kulu liik2]],Table5[],6,FALSE)</f>
        <v>Majandamiskulud</v>
      </c>
      <c r="P236" s="3" t="str">
        <f>VLOOKUP(Table2[[#This Row],[Tulu/kulu liik2]],Table5[],5,FALSE)</f>
        <v>Põhitegevuse kulu</v>
      </c>
    </row>
    <row r="237" spans="1:16" x14ac:dyDescent="0.25">
      <c r="A237" t="str">
        <f t="shared" si="6"/>
        <v>06</v>
      </c>
      <c r="B237" t="s">
        <v>261</v>
      </c>
      <c r="C237" s="3" t="str">
        <f>VLOOKUP(Table2[[#This Row],[Tegevusala]],Table4[],2,FALSE)</f>
        <v xml:space="preserve"> Viru Jaagupi halduspiirkond</v>
      </c>
      <c r="D237" s="3" t="str">
        <f>VLOOKUP(Table2[[#This Row],[Tegevusala]],Table4[[Tegevusala kood]:[Tegevusala alanimetus]],4,FALSE)</f>
        <v>Muu elamu- ja kommunaalmajanduse tegevus</v>
      </c>
      <c r="E237" s="3" t="str">
        <f>VLOOKUP(Table2[[#This Row],[Tegevusala nimetus2]],Table4[[Tegevusala nimetus]:[Tegevusala koondnimetus]],2,FALSE)</f>
        <v>Elamu- ja kommunaalmajandus</v>
      </c>
      <c r="F237" s="14" t="s">
        <v>992</v>
      </c>
      <c r="G237" t="s">
        <v>1002</v>
      </c>
      <c r="H237" s="40">
        <v>84</v>
      </c>
      <c r="J237">
        <v>5511</v>
      </c>
      <c r="K237" s="3" t="str">
        <f>VLOOKUP(Table2[[#This Row],[Konto]],Table5[[Konto]:[Konto nimetus]],2,FALSE)</f>
        <v>Kinnistute, hoonete ja ruumide majandamiskulud</v>
      </c>
      <c r="L237">
        <v>55</v>
      </c>
      <c r="M237" t="str">
        <f t="shared" si="7"/>
        <v>55</v>
      </c>
      <c r="N237" s="3" t="str">
        <f>VLOOKUP(Table2[[#This Row],[Tulu/kulu liik2]],Table5[[Tulu/kulu liik]:[Kontode koondnimetus]],4,FALSE)</f>
        <v>Muud tegevuskulud</v>
      </c>
      <c r="O237" s="3" t="str">
        <f>VLOOKUP(Table2[[#This Row],[Tulu/kulu liik2]],Table5[],6,FALSE)</f>
        <v>Majandamiskulud</v>
      </c>
      <c r="P237" s="3" t="str">
        <f>VLOOKUP(Table2[[#This Row],[Tulu/kulu liik2]],Table5[],5,FALSE)</f>
        <v>Põhitegevuse kulu</v>
      </c>
    </row>
    <row r="238" spans="1:16" x14ac:dyDescent="0.25">
      <c r="A238" t="str">
        <f t="shared" si="6"/>
        <v>06</v>
      </c>
      <c r="B238" t="s">
        <v>261</v>
      </c>
      <c r="C238" s="3" t="str">
        <f>VLOOKUP(Table2[[#This Row],[Tegevusala]],Table4[],2,FALSE)</f>
        <v xml:space="preserve"> Viru Jaagupi halduspiirkond</v>
      </c>
      <c r="D238" s="3" t="str">
        <f>VLOOKUP(Table2[[#This Row],[Tegevusala]],Table4[[Tegevusala kood]:[Tegevusala alanimetus]],4,FALSE)</f>
        <v>Muu elamu- ja kommunaalmajanduse tegevus</v>
      </c>
      <c r="E238" s="3" t="str">
        <f>VLOOKUP(Table2[[#This Row],[Tegevusala nimetus2]],Table4[[Tegevusala nimetus]:[Tegevusala koondnimetus]],2,FALSE)</f>
        <v>Elamu- ja kommunaalmajandus</v>
      </c>
      <c r="F238" s="14" t="s">
        <v>992</v>
      </c>
      <c r="G238" t="s">
        <v>1003</v>
      </c>
      <c r="H238" s="40">
        <v>1500</v>
      </c>
      <c r="I238" s="2" t="s">
        <v>1004</v>
      </c>
      <c r="J238">
        <v>5511</v>
      </c>
      <c r="K238" s="3" t="str">
        <f>VLOOKUP(Table2[[#This Row],[Konto]],Table5[[Konto]:[Konto nimetus]],2,FALSE)</f>
        <v>Kinnistute, hoonete ja ruumide majandamiskulud</v>
      </c>
      <c r="L238">
        <v>55</v>
      </c>
      <c r="M238" t="str">
        <f t="shared" si="7"/>
        <v>55</v>
      </c>
      <c r="N238" s="3" t="str">
        <f>VLOOKUP(Table2[[#This Row],[Tulu/kulu liik2]],Table5[[Tulu/kulu liik]:[Kontode koondnimetus]],4,FALSE)</f>
        <v>Muud tegevuskulud</v>
      </c>
      <c r="O238" s="3" t="str">
        <f>VLOOKUP(Table2[[#This Row],[Tulu/kulu liik2]],Table5[],6,FALSE)</f>
        <v>Majandamiskulud</v>
      </c>
      <c r="P238" s="3" t="str">
        <f>VLOOKUP(Table2[[#This Row],[Tulu/kulu liik2]],Table5[],5,FALSE)</f>
        <v>Põhitegevuse kulu</v>
      </c>
    </row>
    <row r="239" spans="1:16" x14ac:dyDescent="0.25">
      <c r="A239" t="str">
        <f t="shared" si="6"/>
        <v>06</v>
      </c>
      <c r="B239" t="s">
        <v>261</v>
      </c>
      <c r="C239" s="3" t="str">
        <f>VLOOKUP(Table2[[#This Row],[Tegevusala]],Table4[],2,FALSE)</f>
        <v xml:space="preserve"> Viru Jaagupi halduspiirkond</v>
      </c>
      <c r="D239" s="3" t="str">
        <f>VLOOKUP(Table2[[#This Row],[Tegevusala]],Table4[[Tegevusala kood]:[Tegevusala alanimetus]],4,FALSE)</f>
        <v>Muu elamu- ja kommunaalmajanduse tegevus</v>
      </c>
      <c r="E239" s="3" t="str">
        <f>VLOOKUP(Table2[[#This Row],[Tegevusala nimetus2]],Table4[[Tegevusala nimetus]:[Tegevusala koondnimetus]],2,FALSE)</f>
        <v>Elamu- ja kommunaalmajandus</v>
      </c>
      <c r="F239" s="14" t="s">
        <v>992</v>
      </c>
      <c r="G239" t="s">
        <v>1005</v>
      </c>
      <c r="H239" s="40">
        <v>314.32</v>
      </c>
      <c r="I239" s="2" t="s">
        <v>1006</v>
      </c>
      <c r="J239">
        <v>5511</v>
      </c>
      <c r="K239" s="3" t="str">
        <f>VLOOKUP(Table2[[#This Row],[Konto]],Table5[[Konto]:[Konto nimetus]],2,FALSE)</f>
        <v>Kinnistute, hoonete ja ruumide majandamiskulud</v>
      </c>
      <c r="L239">
        <v>55</v>
      </c>
      <c r="M239" t="str">
        <f t="shared" si="7"/>
        <v>55</v>
      </c>
      <c r="N239" s="3" t="str">
        <f>VLOOKUP(Table2[[#This Row],[Tulu/kulu liik2]],Table5[[Tulu/kulu liik]:[Kontode koondnimetus]],4,FALSE)</f>
        <v>Muud tegevuskulud</v>
      </c>
      <c r="O239" s="3" t="str">
        <f>VLOOKUP(Table2[[#This Row],[Tulu/kulu liik2]],Table5[],6,FALSE)</f>
        <v>Majandamiskulud</v>
      </c>
      <c r="P239" s="3" t="str">
        <f>VLOOKUP(Table2[[#This Row],[Tulu/kulu liik2]],Table5[],5,FALSE)</f>
        <v>Põhitegevuse kulu</v>
      </c>
    </row>
    <row r="240" spans="1:16" x14ac:dyDescent="0.25">
      <c r="A240" t="str">
        <f t="shared" si="6"/>
        <v>06</v>
      </c>
      <c r="B240" t="s">
        <v>261</v>
      </c>
      <c r="C240" s="3" t="str">
        <f>VLOOKUP(Table2[[#This Row],[Tegevusala]],Table4[],2,FALSE)</f>
        <v xml:space="preserve"> Viru Jaagupi halduspiirkond</v>
      </c>
      <c r="D240" s="3" t="str">
        <f>VLOOKUP(Table2[[#This Row],[Tegevusala]],Table4[[Tegevusala kood]:[Tegevusala alanimetus]],4,FALSE)</f>
        <v>Muu elamu- ja kommunaalmajanduse tegevus</v>
      </c>
      <c r="E240" s="3" t="str">
        <f>VLOOKUP(Table2[[#This Row],[Tegevusala nimetus2]],Table4[[Tegevusala nimetus]:[Tegevusala koondnimetus]],2,FALSE)</f>
        <v>Elamu- ja kommunaalmajandus</v>
      </c>
      <c r="F240" s="14" t="s">
        <v>992</v>
      </c>
      <c r="G240" t="s">
        <v>1007</v>
      </c>
      <c r="H240" s="40">
        <v>14.399999999999999</v>
      </c>
      <c r="I240" s="2" t="s">
        <v>997</v>
      </c>
      <c r="J240">
        <v>5511</v>
      </c>
      <c r="K240" s="3" t="str">
        <f>VLOOKUP(Table2[[#This Row],[Konto]],Table5[[Konto]:[Konto nimetus]],2,FALSE)</f>
        <v>Kinnistute, hoonete ja ruumide majandamiskulud</v>
      </c>
      <c r="L240">
        <v>55</v>
      </c>
      <c r="M240" t="str">
        <f t="shared" si="7"/>
        <v>55</v>
      </c>
      <c r="N240" s="3" t="str">
        <f>VLOOKUP(Table2[[#This Row],[Tulu/kulu liik2]],Table5[[Tulu/kulu liik]:[Kontode koondnimetus]],4,FALSE)</f>
        <v>Muud tegevuskulud</v>
      </c>
      <c r="O240" s="3" t="str">
        <f>VLOOKUP(Table2[[#This Row],[Tulu/kulu liik2]],Table5[],6,FALSE)</f>
        <v>Majandamiskulud</v>
      </c>
      <c r="P240" s="3" t="str">
        <f>VLOOKUP(Table2[[#This Row],[Tulu/kulu liik2]],Table5[],5,FALSE)</f>
        <v>Põhitegevuse kulu</v>
      </c>
    </row>
    <row r="241" spans="1:16" x14ac:dyDescent="0.25">
      <c r="A241" t="str">
        <f t="shared" si="6"/>
        <v>06</v>
      </c>
      <c r="B241" t="s">
        <v>261</v>
      </c>
      <c r="C241" s="3" t="str">
        <f>VLOOKUP(Table2[[#This Row],[Tegevusala]],Table4[],2,FALSE)</f>
        <v xml:space="preserve"> Viru Jaagupi halduspiirkond</v>
      </c>
      <c r="D241" s="3" t="str">
        <f>VLOOKUP(Table2[[#This Row],[Tegevusala]],Table4[[Tegevusala kood]:[Tegevusala alanimetus]],4,FALSE)</f>
        <v>Muu elamu- ja kommunaalmajanduse tegevus</v>
      </c>
      <c r="E241" s="3" t="str">
        <f>VLOOKUP(Table2[[#This Row],[Tegevusala nimetus2]],Table4[[Tegevusala nimetus]:[Tegevusala koondnimetus]],2,FALSE)</f>
        <v>Elamu- ja kommunaalmajandus</v>
      </c>
      <c r="F241" s="14" t="s">
        <v>992</v>
      </c>
      <c r="G241" t="s">
        <v>1008</v>
      </c>
      <c r="H241" s="40">
        <v>384</v>
      </c>
      <c r="I241" s="2" t="s">
        <v>997</v>
      </c>
      <c r="J241">
        <v>5511</v>
      </c>
      <c r="K241" s="3" t="str">
        <f>VLOOKUP(Table2[[#This Row],[Konto]],Table5[[Konto]:[Konto nimetus]],2,FALSE)</f>
        <v>Kinnistute, hoonete ja ruumide majandamiskulud</v>
      </c>
      <c r="L241">
        <v>55</v>
      </c>
      <c r="M241" t="str">
        <f t="shared" si="7"/>
        <v>55</v>
      </c>
      <c r="N241" s="3" t="str">
        <f>VLOOKUP(Table2[[#This Row],[Tulu/kulu liik2]],Table5[[Tulu/kulu liik]:[Kontode koondnimetus]],4,FALSE)</f>
        <v>Muud tegevuskulud</v>
      </c>
      <c r="O241" s="3" t="str">
        <f>VLOOKUP(Table2[[#This Row],[Tulu/kulu liik2]],Table5[],6,FALSE)</f>
        <v>Majandamiskulud</v>
      </c>
      <c r="P241" s="3" t="str">
        <f>VLOOKUP(Table2[[#This Row],[Tulu/kulu liik2]],Table5[],5,FALSE)</f>
        <v>Põhitegevuse kulu</v>
      </c>
    </row>
    <row r="242" spans="1:16" x14ac:dyDescent="0.25">
      <c r="A242" t="str">
        <f t="shared" si="6"/>
        <v>06</v>
      </c>
      <c r="B242" t="s">
        <v>261</v>
      </c>
      <c r="C242" s="3" t="str">
        <f>VLOOKUP(Table2[[#This Row],[Tegevusala]],Table4[],2,FALSE)</f>
        <v xml:space="preserve"> Viru Jaagupi halduspiirkond</v>
      </c>
      <c r="D242" s="3" t="str">
        <f>VLOOKUP(Table2[[#This Row],[Tegevusala]],Table4[[Tegevusala kood]:[Tegevusala alanimetus]],4,FALSE)</f>
        <v>Muu elamu- ja kommunaalmajanduse tegevus</v>
      </c>
      <c r="E242" s="3" t="str">
        <f>VLOOKUP(Table2[[#This Row],[Tegevusala nimetus2]],Table4[[Tegevusala nimetus]:[Tegevusala koondnimetus]],2,FALSE)</f>
        <v>Elamu- ja kommunaalmajandus</v>
      </c>
      <c r="F242" s="14" t="s">
        <v>992</v>
      </c>
      <c r="G242" t="s">
        <v>1009</v>
      </c>
      <c r="H242" s="40">
        <v>1500</v>
      </c>
      <c r="J242">
        <v>5511</v>
      </c>
      <c r="K242" s="3" t="str">
        <f>VLOOKUP(Table2[[#This Row],[Konto]],Table5[[Konto]:[Konto nimetus]],2,FALSE)</f>
        <v>Kinnistute, hoonete ja ruumide majandamiskulud</v>
      </c>
      <c r="L242">
        <v>55</v>
      </c>
      <c r="M242" t="str">
        <f t="shared" si="7"/>
        <v>55</v>
      </c>
      <c r="N242" s="3" t="str">
        <f>VLOOKUP(Table2[[#This Row],[Tulu/kulu liik2]],Table5[[Tulu/kulu liik]:[Kontode koondnimetus]],4,FALSE)</f>
        <v>Muud tegevuskulud</v>
      </c>
      <c r="O242" s="3" t="str">
        <f>VLOOKUP(Table2[[#This Row],[Tulu/kulu liik2]],Table5[],6,FALSE)</f>
        <v>Majandamiskulud</v>
      </c>
      <c r="P242" s="3" t="str">
        <f>VLOOKUP(Table2[[#This Row],[Tulu/kulu liik2]],Table5[],5,FALSE)</f>
        <v>Põhitegevuse kulu</v>
      </c>
    </row>
    <row r="243" spans="1:16" x14ac:dyDescent="0.25">
      <c r="A243" t="str">
        <f t="shared" si="6"/>
        <v>06</v>
      </c>
      <c r="B243" t="s">
        <v>261</v>
      </c>
      <c r="C243" s="3" t="str">
        <f>VLOOKUP(Table2[[#This Row],[Tegevusala]],Table4[],2,FALSE)</f>
        <v xml:space="preserve"> Viru Jaagupi halduspiirkond</v>
      </c>
      <c r="D243" s="3" t="str">
        <f>VLOOKUP(Table2[[#This Row],[Tegevusala]],Table4[[Tegevusala kood]:[Tegevusala alanimetus]],4,FALSE)</f>
        <v>Muu elamu- ja kommunaalmajanduse tegevus</v>
      </c>
      <c r="E243" s="3" t="str">
        <f>VLOOKUP(Table2[[#This Row],[Tegevusala nimetus2]],Table4[[Tegevusala nimetus]:[Tegevusala koondnimetus]],2,FALSE)</f>
        <v>Elamu- ja kommunaalmajandus</v>
      </c>
      <c r="F243" s="14" t="s">
        <v>992</v>
      </c>
      <c r="G243" t="s">
        <v>977</v>
      </c>
      <c r="H243" s="40">
        <v>3200</v>
      </c>
      <c r="I243" s="2" t="s">
        <v>1010</v>
      </c>
      <c r="J243">
        <v>5511</v>
      </c>
      <c r="K243" s="3" t="str">
        <f>VLOOKUP(Table2[[#This Row],[Konto]],Table5[[Konto]:[Konto nimetus]],2,FALSE)</f>
        <v>Kinnistute, hoonete ja ruumide majandamiskulud</v>
      </c>
      <c r="L243">
        <v>55</v>
      </c>
      <c r="M243" t="str">
        <f t="shared" si="7"/>
        <v>55</v>
      </c>
      <c r="N243" s="3" t="str">
        <f>VLOOKUP(Table2[[#This Row],[Tulu/kulu liik2]],Table5[[Tulu/kulu liik]:[Kontode koondnimetus]],4,FALSE)</f>
        <v>Muud tegevuskulud</v>
      </c>
      <c r="O243" s="3" t="str">
        <f>VLOOKUP(Table2[[#This Row],[Tulu/kulu liik2]],Table5[],6,FALSE)</f>
        <v>Majandamiskulud</v>
      </c>
      <c r="P243" s="3" t="str">
        <f>VLOOKUP(Table2[[#This Row],[Tulu/kulu liik2]],Table5[],5,FALSE)</f>
        <v>Põhitegevuse kulu</v>
      </c>
    </row>
    <row r="244" spans="1:16" x14ac:dyDescent="0.25">
      <c r="A244" t="str">
        <f t="shared" si="6"/>
        <v>06</v>
      </c>
      <c r="B244" t="s">
        <v>261</v>
      </c>
      <c r="C244" s="3" t="str">
        <f>VLOOKUP(Table2[[#This Row],[Tegevusala]],Table4[],2,FALSE)</f>
        <v xml:space="preserve"> Viru Jaagupi halduspiirkond</v>
      </c>
      <c r="D244" s="3" t="str">
        <f>VLOOKUP(Table2[[#This Row],[Tegevusala]],Table4[[Tegevusala kood]:[Tegevusala alanimetus]],4,FALSE)</f>
        <v>Muu elamu- ja kommunaalmajanduse tegevus</v>
      </c>
      <c r="E244" s="3" t="str">
        <f>VLOOKUP(Table2[[#This Row],[Tegevusala nimetus2]],Table4[[Tegevusala nimetus]:[Tegevusala koondnimetus]],2,FALSE)</f>
        <v>Elamu- ja kommunaalmajandus</v>
      </c>
      <c r="F244" s="14" t="s">
        <v>992</v>
      </c>
      <c r="G244" t="s">
        <v>974</v>
      </c>
      <c r="H244" s="40">
        <v>300</v>
      </c>
      <c r="J244">
        <v>5511</v>
      </c>
      <c r="K244" s="3" t="str">
        <f>VLOOKUP(Table2[[#This Row],[Konto]],Table5[[Konto]:[Konto nimetus]],2,FALSE)</f>
        <v>Kinnistute, hoonete ja ruumide majandamiskulud</v>
      </c>
      <c r="L244">
        <v>55</v>
      </c>
      <c r="M244" t="str">
        <f t="shared" si="7"/>
        <v>55</v>
      </c>
      <c r="N244" s="3" t="str">
        <f>VLOOKUP(Table2[[#This Row],[Tulu/kulu liik2]],Table5[[Tulu/kulu liik]:[Kontode koondnimetus]],4,FALSE)</f>
        <v>Muud tegevuskulud</v>
      </c>
      <c r="O244" s="3" t="str">
        <f>VLOOKUP(Table2[[#This Row],[Tulu/kulu liik2]],Table5[],6,FALSE)</f>
        <v>Majandamiskulud</v>
      </c>
      <c r="P244" s="3" t="str">
        <f>VLOOKUP(Table2[[#This Row],[Tulu/kulu liik2]],Table5[],5,FALSE)</f>
        <v>Põhitegevuse kulu</v>
      </c>
    </row>
    <row r="245" spans="1:16" x14ac:dyDescent="0.25">
      <c r="A245" t="str">
        <f t="shared" si="6"/>
        <v>06</v>
      </c>
      <c r="B245" t="s">
        <v>261</v>
      </c>
      <c r="C245" s="3" t="str">
        <f>VLOOKUP(Table2[[#This Row],[Tegevusala]],Table4[],2,FALSE)</f>
        <v xml:space="preserve"> Viru Jaagupi halduspiirkond</v>
      </c>
      <c r="D245" s="3" t="str">
        <f>VLOOKUP(Table2[[#This Row],[Tegevusala]],Table4[[Tegevusala kood]:[Tegevusala alanimetus]],4,FALSE)</f>
        <v>Muu elamu- ja kommunaalmajanduse tegevus</v>
      </c>
      <c r="E245" s="3" t="str">
        <f>VLOOKUP(Table2[[#This Row],[Tegevusala nimetus2]],Table4[[Tegevusala nimetus]:[Tegevusala koondnimetus]],2,FALSE)</f>
        <v>Elamu- ja kommunaalmajandus</v>
      </c>
      <c r="F245" s="14" t="s">
        <v>992</v>
      </c>
      <c r="G245" t="s">
        <v>1932</v>
      </c>
      <c r="H245" s="40">
        <f>10*600</f>
        <v>6000</v>
      </c>
      <c r="J245">
        <v>5511</v>
      </c>
      <c r="K245" s="3" t="str">
        <f>VLOOKUP(Table2[[#This Row],[Konto]],Table5[[Konto]:[Konto nimetus]],2,FALSE)</f>
        <v>Kinnistute, hoonete ja ruumide majandamiskulud</v>
      </c>
      <c r="L245">
        <v>55</v>
      </c>
      <c r="M245" t="str">
        <f t="shared" si="7"/>
        <v>55</v>
      </c>
      <c r="N245" s="3" t="str">
        <f>VLOOKUP(Table2[[#This Row],[Tulu/kulu liik2]],Table5[[Tulu/kulu liik]:[Kontode koondnimetus]],4,FALSE)</f>
        <v>Muud tegevuskulud</v>
      </c>
      <c r="O245" s="3" t="str">
        <f>VLOOKUP(Table2[[#This Row],[Tulu/kulu liik2]],Table5[],6,FALSE)</f>
        <v>Majandamiskulud</v>
      </c>
      <c r="P245" s="3" t="str">
        <f>VLOOKUP(Table2[[#This Row],[Tulu/kulu liik2]],Table5[],5,FALSE)</f>
        <v>Põhitegevuse kulu</v>
      </c>
    </row>
    <row r="246" spans="1:16" x14ac:dyDescent="0.25">
      <c r="A246" t="str">
        <f t="shared" si="6"/>
        <v>06</v>
      </c>
      <c r="B246" t="s">
        <v>261</v>
      </c>
      <c r="C246" s="3" t="str">
        <f>VLOOKUP(Table2[[#This Row],[Tegevusala]],Table4[],2,FALSE)</f>
        <v xml:space="preserve"> Viru Jaagupi halduspiirkond</v>
      </c>
      <c r="D246" s="3" t="str">
        <f>VLOOKUP(Table2[[#This Row],[Tegevusala]],Table4[[Tegevusala kood]:[Tegevusala alanimetus]],4,FALSE)</f>
        <v>Muu elamu- ja kommunaalmajanduse tegevus</v>
      </c>
      <c r="E246" s="3" t="str">
        <f>VLOOKUP(Table2[[#This Row],[Tegevusala nimetus2]],Table4[[Tegevusala nimetus]:[Tegevusala koondnimetus]],2,FALSE)</f>
        <v>Elamu- ja kommunaalmajandus</v>
      </c>
      <c r="F246" s="14" t="s">
        <v>992</v>
      </c>
      <c r="G246" t="s">
        <v>993</v>
      </c>
      <c r="H246" s="40">
        <v>300</v>
      </c>
      <c r="J246">
        <v>5500</v>
      </c>
      <c r="K246" s="3" t="str">
        <f>VLOOKUP(Table2[[#This Row],[Konto]],Table5[[Konto]:[Konto nimetus]],2,FALSE)</f>
        <v>Administreerimiskulud</v>
      </c>
      <c r="L246">
        <v>55</v>
      </c>
      <c r="M246" t="str">
        <f t="shared" si="7"/>
        <v>55</v>
      </c>
      <c r="N246" s="3" t="str">
        <f>VLOOKUP(Table2[[#This Row],[Tulu/kulu liik2]],Table5[[Tulu/kulu liik]:[Kontode koondnimetus]],4,FALSE)</f>
        <v>Muud tegevuskulud</v>
      </c>
      <c r="O246" s="3" t="str">
        <f>VLOOKUP(Table2[[#This Row],[Tulu/kulu liik2]],Table5[],6,FALSE)</f>
        <v>Majandamiskulud</v>
      </c>
      <c r="P246" s="3" t="str">
        <f>VLOOKUP(Table2[[#This Row],[Tulu/kulu liik2]],Table5[],5,FALSE)</f>
        <v>Põhitegevuse kulu</v>
      </c>
    </row>
    <row r="247" spans="1:16" x14ac:dyDescent="0.25">
      <c r="A247" t="str">
        <f t="shared" si="6"/>
        <v>06</v>
      </c>
      <c r="B247" t="s">
        <v>261</v>
      </c>
      <c r="C247" s="3" t="str">
        <f>VLOOKUP(Table2[[#This Row],[Tegevusala]],Table4[],2,FALSE)</f>
        <v xml:space="preserve"> Viru Jaagupi halduspiirkond</v>
      </c>
      <c r="D247" s="3" t="str">
        <f>VLOOKUP(Table2[[#This Row],[Tegevusala]],Table4[[Tegevusala kood]:[Tegevusala alanimetus]],4,FALSE)</f>
        <v>Muu elamu- ja kommunaalmajanduse tegevus</v>
      </c>
      <c r="E247" s="3" t="str">
        <f>VLOOKUP(Table2[[#This Row],[Tegevusala nimetus2]],Table4[[Tegevusala nimetus]:[Tegevusala koondnimetus]],2,FALSE)</f>
        <v>Elamu- ja kommunaalmajandus</v>
      </c>
      <c r="F247" s="14" t="s">
        <v>992</v>
      </c>
      <c r="G247" t="s">
        <v>442</v>
      </c>
      <c r="H247" s="40">
        <v>3600</v>
      </c>
      <c r="I247" s="2" t="s">
        <v>1011</v>
      </c>
      <c r="J247">
        <v>5513</v>
      </c>
      <c r="K247" s="3" t="str">
        <f>VLOOKUP(Table2[[#This Row],[Konto]],Table5[[Konto]:[Konto nimetus]],2,FALSE)</f>
        <v>Sõidukite ülalpidamise kulud</v>
      </c>
      <c r="L247">
        <v>55</v>
      </c>
      <c r="M247" t="str">
        <f t="shared" si="7"/>
        <v>55</v>
      </c>
      <c r="N247" s="3" t="str">
        <f>VLOOKUP(Table2[[#This Row],[Tulu/kulu liik2]],Table5[[Tulu/kulu liik]:[Kontode koondnimetus]],4,FALSE)</f>
        <v>Muud tegevuskulud</v>
      </c>
      <c r="O247" s="3" t="str">
        <f>VLOOKUP(Table2[[#This Row],[Tulu/kulu liik2]],Table5[],6,FALSE)</f>
        <v>Majandamiskulud</v>
      </c>
      <c r="P247" s="3" t="str">
        <f>VLOOKUP(Table2[[#This Row],[Tulu/kulu liik2]],Table5[],5,FALSE)</f>
        <v>Põhitegevuse kulu</v>
      </c>
    </row>
    <row r="248" spans="1:16" x14ac:dyDescent="0.25">
      <c r="A248" t="str">
        <f t="shared" si="6"/>
        <v>06</v>
      </c>
      <c r="B248" t="s">
        <v>261</v>
      </c>
      <c r="C248" s="3" t="str">
        <f>VLOOKUP(Table2[[#This Row],[Tegevusala]],Table4[],2,FALSE)</f>
        <v xml:space="preserve"> Viru Jaagupi halduspiirkond</v>
      </c>
      <c r="D248" s="3" t="str">
        <f>VLOOKUP(Table2[[#This Row],[Tegevusala]],Table4[[Tegevusala kood]:[Tegevusala alanimetus]],4,FALSE)</f>
        <v>Muu elamu- ja kommunaalmajanduse tegevus</v>
      </c>
      <c r="E248" s="3" t="str">
        <f>VLOOKUP(Table2[[#This Row],[Tegevusala nimetus2]],Table4[[Tegevusala nimetus]:[Tegevusala koondnimetus]],2,FALSE)</f>
        <v>Elamu- ja kommunaalmajandus</v>
      </c>
      <c r="F248" s="14" t="s">
        <v>992</v>
      </c>
      <c r="G248" t="s">
        <v>1012</v>
      </c>
      <c r="H248" s="40">
        <v>30</v>
      </c>
      <c r="J248">
        <v>5513</v>
      </c>
      <c r="K248" s="3" t="str">
        <f>VLOOKUP(Table2[[#This Row],[Konto]],Table5[[Konto]:[Konto nimetus]],2,FALSE)</f>
        <v>Sõidukite ülalpidamise kulud</v>
      </c>
      <c r="L248">
        <v>55</v>
      </c>
      <c r="M248" t="str">
        <f t="shared" si="7"/>
        <v>55</v>
      </c>
      <c r="N248" s="3" t="str">
        <f>VLOOKUP(Table2[[#This Row],[Tulu/kulu liik2]],Table5[[Tulu/kulu liik]:[Kontode koondnimetus]],4,FALSE)</f>
        <v>Muud tegevuskulud</v>
      </c>
      <c r="O248" s="3" t="str">
        <f>VLOOKUP(Table2[[#This Row],[Tulu/kulu liik2]],Table5[],6,FALSE)</f>
        <v>Majandamiskulud</v>
      </c>
      <c r="P248" s="3" t="str">
        <f>VLOOKUP(Table2[[#This Row],[Tulu/kulu liik2]],Table5[],5,FALSE)</f>
        <v>Põhitegevuse kulu</v>
      </c>
    </row>
    <row r="249" spans="1:16" x14ac:dyDescent="0.25">
      <c r="A249" t="str">
        <f t="shared" si="6"/>
        <v>06</v>
      </c>
      <c r="B249" t="s">
        <v>261</v>
      </c>
      <c r="C249" s="3" t="str">
        <f>VLOOKUP(Table2[[#This Row],[Tegevusala]],Table4[],2,FALSE)</f>
        <v xml:space="preserve"> Viru Jaagupi halduspiirkond</v>
      </c>
      <c r="D249" s="3" t="str">
        <f>VLOOKUP(Table2[[#This Row],[Tegevusala]],Table4[[Tegevusala kood]:[Tegevusala alanimetus]],4,FALSE)</f>
        <v>Muu elamu- ja kommunaalmajanduse tegevus</v>
      </c>
      <c r="E249" s="3" t="str">
        <f>VLOOKUP(Table2[[#This Row],[Tegevusala nimetus2]],Table4[[Tegevusala nimetus]:[Tegevusala koondnimetus]],2,FALSE)</f>
        <v>Elamu- ja kommunaalmajandus</v>
      </c>
      <c r="F249" s="14" t="s">
        <v>992</v>
      </c>
      <c r="G249" t="s">
        <v>1013</v>
      </c>
      <c r="H249" s="40">
        <v>250</v>
      </c>
      <c r="J249">
        <v>5513</v>
      </c>
      <c r="K249" s="3" t="str">
        <f>VLOOKUP(Table2[[#This Row],[Konto]],Table5[[Konto]:[Konto nimetus]],2,FALSE)</f>
        <v>Sõidukite ülalpidamise kulud</v>
      </c>
      <c r="L249">
        <v>55</v>
      </c>
      <c r="M249" t="str">
        <f t="shared" si="7"/>
        <v>55</v>
      </c>
      <c r="N249" s="3" t="str">
        <f>VLOOKUP(Table2[[#This Row],[Tulu/kulu liik2]],Table5[[Tulu/kulu liik]:[Kontode koondnimetus]],4,FALSE)</f>
        <v>Muud tegevuskulud</v>
      </c>
      <c r="O249" s="3" t="str">
        <f>VLOOKUP(Table2[[#This Row],[Tulu/kulu liik2]],Table5[],6,FALSE)</f>
        <v>Majandamiskulud</v>
      </c>
      <c r="P249" s="3" t="str">
        <f>VLOOKUP(Table2[[#This Row],[Tulu/kulu liik2]],Table5[],5,FALSE)</f>
        <v>Põhitegevuse kulu</v>
      </c>
    </row>
    <row r="250" spans="1:16" x14ac:dyDescent="0.25">
      <c r="A250" t="str">
        <f t="shared" si="6"/>
        <v>06</v>
      </c>
      <c r="B250" t="s">
        <v>261</v>
      </c>
      <c r="C250" s="3" t="str">
        <f>VLOOKUP(Table2[[#This Row],[Tegevusala]],Table4[],2,FALSE)</f>
        <v xml:space="preserve"> Viru Jaagupi halduspiirkond</v>
      </c>
      <c r="D250" s="3" t="str">
        <f>VLOOKUP(Table2[[#This Row],[Tegevusala]],Table4[[Tegevusala kood]:[Tegevusala alanimetus]],4,FALSE)</f>
        <v>Muu elamu- ja kommunaalmajanduse tegevus</v>
      </c>
      <c r="E250" s="3" t="str">
        <f>VLOOKUP(Table2[[#This Row],[Tegevusala nimetus2]],Table4[[Tegevusala nimetus]:[Tegevusala koondnimetus]],2,FALSE)</f>
        <v>Elamu- ja kommunaalmajandus</v>
      </c>
      <c r="F250" s="14" t="s">
        <v>992</v>
      </c>
      <c r="G250" t="s">
        <v>1014</v>
      </c>
      <c r="H250" s="40">
        <v>160</v>
      </c>
      <c r="J250">
        <v>5513</v>
      </c>
      <c r="K250" s="3" t="str">
        <f>VLOOKUP(Table2[[#This Row],[Konto]],Table5[[Konto]:[Konto nimetus]],2,FALSE)</f>
        <v>Sõidukite ülalpidamise kulud</v>
      </c>
      <c r="L250">
        <v>55</v>
      </c>
      <c r="M250" t="str">
        <f t="shared" si="7"/>
        <v>55</v>
      </c>
      <c r="N250" s="3" t="str">
        <f>VLOOKUP(Table2[[#This Row],[Tulu/kulu liik2]],Table5[[Tulu/kulu liik]:[Kontode koondnimetus]],4,FALSE)</f>
        <v>Muud tegevuskulud</v>
      </c>
      <c r="O250" s="3" t="str">
        <f>VLOOKUP(Table2[[#This Row],[Tulu/kulu liik2]],Table5[],6,FALSE)</f>
        <v>Majandamiskulud</v>
      </c>
      <c r="P250" s="3" t="str">
        <f>VLOOKUP(Table2[[#This Row],[Tulu/kulu liik2]],Table5[],5,FALSE)</f>
        <v>Põhitegevuse kulu</v>
      </c>
    </row>
    <row r="251" spans="1:16" x14ac:dyDescent="0.25">
      <c r="A251" t="str">
        <f t="shared" si="6"/>
        <v>06</v>
      </c>
      <c r="B251" t="s">
        <v>261</v>
      </c>
      <c r="C251" s="3" t="str">
        <f>VLOOKUP(Table2[[#This Row],[Tegevusala]],Table4[],2,FALSE)</f>
        <v xml:space="preserve"> Viru Jaagupi halduspiirkond</v>
      </c>
      <c r="D251" s="3" t="str">
        <f>VLOOKUP(Table2[[#This Row],[Tegevusala]],Table4[[Tegevusala kood]:[Tegevusala alanimetus]],4,FALSE)</f>
        <v>Muu elamu- ja kommunaalmajanduse tegevus</v>
      </c>
      <c r="E251" s="3" t="str">
        <f>VLOOKUP(Table2[[#This Row],[Tegevusala nimetus2]],Table4[[Tegevusala nimetus]:[Tegevusala koondnimetus]],2,FALSE)</f>
        <v>Elamu- ja kommunaalmajandus</v>
      </c>
      <c r="F251" s="14" t="s">
        <v>992</v>
      </c>
      <c r="G251" t="s">
        <v>1015</v>
      </c>
      <c r="H251" s="40">
        <v>3600</v>
      </c>
      <c r="J251">
        <v>5513</v>
      </c>
      <c r="K251" s="3" t="str">
        <f>VLOOKUP(Table2[[#This Row],[Konto]],Table5[[Konto]:[Konto nimetus]],2,FALSE)</f>
        <v>Sõidukite ülalpidamise kulud</v>
      </c>
      <c r="L251">
        <v>55</v>
      </c>
      <c r="M251" t="str">
        <f t="shared" si="7"/>
        <v>55</v>
      </c>
      <c r="N251" s="3" t="str">
        <f>VLOOKUP(Table2[[#This Row],[Tulu/kulu liik2]],Table5[[Tulu/kulu liik]:[Kontode koondnimetus]],4,FALSE)</f>
        <v>Muud tegevuskulud</v>
      </c>
      <c r="O251" s="3" t="str">
        <f>VLOOKUP(Table2[[#This Row],[Tulu/kulu liik2]],Table5[],6,FALSE)</f>
        <v>Majandamiskulud</v>
      </c>
      <c r="P251" s="3" t="str">
        <f>VLOOKUP(Table2[[#This Row],[Tulu/kulu liik2]],Table5[],5,FALSE)</f>
        <v>Põhitegevuse kulu</v>
      </c>
    </row>
    <row r="252" spans="1:16" x14ac:dyDescent="0.25">
      <c r="A252" t="str">
        <f t="shared" si="6"/>
        <v>06</v>
      </c>
      <c r="B252" t="s">
        <v>261</v>
      </c>
      <c r="C252" s="3" t="str">
        <f>VLOOKUP(Table2[[#This Row],[Tegevusala]],Table4[],2,FALSE)</f>
        <v xml:space="preserve"> Viru Jaagupi halduspiirkond</v>
      </c>
      <c r="D252" s="3" t="str">
        <f>VLOOKUP(Table2[[#This Row],[Tegevusala]],Table4[[Tegevusala kood]:[Tegevusala alanimetus]],4,FALSE)</f>
        <v>Muu elamu- ja kommunaalmajanduse tegevus</v>
      </c>
      <c r="E252" s="3" t="str">
        <f>VLOOKUP(Table2[[#This Row],[Tegevusala nimetus2]],Table4[[Tegevusala nimetus]:[Tegevusala koondnimetus]],2,FALSE)</f>
        <v>Elamu- ja kommunaalmajandus</v>
      </c>
      <c r="F252" s="14" t="s">
        <v>992</v>
      </c>
      <c r="G252" t="s">
        <v>1016</v>
      </c>
      <c r="H252" s="40">
        <v>70</v>
      </c>
      <c r="J252">
        <v>5513</v>
      </c>
      <c r="K252" s="3" t="str">
        <f>VLOOKUP(Table2[[#This Row],[Konto]],Table5[[Konto]:[Konto nimetus]],2,FALSE)</f>
        <v>Sõidukite ülalpidamise kulud</v>
      </c>
      <c r="L252">
        <v>55</v>
      </c>
      <c r="M252" t="str">
        <f t="shared" si="7"/>
        <v>55</v>
      </c>
      <c r="N252" s="3" t="str">
        <f>VLOOKUP(Table2[[#This Row],[Tulu/kulu liik2]],Table5[[Tulu/kulu liik]:[Kontode koondnimetus]],4,FALSE)</f>
        <v>Muud tegevuskulud</v>
      </c>
      <c r="O252" s="3" t="str">
        <f>VLOOKUP(Table2[[#This Row],[Tulu/kulu liik2]],Table5[],6,FALSE)</f>
        <v>Majandamiskulud</v>
      </c>
      <c r="P252" s="3" t="str">
        <f>VLOOKUP(Table2[[#This Row],[Tulu/kulu liik2]],Table5[],5,FALSE)</f>
        <v>Põhitegevuse kulu</v>
      </c>
    </row>
    <row r="253" spans="1:16" x14ac:dyDescent="0.25">
      <c r="A253" t="str">
        <f t="shared" si="6"/>
        <v>06</v>
      </c>
      <c r="B253" t="s">
        <v>261</v>
      </c>
      <c r="C253" s="3" t="str">
        <f>VLOOKUP(Table2[[#This Row],[Tegevusala]],Table4[],2,FALSE)</f>
        <v xml:space="preserve"> Viru Jaagupi halduspiirkond</v>
      </c>
      <c r="D253" s="3" t="str">
        <f>VLOOKUP(Table2[[#This Row],[Tegevusala]],Table4[[Tegevusala kood]:[Tegevusala alanimetus]],4,FALSE)</f>
        <v>Muu elamu- ja kommunaalmajanduse tegevus</v>
      </c>
      <c r="E253" s="3" t="str">
        <f>VLOOKUP(Table2[[#This Row],[Tegevusala nimetus2]],Table4[[Tegevusala nimetus]:[Tegevusala koondnimetus]],2,FALSE)</f>
        <v>Elamu- ja kommunaalmajandus</v>
      </c>
      <c r="F253" s="14" t="s">
        <v>992</v>
      </c>
      <c r="G253" t="s">
        <v>1017</v>
      </c>
      <c r="H253" s="40">
        <v>400</v>
      </c>
      <c r="J253">
        <v>5513</v>
      </c>
      <c r="K253" s="3" t="str">
        <f>VLOOKUP(Table2[[#This Row],[Konto]],Table5[[Konto]:[Konto nimetus]],2,FALSE)</f>
        <v>Sõidukite ülalpidamise kulud</v>
      </c>
      <c r="L253">
        <v>55</v>
      </c>
      <c r="M253" t="str">
        <f t="shared" si="7"/>
        <v>55</v>
      </c>
      <c r="N253" s="3" t="str">
        <f>VLOOKUP(Table2[[#This Row],[Tulu/kulu liik2]],Table5[[Tulu/kulu liik]:[Kontode koondnimetus]],4,FALSE)</f>
        <v>Muud tegevuskulud</v>
      </c>
      <c r="O253" s="3" t="str">
        <f>VLOOKUP(Table2[[#This Row],[Tulu/kulu liik2]],Table5[],6,FALSE)</f>
        <v>Majandamiskulud</v>
      </c>
      <c r="P253" s="3" t="str">
        <f>VLOOKUP(Table2[[#This Row],[Tulu/kulu liik2]],Table5[],5,FALSE)</f>
        <v>Põhitegevuse kulu</v>
      </c>
    </row>
    <row r="254" spans="1:16" x14ac:dyDescent="0.25">
      <c r="A254" t="str">
        <f t="shared" si="6"/>
        <v>06</v>
      </c>
      <c r="B254" t="s">
        <v>261</v>
      </c>
      <c r="C254" s="3" t="str">
        <f>VLOOKUP(Table2[[#This Row],[Tegevusala]],Table4[],2,FALSE)</f>
        <v xml:space="preserve"> Viru Jaagupi halduspiirkond</v>
      </c>
      <c r="D254" s="3" t="str">
        <f>VLOOKUP(Table2[[#This Row],[Tegevusala]],Table4[[Tegevusala kood]:[Tegevusala alanimetus]],4,FALSE)</f>
        <v>Muu elamu- ja kommunaalmajanduse tegevus</v>
      </c>
      <c r="E254" s="3" t="str">
        <f>VLOOKUP(Table2[[#This Row],[Tegevusala nimetus2]],Table4[[Tegevusala nimetus]:[Tegevusala koondnimetus]],2,FALSE)</f>
        <v>Elamu- ja kommunaalmajandus</v>
      </c>
      <c r="F254" s="14" t="s">
        <v>992</v>
      </c>
      <c r="G254" t="s">
        <v>1018</v>
      </c>
      <c r="H254" s="40">
        <v>800</v>
      </c>
      <c r="J254">
        <v>5513</v>
      </c>
      <c r="K254" s="3" t="str">
        <f>VLOOKUP(Table2[[#This Row],[Konto]],Table5[[Konto]:[Konto nimetus]],2,FALSE)</f>
        <v>Sõidukite ülalpidamise kulud</v>
      </c>
      <c r="L254">
        <v>55</v>
      </c>
      <c r="M254" t="str">
        <f t="shared" si="7"/>
        <v>55</v>
      </c>
      <c r="N254" s="3" t="str">
        <f>VLOOKUP(Table2[[#This Row],[Tulu/kulu liik2]],Table5[[Tulu/kulu liik]:[Kontode koondnimetus]],4,FALSE)</f>
        <v>Muud tegevuskulud</v>
      </c>
      <c r="O254" s="3" t="str">
        <f>VLOOKUP(Table2[[#This Row],[Tulu/kulu liik2]],Table5[],6,FALSE)</f>
        <v>Majandamiskulud</v>
      </c>
      <c r="P254" s="3" t="str">
        <f>VLOOKUP(Table2[[#This Row],[Tulu/kulu liik2]],Table5[],5,FALSE)</f>
        <v>Põhitegevuse kulu</v>
      </c>
    </row>
    <row r="255" spans="1:16" x14ac:dyDescent="0.25">
      <c r="A255" t="str">
        <f t="shared" si="6"/>
        <v>06</v>
      </c>
      <c r="B255" t="s">
        <v>261</v>
      </c>
      <c r="C255" s="3" t="str">
        <f>VLOOKUP(Table2[[#This Row],[Tegevusala]],Table4[],2,FALSE)</f>
        <v xml:space="preserve"> Viru Jaagupi halduspiirkond</v>
      </c>
      <c r="D255" s="3" t="str">
        <f>VLOOKUP(Table2[[#This Row],[Tegevusala]],Table4[[Tegevusala kood]:[Tegevusala alanimetus]],4,FALSE)</f>
        <v>Muu elamu- ja kommunaalmajanduse tegevus</v>
      </c>
      <c r="E255" s="3" t="str">
        <f>VLOOKUP(Table2[[#This Row],[Tegevusala nimetus2]],Table4[[Tegevusala nimetus]:[Tegevusala koondnimetus]],2,FALSE)</f>
        <v>Elamu- ja kommunaalmajandus</v>
      </c>
      <c r="F255" s="14" t="s">
        <v>992</v>
      </c>
      <c r="G255" t="s">
        <v>1019</v>
      </c>
      <c r="H255" s="40">
        <v>400</v>
      </c>
      <c r="J255">
        <v>5540</v>
      </c>
      <c r="K255" s="3" t="str">
        <f>VLOOKUP(Table2[[#This Row],[Konto]],Table5[[Konto]:[Konto nimetus]],2,FALSE)</f>
        <v>Mitmesugused majanduskulud</v>
      </c>
      <c r="L255">
        <v>55</v>
      </c>
      <c r="M255" t="str">
        <f t="shared" si="7"/>
        <v>55</v>
      </c>
      <c r="N255" s="3" t="str">
        <f>VLOOKUP(Table2[[#This Row],[Tulu/kulu liik2]],Table5[[Tulu/kulu liik]:[Kontode koondnimetus]],4,FALSE)</f>
        <v>Muud tegevuskulud</v>
      </c>
      <c r="O255" s="3" t="str">
        <f>VLOOKUP(Table2[[#This Row],[Tulu/kulu liik2]],Table5[],6,FALSE)</f>
        <v>Majandamiskulud</v>
      </c>
      <c r="P255" s="3" t="str">
        <f>VLOOKUP(Table2[[#This Row],[Tulu/kulu liik2]],Table5[],5,FALSE)</f>
        <v>Põhitegevuse kulu</v>
      </c>
    </row>
    <row r="256" spans="1:16" x14ac:dyDescent="0.25">
      <c r="A256" s="78" t="str">
        <f t="shared" si="6"/>
        <v>06</v>
      </c>
      <c r="B256" s="78" t="s">
        <v>261</v>
      </c>
      <c r="C256" s="80" t="str">
        <f>VLOOKUP(Table2[[#This Row],[Tegevusala]],Table4[],2,FALSE)</f>
        <v xml:space="preserve"> Viru Jaagupi halduspiirkond</v>
      </c>
      <c r="D256" s="80" t="str">
        <f>VLOOKUP(Table2[[#This Row],[Tegevusala]],Table4[[Tegevusala kood]:[Tegevusala alanimetus]],4,FALSE)</f>
        <v>Muu elamu- ja kommunaalmajanduse tegevus</v>
      </c>
      <c r="E256" s="80" t="str">
        <f>VLOOKUP(Table2[[#This Row],[Tegevusala nimetus2]],Table4[[Tegevusala nimetus]:[Tegevusala koondnimetus]],2,FALSE)</f>
        <v>Elamu- ja kommunaalmajandus</v>
      </c>
      <c r="F256" s="78" t="s">
        <v>992</v>
      </c>
      <c r="G256" s="78" t="s">
        <v>1020</v>
      </c>
      <c r="H256" s="79">
        <v>7000</v>
      </c>
      <c r="I256" s="81" t="s">
        <v>994</v>
      </c>
      <c r="J256" s="78">
        <v>5511</v>
      </c>
      <c r="K256" s="80" t="str">
        <f>VLOOKUP(Table2[[#This Row],[Konto]],Table5[[Konto]:[Konto nimetus]],2,FALSE)</f>
        <v>Kinnistute, hoonete ja ruumide majandamiskulud</v>
      </c>
      <c r="L256" s="78">
        <v>55</v>
      </c>
      <c r="M256" s="78" t="str">
        <f t="shared" si="7"/>
        <v>55</v>
      </c>
      <c r="N256" s="80" t="str">
        <f>VLOOKUP(Table2[[#This Row],[Tulu/kulu liik2]],Table5[[Tulu/kulu liik]:[Kontode koondnimetus]],4,FALSE)</f>
        <v>Muud tegevuskulud</v>
      </c>
      <c r="O256" s="80" t="str">
        <f>VLOOKUP(Table2[[#This Row],[Tulu/kulu liik2]],Table5[],6,FALSE)</f>
        <v>Majandamiskulud</v>
      </c>
      <c r="P256" s="80" t="str">
        <f>VLOOKUP(Table2[[#This Row],[Tulu/kulu liik2]],Table5[],5,FALSE)</f>
        <v>Põhitegevuse kulu</v>
      </c>
    </row>
    <row r="257" spans="1:16" x14ac:dyDescent="0.25">
      <c r="A257" t="str">
        <f t="shared" si="6"/>
        <v>06</v>
      </c>
      <c r="B257" t="s">
        <v>263</v>
      </c>
      <c r="C257" s="3" t="str">
        <f>VLOOKUP(Table2[[#This Row],[Tegevusala]],Table4[],2,FALSE)</f>
        <v xml:space="preserve"> Vinni-Pajusti halduspiirkond</v>
      </c>
      <c r="D257" s="3" t="str">
        <f>VLOOKUP(Table2[[#This Row],[Tegevusala]],Table4[[Tegevusala kood]:[Tegevusala alanimetus]],4,FALSE)</f>
        <v>Muu elamu- ja kommunaalmajanduse tegevus</v>
      </c>
      <c r="E257" s="3" t="str">
        <f>VLOOKUP(Table2[[#This Row],[Tegevusala nimetus2]],Table4[[Tegevusala nimetus]:[Tegevusala koondnimetus]],2,FALSE)</f>
        <v>Elamu- ja kommunaalmajandus</v>
      </c>
      <c r="F257" t="s">
        <v>1919</v>
      </c>
      <c r="G257" t="s">
        <v>1920</v>
      </c>
      <c r="H257" s="40">
        <v>21000</v>
      </c>
      <c r="J257">
        <v>5511</v>
      </c>
      <c r="K257" s="3" t="str">
        <f>VLOOKUP(Table2[[#This Row],[Konto]],Table5[[Konto]:[Konto nimetus]],2,FALSE)</f>
        <v>Kinnistute, hoonete ja ruumide majandamiskulud</v>
      </c>
      <c r="L257">
        <v>55</v>
      </c>
      <c r="M257" t="str">
        <f t="shared" si="7"/>
        <v>55</v>
      </c>
      <c r="N257" s="3" t="str">
        <f>VLOOKUP(Table2[[#This Row],[Tulu/kulu liik2]],Table5[[Tulu/kulu liik]:[Kontode koondnimetus]],4,FALSE)</f>
        <v>Muud tegevuskulud</v>
      </c>
      <c r="O257" s="3" t="str">
        <f>VLOOKUP(Table2[[#This Row],[Tulu/kulu liik2]],Table5[],6,FALSE)</f>
        <v>Majandamiskulud</v>
      </c>
      <c r="P257" s="3" t="str">
        <f>VLOOKUP(Table2[[#This Row],[Tulu/kulu liik2]],Table5[],5,FALSE)</f>
        <v>Põhitegevuse kulu</v>
      </c>
    </row>
    <row r="258" spans="1:16" x14ac:dyDescent="0.25">
      <c r="A258" t="str">
        <f t="shared" ref="A258:A321" si="8">LEFT(B258,2)</f>
        <v>06</v>
      </c>
      <c r="B258" t="s">
        <v>263</v>
      </c>
      <c r="C258" s="3" t="str">
        <f>VLOOKUP(Table2[[#This Row],[Tegevusala]],Table4[],2,FALSE)</f>
        <v xml:space="preserve"> Vinni-Pajusti halduspiirkond</v>
      </c>
      <c r="D258" s="3" t="str">
        <f>VLOOKUP(Table2[[#This Row],[Tegevusala]],Table4[[Tegevusala kood]:[Tegevusala alanimetus]],4,FALSE)</f>
        <v>Muu elamu- ja kommunaalmajanduse tegevus</v>
      </c>
      <c r="E258" s="3" t="str">
        <f>VLOOKUP(Table2[[#This Row],[Tegevusala nimetus2]],Table4[[Tegevusala nimetus]:[Tegevusala koondnimetus]],2,FALSE)</f>
        <v>Elamu- ja kommunaalmajandus</v>
      </c>
      <c r="F258" t="s">
        <v>1919</v>
      </c>
      <c r="G258" t="s">
        <v>1921</v>
      </c>
      <c r="H258" s="40">
        <v>192</v>
      </c>
      <c r="I258" s="2" t="s">
        <v>1216</v>
      </c>
      <c r="J258">
        <v>5511</v>
      </c>
      <c r="K258" s="3" t="str">
        <f>VLOOKUP(Table2[[#This Row],[Konto]],Table5[[Konto]:[Konto nimetus]],2,FALSE)</f>
        <v>Kinnistute, hoonete ja ruumide majandamiskulud</v>
      </c>
      <c r="L258">
        <v>55</v>
      </c>
      <c r="M258" t="str">
        <f t="shared" ref="M258:M321" si="9">LEFT(J258,2)</f>
        <v>55</v>
      </c>
      <c r="N258" s="3" t="str">
        <f>VLOOKUP(Table2[[#This Row],[Tulu/kulu liik2]],Table5[[Tulu/kulu liik]:[Kontode koondnimetus]],4,FALSE)</f>
        <v>Muud tegevuskulud</v>
      </c>
      <c r="O258" s="3" t="str">
        <f>VLOOKUP(Table2[[#This Row],[Tulu/kulu liik2]],Table5[],6,FALSE)</f>
        <v>Majandamiskulud</v>
      </c>
      <c r="P258" s="3" t="str">
        <f>VLOOKUP(Table2[[#This Row],[Tulu/kulu liik2]],Table5[],5,FALSE)</f>
        <v>Põhitegevuse kulu</v>
      </c>
    </row>
    <row r="259" spans="1:16" x14ac:dyDescent="0.25">
      <c r="A259" t="str">
        <f t="shared" si="8"/>
        <v>06</v>
      </c>
      <c r="B259" t="s">
        <v>263</v>
      </c>
      <c r="C259" s="3" t="str">
        <f>VLOOKUP(Table2[[#This Row],[Tegevusala]],Table4[],2,FALSE)</f>
        <v xml:space="preserve"> Vinni-Pajusti halduspiirkond</v>
      </c>
      <c r="D259" s="3" t="str">
        <f>VLOOKUP(Table2[[#This Row],[Tegevusala]],Table4[[Tegevusala kood]:[Tegevusala alanimetus]],4,FALSE)</f>
        <v>Muu elamu- ja kommunaalmajanduse tegevus</v>
      </c>
      <c r="E259" s="3" t="str">
        <f>VLOOKUP(Table2[[#This Row],[Tegevusala nimetus2]],Table4[[Tegevusala nimetus]:[Tegevusala koondnimetus]],2,FALSE)</f>
        <v>Elamu- ja kommunaalmajandus</v>
      </c>
      <c r="F259" t="s">
        <v>1919</v>
      </c>
      <c r="G259" t="s">
        <v>1924</v>
      </c>
      <c r="H259" s="40">
        <v>1600</v>
      </c>
      <c r="I259" s="2" t="s">
        <v>1925</v>
      </c>
      <c r="J259">
        <v>5511</v>
      </c>
      <c r="K259" s="3" t="str">
        <f>VLOOKUP(Table2[[#This Row],[Konto]],Table5[[Konto]:[Konto nimetus]],2,FALSE)</f>
        <v>Kinnistute, hoonete ja ruumide majandamiskulud</v>
      </c>
      <c r="L259">
        <v>55</v>
      </c>
      <c r="M259" t="str">
        <f t="shared" si="9"/>
        <v>55</v>
      </c>
      <c r="N259" s="3" t="str">
        <f>VLOOKUP(Table2[[#This Row],[Tulu/kulu liik2]],Table5[[Tulu/kulu liik]:[Kontode koondnimetus]],4,FALSE)</f>
        <v>Muud tegevuskulud</v>
      </c>
      <c r="O259" s="3" t="str">
        <f>VLOOKUP(Table2[[#This Row],[Tulu/kulu liik2]],Table5[],6,FALSE)</f>
        <v>Majandamiskulud</v>
      </c>
      <c r="P259" s="3" t="str">
        <f>VLOOKUP(Table2[[#This Row],[Tulu/kulu liik2]],Table5[],5,FALSE)</f>
        <v>Põhitegevuse kulu</v>
      </c>
    </row>
    <row r="260" spans="1:16" x14ac:dyDescent="0.25">
      <c r="A260" t="str">
        <f t="shared" si="8"/>
        <v>06</v>
      </c>
      <c r="B260" t="s">
        <v>263</v>
      </c>
      <c r="C260" s="3" t="str">
        <f>VLOOKUP(Table2[[#This Row],[Tegevusala]],Table4[],2,FALSE)</f>
        <v xml:space="preserve"> Vinni-Pajusti halduspiirkond</v>
      </c>
      <c r="D260" s="3" t="str">
        <f>VLOOKUP(Table2[[#This Row],[Tegevusala]],Table4[[Tegevusala kood]:[Tegevusala alanimetus]],4,FALSE)</f>
        <v>Muu elamu- ja kommunaalmajanduse tegevus</v>
      </c>
      <c r="E260" s="3" t="str">
        <f>VLOOKUP(Table2[[#This Row],[Tegevusala nimetus2]],Table4[[Tegevusala nimetus]:[Tegevusala koondnimetus]],2,FALSE)</f>
        <v>Elamu- ja kommunaalmajandus</v>
      </c>
      <c r="F260" t="s">
        <v>1919</v>
      </c>
      <c r="G260" t="s">
        <v>1926</v>
      </c>
      <c r="H260" s="40">
        <v>97.199999999999989</v>
      </c>
      <c r="J260">
        <v>5511</v>
      </c>
      <c r="K260" s="3" t="str">
        <f>VLOOKUP(Table2[[#This Row],[Konto]],Table5[[Konto]:[Konto nimetus]],2,FALSE)</f>
        <v>Kinnistute, hoonete ja ruumide majandamiskulud</v>
      </c>
      <c r="L260">
        <v>55</v>
      </c>
      <c r="M260" t="str">
        <f t="shared" si="9"/>
        <v>55</v>
      </c>
      <c r="N260" s="3" t="str">
        <f>VLOOKUP(Table2[[#This Row],[Tulu/kulu liik2]],Table5[[Tulu/kulu liik]:[Kontode koondnimetus]],4,FALSE)</f>
        <v>Muud tegevuskulud</v>
      </c>
      <c r="O260" s="3" t="str">
        <f>VLOOKUP(Table2[[#This Row],[Tulu/kulu liik2]],Table5[],6,FALSE)</f>
        <v>Majandamiskulud</v>
      </c>
      <c r="P260" s="3" t="str">
        <f>VLOOKUP(Table2[[#This Row],[Tulu/kulu liik2]],Table5[],5,FALSE)</f>
        <v>Põhitegevuse kulu</v>
      </c>
    </row>
    <row r="261" spans="1:16" x14ac:dyDescent="0.25">
      <c r="A261" t="str">
        <f t="shared" si="8"/>
        <v>06</v>
      </c>
      <c r="B261" t="s">
        <v>263</v>
      </c>
      <c r="C261" s="3" t="str">
        <f>VLOOKUP(Table2[[#This Row],[Tegevusala]],Table4[],2,FALSE)</f>
        <v xml:space="preserve"> Vinni-Pajusti halduspiirkond</v>
      </c>
      <c r="D261" s="3" t="str">
        <f>VLOOKUP(Table2[[#This Row],[Tegevusala]],Table4[[Tegevusala kood]:[Tegevusala alanimetus]],4,FALSE)</f>
        <v>Muu elamu- ja kommunaalmajanduse tegevus</v>
      </c>
      <c r="E261" s="3" t="str">
        <f>VLOOKUP(Table2[[#This Row],[Tegevusala nimetus2]],Table4[[Tegevusala nimetus]:[Tegevusala koondnimetus]],2,FALSE)</f>
        <v>Elamu- ja kommunaalmajandus</v>
      </c>
      <c r="F261" t="s">
        <v>1919</v>
      </c>
      <c r="G261" t="s">
        <v>1927</v>
      </c>
      <c r="H261" s="40">
        <v>2200</v>
      </c>
      <c r="I261" s="2" t="s">
        <v>1928</v>
      </c>
      <c r="J261">
        <v>5511</v>
      </c>
      <c r="K261" s="3" t="str">
        <f>VLOOKUP(Table2[[#This Row],[Konto]],Table5[[Konto]:[Konto nimetus]],2,FALSE)</f>
        <v>Kinnistute, hoonete ja ruumide majandamiskulud</v>
      </c>
      <c r="L261">
        <v>55</v>
      </c>
      <c r="M261" t="str">
        <f t="shared" si="9"/>
        <v>55</v>
      </c>
      <c r="N261" s="3" t="str">
        <f>VLOOKUP(Table2[[#This Row],[Tulu/kulu liik2]],Table5[[Tulu/kulu liik]:[Kontode koondnimetus]],4,FALSE)</f>
        <v>Muud tegevuskulud</v>
      </c>
      <c r="O261" s="3" t="str">
        <f>VLOOKUP(Table2[[#This Row],[Tulu/kulu liik2]],Table5[],6,FALSE)</f>
        <v>Majandamiskulud</v>
      </c>
      <c r="P261" s="3" t="str">
        <f>VLOOKUP(Table2[[#This Row],[Tulu/kulu liik2]],Table5[],5,FALSE)</f>
        <v>Põhitegevuse kulu</v>
      </c>
    </row>
    <row r="262" spans="1:16" x14ac:dyDescent="0.25">
      <c r="A262" t="str">
        <f t="shared" si="8"/>
        <v>06</v>
      </c>
      <c r="B262" t="s">
        <v>263</v>
      </c>
      <c r="C262" s="3" t="str">
        <f>VLOOKUP(Table2[[#This Row],[Tegevusala]],Table4[],2,FALSE)</f>
        <v xml:space="preserve"> Vinni-Pajusti halduspiirkond</v>
      </c>
      <c r="D262" s="3" t="str">
        <f>VLOOKUP(Table2[[#This Row],[Tegevusala]],Table4[[Tegevusala kood]:[Tegevusala alanimetus]],4,FALSE)</f>
        <v>Muu elamu- ja kommunaalmajanduse tegevus</v>
      </c>
      <c r="E262" s="3" t="str">
        <f>VLOOKUP(Table2[[#This Row],[Tegevusala nimetus2]],Table4[[Tegevusala nimetus]:[Tegevusala koondnimetus]],2,FALSE)</f>
        <v>Elamu- ja kommunaalmajandus</v>
      </c>
      <c r="F262" t="s">
        <v>1919</v>
      </c>
      <c r="G262" t="s">
        <v>1929</v>
      </c>
      <c r="H262" s="40">
        <v>9000</v>
      </c>
      <c r="J262">
        <v>5511</v>
      </c>
      <c r="K262" s="3" t="str">
        <f>VLOOKUP(Table2[[#This Row],[Konto]],Table5[[Konto]:[Konto nimetus]],2,FALSE)</f>
        <v>Kinnistute, hoonete ja ruumide majandamiskulud</v>
      </c>
      <c r="L262">
        <v>55</v>
      </c>
      <c r="M262" t="str">
        <f t="shared" si="9"/>
        <v>55</v>
      </c>
      <c r="N262" s="3" t="str">
        <f>VLOOKUP(Table2[[#This Row],[Tulu/kulu liik2]],Table5[[Tulu/kulu liik]:[Kontode koondnimetus]],4,FALSE)</f>
        <v>Muud tegevuskulud</v>
      </c>
      <c r="O262" s="3" t="str">
        <f>VLOOKUP(Table2[[#This Row],[Tulu/kulu liik2]],Table5[],6,FALSE)</f>
        <v>Majandamiskulud</v>
      </c>
      <c r="P262" s="3" t="str">
        <f>VLOOKUP(Table2[[#This Row],[Tulu/kulu liik2]],Table5[],5,FALSE)</f>
        <v>Põhitegevuse kulu</v>
      </c>
    </row>
    <row r="263" spans="1:16" x14ac:dyDescent="0.25">
      <c r="A263" t="str">
        <f t="shared" si="8"/>
        <v>06</v>
      </c>
      <c r="B263" t="s">
        <v>263</v>
      </c>
      <c r="C263" s="3" t="str">
        <f>VLOOKUP(Table2[[#This Row],[Tegevusala]],Table4[],2,FALSE)</f>
        <v xml:space="preserve"> Vinni-Pajusti halduspiirkond</v>
      </c>
      <c r="D263" s="3" t="str">
        <f>VLOOKUP(Table2[[#This Row],[Tegevusala]],Table4[[Tegevusala kood]:[Tegevusala alanimetus]],4,FALSE)</f>
        <v>Muu elamu- ja kommunaalmajanduse tegevus</v>
      </c>
      <c r="E263" s="3" t="str">
        <f>VLOOKUP(Table2[[#This Row],[Tegevusala nimetus2]],Table4[[Tegevusala nimetus]:[Tegevusala koondnimetus]],2,FALSE)</f>
        <v>Elamu- ja kommunaalmajandus</v>
      </c>
      <c r="F263" t="s">
        <v>1919</v>
      </c>
      <c r="G263" t="s">
        <v>1930</v>
      </c>
      <c r="H263" s="40">
        <v>4500</v>
      </c>
      <c r="J263">
        <v>5511</v>
      </c>
      <c r="K263" s="3" t="str">
        <f>VLOOKUP(Table2[[#This Row],[Konto]],Table5[[Konto]:[Konto nimetus]],2,FALSE)</f>
        <v>Kinnistute, hoonete ja ruumide majandamiskulud</v>
      </c>
      <c r="L263">
        <v>55</v>
      </c>
      <c r="M263" t="str">
        <f t="shared" si="9"/>
        <v>55</v>
      </c>
      <c r="N263" s="3" t="str">
        <f>VLOOKUP(Table2[[#This Row],[Tulu/kulu liik2]],Table5[[Tulu/kulu liik]:[Kontode koondnimetus]],4,FALSE)</f>
        <v>Muud tegevuskulud</v>
      </c>
      <c r="O263" s="3" t="str">
        <f>VLOOKUP(Table2[[#This Row],[Tulu/kulu liik2]],Table5[],6,FALSE)</f>
        <v>Majandamiskulud</v>
      </c>
      <c r="P263" s="3" t="str">
        <f>VLOOKUP(Table2[[#This Row],[Tulu/kulu liik2]],Table5[],5,FALSE)</f>
        <v>Põhitegevuse kulu</v>
      </c>
    </row>
    <row r="264" spans="1:16" x14ac:dyDescent="0.25">
      <c r="A264" t="str">
        <f t="shared" si="8"/>
        <v>06</v>
      </c>
      <c r="B264" t="s">
        <v>263</v>
      </c>
      <c r="C264" s="3" t="str">
        <f>VLOOKUP(Table2[[#This Row],[Tegevusala]],Table4[],2,FALSE)</f>
        <v xml:space="preserve"> Vinni-Pajusti halduspiirkond</v>
      </c>
      <c r="D264" s="3" t="str">
        <f>VLOOKUP(Table2[[#This Row],[Tegevusala]],Table4[[Tegevusala kood]:[Tegevusala alanimetus]],4,FALSE)</f>
        <v>Muu elamu- ja kommunaalmajanduse tegevus</v>
      </c>
      <c r="E264" s="3" t="str">
        <f>VLOOKUP(Table2[[#This Row],[Tegevusala nimetus2]],Table4[[Tegevusala nimetus]:[Tegevusala koondnimetus]],2,FALSE)</f>
        <v>Elamu- ja kommunaalmajandus</v>
      </c>
      <c r="F264" t="s">
        <v>1919</v>
      </c>
      <c r="G264" t="s">
        <v>1931</v>
      </c>
      <c r="H264" s="40">
        <v>20000</v>
      </c>
      <c r="J264">
        <v>5511</v>
      </c>
      <c r="K264" s="3" t="str">
        <f>VLOOKUP(Table2[[#This Row],[Konto]],Table5[[Konto]:[Konto nimetus]],2,FALSE)</f>
        <v>Kinnistute, hoonete ja ruumide majandamiskulud</v>
      </c>
      <c r="L264">
        <v>55</v>
      </c>
      <c r="M264" t="str">
        <f t="shared" si="9"/>
        <v>55</v>
      </c>
      <c r="N264" s="3" t="str">
        <f>VLOOKUP(Table2[[#This Row],[Tulu/kulu liik2]],Table5[[Tulu/kulu liik]:[Kontode koondnimetus]],4,FALSE)</f>
        <v>Muud tegevuskulud</v>
      </c>
      <c r="O264" s="3" t="str">
        <f>VLOOKUP(Table2[[#This Row],[Tulu/kulu liik2]],Table5[],6,FALSE)</f>
        <v>Majandamiskulud</v>
      </c>
      <c r="P264" s="3" t="str">
        <f>VLOOKUP(Table2[[#This Row],[Tulu/kulu liik2]],Table5[],5,FALSE)</f>
        <v>Põhitegevuse kulu</v>
      </c>
    </row>
    <row r="265" spans="1:16" x14ac:dyDescent="0.25">
      <c r="A265" t="str">
        <f t="shared" si="8"/>
        <v>06</v>
      </c>
      <c r="B265" t="s">
        <v>263</v>
      </c>
      <c r="C265" s="3" t="str">
        <f>VLOOKUP(Table2[[#This Row],[Tegevusala]],Table4[],2,FALSE)</f>
        <v xml:space="preserve"> Vinni-Pajusti halduspiirkond</v>
      </c>
      <c r="D265" s="3" t="str">
        <f>VLOOKUP(Table2[[#This Row],[Tegevusala]],Table4[[Tegevusala kood]:[Tegevusala alanimetus]],4,FALSE)</f>
        <v>Muu elamu- ja kommunaalmajanduse tegevus</v>
      </c>
      <c r="E265" s="3" t="str">
        <f>VLOOKUP(Table2[[#This Row],[Tegevusala nimetus2]],Table4[[Tegevusala nimetus]:[Tegevusala koondnimetus]],2,FALSE)</f>
        <v>Elamu- ja kommunaalmajandus</v>
      </c>
      <c r="F265" t="s">
        <v>1919</v>
      </c>
      <c r="G265" t="s">
        <v>1932</v>
      </c>
      <c r="H265" s="40">
        <v>6000</v>
      </c>
      <c r="J265">
        <v>5511</v>
      </c>
      <c r="K265" s="3" t="str">
        <f>VLOOKUP(Table2[[#This Row],[Konto]],Table5[[Konto]:[Konto nimetus]],2,FALSE)</f>
        <v>Kinnistute, hoonete ja ruumide majandamiskulud</v>
      </c>
      <c r="L265">
        <v>55</v>
      </c>
      <c r="M265" t="str">
        <f t="shared" si="9"/>
        <v>55</v>
      </c>
      <c r="N265" s="3" t="str">
        <f>VLOOKUP(Table2[[#This Row],[Tulu/kulu liik2]],Table5[[Tulu/kulu liik]:[Kontode koondnimetus]],4,FALSE)</f>
        <v>Muud tegevuskulud</v>
      </c>
      <c r="O265" s="3" t="str">
        <f>VLOOKUP(Table2[[#This Row],[Tulu/kulu liik2]],Table5[],6,FALSE)</f>
        <v>Majandamiskulud</v>
      </c>
      <c r="P265" s="3" t="str">
        <f>VLOOKUP(Table2[[#This Row],[Tulu/kulu liik2]],Table5[],5,FALSE)</f>
        <v>Põhitegevuse kulu</v>
      </c>
    </row>
    <row r="266" spans="1:16" x14ac:dyDescent="0.25">
      <c r="A266" t="str">
        <f t="shared" si="8"/>
        <v>06</v>
      </c>
      <c r="B266" t="s">
        <v>263</v>
      </c>
      <c r="C266" s="3" t="str">
        <f>VLOOKUP(Table2[[#This Row],[Tegevusala]],Table4[],2,FALSE)</f>
        <v xml:space="preserve"> Vinni-Pajusti halduspiirkond</v>
      </c>
      <c r="D266" s="3" t="str">
        <f>VLOOKUP(Table2[[#This Row],[Tegevusala]],Table4[[Tegevusala kood]:[Tegevusala alanimetus]],4,FALSE)</f>
        <v>Muu elamu- ja kommunaalmajanduse tegevus</v>
      </c>
      <c r="E266" s="3" t="str">
        <f>VLOOKUP(Table2[[#This Row],[Tegevusala nimetus2]],Table4[[Tegevusala nimetus]:[Tegevusala koondnimetus]],2,FALSE)</f>
        <v>Elamu- ja kommunaalmajandus</v>
      </c>
      <c r="F266" t="s">
        <v>648</v>
      </c>
      <c r="G266" t="s">
        <v>1592</v>
      </c>
      <c r="H266" s="40">
        <v>2000</v>
      </c>
      <c r="J266">
        <v>5512</v>
      </c>
      <c r="K266" s="3" t="str">
        <f>VLOOKUP(Table2[[#This Row],[Konto]],Table5[[Konto]:[Konto nimetus]],2,FALSE)</f>
        <v>Rajatiste majandamiskulud</v>
      </c>
      <c r="L266">
        <v>55</v>
      </c>
      <c r="M266" t="str">
        <f t="shared" si="9"/>
        <v>55</v>
      </c>
      <c r="N266" s="3" t="str">
        <f>VLOOKUP(Table2[[#This Row],[Tulu/kulu liik2]],Table5[[Tulu/kulu liik]:[Kontode koondnimetus]],4,FALSE)</f>
        <v>Muud tegevuskulud</v>
      </c>
      <c r="O266" s="3" t="str">
        <f>VLOOKUP(Table2[[#This Row],[Tulu/kulu liik2]],Table5[],6,FALSE)</f>
        <v>Majandamiskulud</v>
      </c>
      <c r="P266" s="3" t="str">
        <f>VLOOKUP(Table2[[#This Row],[Tulu/kulu liik2]],Table5[],5,FALSE)</f>
        <v>Põhitegevuse kulu</v>
      </c>
    </row>
    <row r="267" spans="1:16" x14ac:dyDescent="0.25">
      <c r="A267" t="str">
        <f t="shared" si="8"/>
        <v>06</v>
      </c>
      <c r="B267" t="s">
        <v>263</v>
      </c>
      <c r="C267" s="3" t="str">
        <f>VLOOKUP(Table2[[#This Row],[Tegevusala]],Table4[],2,FALSE)</f>
        <v xml:space="preserve"> Vinni-Pajusti halduspiirkond</v>
      </c>
      <c r="D267" s="3" t="str">
        <f>VLOOKUP(Table2[[#This Row],[Tegevusala]],Table4[[Tegevusala kood]:[Tegevusala alanimetus]],4,FALSE)</f>
        <v>Muu elamu- ja kommunaalmajanduse tegevus</v>
      </c>
      <c r="E267" s="3" t="str">
        <f>VLOOKUP(Table2[[#This Row],[Tegevusala nimetus2]],Table4[[Tegevusala nimetus]:[Tegevusala koondnimetus]],2,FALSE)</f>
        <v>Elamu- ja kommunaalmajandus</v>
      </c>
      <c r="F267" t="s">
        <v>1919</v>
      </c>
      <c r="G267" t="s">
        <v>1918</v>
      </c>
      <c r="H267" s="40">
        <v>255.84</v>
      </c>
      <c r="J267">
        <v>5500</v>
      </c>
      <c r="K267" s="3" t="str">
        <f>VLOOKUP(Table2[[#This Row],[Konto]],Table5[[Konto]:[Konto nimetus]],2,FALSE)</f>
        <v>Administreerimiskulud</v>
      </c>
      <c r="L267">
        <v>55</v>
      </c>
      <c r="M267" t="str">
        <f t="shared" si="9"/>
        <v>55</v>
      </c>
      <c r="N267" s="3" t="str">
        <f>VLOOKUP(Table2[[#This Row],[Tulu/kulu liik2]],Table5[[Tulu/kulu liik]:[Kontode koondnimetus]],4,FALSE)</f>
        <v>Muud tegevuskulud</v>
      </c>
      <c r="O267" s="3" t="str">
        <f>VLOOKUP(Table2[[#This Row],[Tulu/kulu liik2]],Table5[],6,FALSE)</f>
        <v>Majandamiskulud</v>
      </c>
      <c r="P267" s="3" t="str">
        <f>VLOOKUP(Table2[[#This Row],[Tulu/kulu liik2]],Table5[],5,FALSE)</f>
        <v>Põhitegevuse kulu</v>
      </c>
    </row>
    <row r="268" spans="1:16" x14ac:dyDescent="0.25">
      <c r="A268" t="str">
        <f t="shared" si="8"/>
        <v>06</v>
      </c>
      <c r="B268" t="s">
        <v>263</v>
      </c>
      <c r="C268" s="3" t="str">
        <f>VLOOKUP(Table2[[#This Row],[Tegevusala]],Table4[],2,FALSE)</f>
        <v xml:space="preserve"> Vinni-Pajusti halduspiirkond</v>
      </c>
      <c r="D268" s="3" t="str">
        <f>VLOOKUP(Table2[[#This Row],[Tegevusala]],Table4[[Tegevusala kood]:[Tegevusala alanimetus]],4,FALSE)</f>
        <v>Muu elamu- ja kommunaalmajanduse tegevus</v>
      </c>
      <c r="E268" s="3" t="str">
        <f>VLOOKUP(Table2[[#This Row],[Tegevusala nimetus2]],Table4[[Tegevusala nimetus]:[Tegevusala koondnimetus]],2,FALSE)</f>
        <v>Elamu- ja kommunaalmajandus</v>
      </c>
      <c r="F268" t="s">
        <v>1919</v>
      </c>
      <c r="G268" t="s">
        <v>442</v>
      </c>
      <c r="H268" s="40">
        <v>650</v>
      </c>
      <c r="I268" s="2" t="s">
        <v>1933</v>
      </c>
      <c r="J268">
        <v>5513</v>
      </c>
      <c r="K268" s="3" t="str">
        <f>VLOOKUP(Table2[[#This Row],[Konto]],Table5[[Konto]:[Konto nimetus]],2,FALSE)</f>
        <v>Sõidukite ülalpidamise kulud</v>
      </c>
      <c r="L268">
        <v>55</v>
      </c>
      <c r="M268" t="str">
        <f t="shared" si="9"/>
        <v>55</v>
      </c>
      <c r="N268" s="3" t="str">
        <f>VLOOKUP(Table2[[#This Row],[Tulu/kulu liik2]],Table5[[Tulu/kulu liik]:[Kontode koondnimetus]],4,FALSE)</f>
        <v>Muud tegevuskulud</v>
      </c>
      <c r="O268" s="3" t="str">
        <f>VLOOKUP(Table2[[#This Row],[Tulu/kulu liik2]],Table5[],6,FALSE)</f>
        <v>Majandamiskulud</v>
      </c>
      <c r="P268" s="3" t="str">
        <f>VLOOKUP(Table2[[#This Row],[Tulu/kulu liik2]],Table5[],5,FALSE)</f>
        <v>Põhitegevuse kulu</v>
      </c>
    </row>
    <row r="269" spans="1:16" x14ac:dyDescent="0.25">
      <c r="A269" t="str">
        <f t="shared" si="8"/>
        <v>06</v>
      </c>
      <c r="B269" t="s">
        <v>263</v>
      </c>
      <c r="C269" s="3" t="str">
        <f>VLOOKUP(Table2[[#This Row],[Tegevusala]],Table4[],2,FALSE)</f>
        <v xml:space="preserve"> Vinni-Pajusti halduspiirkond</v>
      </c>
      <c r="D269" s="3" t="str">
        <f>VLOOKUP(Table2[[#This Row],[Tegevusala]],Table4[[Tegevusala kood]:[Tegevusala alanimetus]],4,FALSE)</f>
        <v>Muu elamu- ja kommunaalmajanduse tegevus</v>
      </c>
      <c r="E269" s="3" t="str">
        <f>VLOOKUP(Table2[[#This Row],[Tegevusala nimetus2]],Table4[[Tegevusala nimetus]:[Tegevusala koondnimetus]],2,FALSE)</f>
        <v>Elamu- ja kommunaalmajandus</v>
      </c>
      <c r="F269" t="s">
        <v>1919</v>
      </c>
      <c r="G269" t="s">
        <v>1934</v>
      </c>
      <c r="H269" s="40">
        <v>1670</v>
      </c>
      <c r="J269">
        <v>5513</v>
      </c>
      <c r="K269" s="3" t="str">
        <f>VLOOKUP(Table2[[#This Row],[Konto]],Table5[[Konto]:[Konto nimetus]],2,FALSE)</f>
        <v>Sõidukite ülalpidamise kulud</v>
      </c>
      <c r="L269">
        <v>55</v>
      </c>
      <c r="M269" t="str">
        <f t="shared" si="9"/>
        <v>55</v>
      </c>
      <c r="N269" s="3" t="str">
        <f>VLOOKUP(Table2[[#This Row],[Tulu/kulu liik2]],Table5[[Tulu/kulu liik]:[Kontode koondnimetus]],4,FALSE)</f>
        <v>Muud tegevuskulud</v>
      </c>
      <c r="O269" s="3" t="str">
        <f>VLOOKUP(Table2[[#This Row],[Tulu/kulu liik2]],Table5[],6,FALSE)</f>
        <v>Majandamiskulud</v>
      </c>
      <c r="P269" s="3" t="str">
        <f>VLOOKUP(Table2[[#This Row],[Tulu/kulu liik2]],Table5[],5,FALSE)</f>
        <v>Põhitegevuse kulu</v>
      </c>
    </row>
    <row r="270" spans="1:16" x14ac:dyDescent="0.25">
      <c r="A270" t="str">
        <f t="shared" si="8"/>
        <v>06</v>
      </c>
      <c r="B270" t="s">
        <v>263</v>
      </c>
      <c r="C270" s="3" t="str">
        <f>VLOOKUP(Table2[[#This Row],[Tegevusala]],Table4[],2,FALSE)</f>
        <v xml:space="preserve"> Vinni-Pajusti halduspiirkond</v>
      </c>
      <c r="D270" s="3" t="str">
        <f>VLOOKUP(Table2[[#This Row],[Tegevusala]],Table4[[Tegevusala kood]:[Tegevusala alanimetus]],4,FALSE)</f>
        <v>Muu elamu- ja kommunaalmajanduse tegevus</v>
      </c>
      <c r="E270" s="3" t="str">
        <f>VLOOKUP(Table2[[#This Row],[Tegevusala nimetus2]],Table4[[Tegevusala nimetus]:[Tegevusala koondnimetus]],2,FALSE)</f>
        <v>Elamu- ja kommunaalmajandus</v>
      </c>
      <c r="F270" t="s">
        <v>1919</v>
      </c>
      <c r="G270" t="s">
        <v>1935</v>
      </c>
      <c r="H270" s="40">
        <v>1998</v>
      </c>
      <c r="J270">
        <v>5513</v>
      </c>
      <c r="K270" s="3" t="str">
        <f>VLOOKUP(Table2[[#This Row],[Konto]],Table5[[Konto]:[Konto nimetus]],2,FALSE)</f>
        <v>Sõidukite ülalpidamise kulud</v>
      </c>
      <c r="L270">
        <v>55</v>
      </c>
      <c r="M270" t="str">
        <f t="shared" si="9"/>
        <v>55</v>
      </c>
      <c r="N270" s="3" t="str">
        <f>VLOOKUP(Table2[[#This Row],[Tulu/kulu liik2]],Table5[[Tulu/kulu liik]:[Kontode koondnimetus]],4,FALSE)</f>
        <v>Muud tegevuskulud</v>
      </c>
      <c r="O270" s="3" t="str">
        <f>VLOOKUP(Table2[[#This Row],[Tulu/kulu liik2]],Table5[],6,FALSE)</f>
        <v>Majandamiskulud</v>
      </c>
      <c r="P270" s="3" t="str">
        <f>VLOOKUP(Table2[[#This Row],[Tulu/kulu liik2]],Table5[],5,FALSE)</f>
        <v>Põhitegevuse kulu</v>
      </c>
    </row>
    <row r="271" spans="1:16" x14ac:dyDescent="0.25">
      <c r="A271" t="str">
        <f t="shared" si="8"/>
        <v>06</v>
      </c>
      <c r="B271" t="s">
        <v>263</v>
      </c>
      <c r="C271" s="3" t="str">
        <f>VLOOKUP(Table2[[#This Row],[Tegevusala]],Table4[],2,FALSE)</f>
        <v xml:space="preserve"> Vinni-Pajusti halduspiirkond</v>
      </c>
      <c r="D271" s="3" t="str">
        <f>VLOOKUP(Table2[[#This Row],[Tegevusala]],Table4[[Tegevusala kood]:[Tegevusala alanimetus]],4,FALSE)</f>
        <v>Muu elamu- ja kommunaalmajanduse tegevus</v>
      </c>
      <c r="E271" s="3" t="str">
        <f>VLOOKUP(Table2[[#This Row],[Tegevusala nimetus2]],Table4[[Tegevusala nimetus]:[Tegevusala koondnimetus]],2,FALSE)</f>
        <v>Elamu- ja kommunaalmajandus</v>
      </c>
      <c r="F271" t="s">
        <v>1919</v>
      </c>
      <c r="G271" t="s">
        <v>1936</v>
      </c>
      <c r="H271" s="40">
        <v>210</v>
      </c>
      <c r="J271">
        <v>5513</v>
      </c>
      <c r="K271" s="3" t="str">
        <f>VLOOKUP(Table2[[#This Row],[Konto]],Table5[[Konto]:[Konto nimetus]],2,FALSE)</f>
        <v>Sõidukite ülalpidamise kulud</v>
      </c>
      <c r="L271">
        <v>55</v>
      </c>
      <c r="M271" t="str">
        <f t="shared" si="9"/>
        <v>55</v>
      </c>
      <c r="N271" s="3" t="str">
        <f>VLOOKUP(Table2[[#This Row],[Tulu/kulu liik2]],Table5[[Tulu/kulu liik]:[Kontode koondnimetus]],4,FALSE)</f>
        <v>Muud tegevuskulud</v>
      </c>
      <c r="O271" s="3" t="str">
        <f>VLOOKUP(Table2[[#This Row],[Tulu/kulu liik2]],Table5[],6,FALSE)</f>
        <v>Majandamiskulud</v>
      </c>
      <c r="P271" s="3" t="str">
        <f>VLOOKUP(Table2[[#This Row],[Tulu/kulu liik2]],Table5[],5,FALSE)</f>
        <v>Põhitegevuse kulu</v>
      </c>
    </row>
    <row r="272" spans="1:16" x14ac:dyDescent="0.25">
      <c r="A272" t="str">
        <f t="shared" si="8"/>
        <v>06</v>
      </c>
      <c r="B272" t="s">
        <v>263</v>
      </c>
      <c r="C272" s="3" t="str">
        <f>VLOOKUP(Table2[[#This Row],[Tegevusala]],Table4[],2,FALSE)</f>
        <v xml:space="preserve"> Vinni-Pajusti halduspiirkond</v>
      </c>
      <c r="D272" s="3" t="str">
        <f>VLOOKUP(Table2[[#This Row],[Tegevusala]],Table4[[Tegevusala kood]:[Tegevusala alanimetus]],4,FALSE)</f>
        <v>Muu elamu- ja kommunaalmajanduse tegevus</v>
      </c>
      <c r="E272" s="3" t="str">
        <f>VLOOKUP(Table2[[#This Row],[Tegevusala nimetus2]],Table4[[Tegevusala nimetus]:[Tegevusala koondnimetus]],2,FALSE)</f>
        <v>Elamu- ja kommunaalmajandus</v>
      </c>
      <c r="F272" t="s">
        <v>1919</v>
      </c>
      <c r="G272" t="s">
        <v>901</v>
      </c>
      <c r="H272" s="40">
        <v>2607.2400000000002</v>
      </c>
      <c r="I272" s="2" t="s">
        <v>1937</v>
      </c>
      <c r="J272">
        <v>5513</v>
      </c>
      <c r="K272" s="3" t="str">
        <f>VLOOKUP(Table2[[#This Row],[Konto]],Table5[[Konto]:[Konto nimetus]],2,FALSE)</f>
        <v>Sõidukite ülalpidamise kulud</v>
      </c>
      <c r="L272">
        <v>55</v>
      </c>
      <c r="M272" t="str">
        <f t="shared" si="9"/>
        <v>55</v>
      </c>
      <c r="N272" s="3" t="str">
        <f>VLOOKUP(Table2[[#This Row],[Tulu/kulu liik2]],Table5[[Tulu/kulu liik]:[Kontode koondnimetus]],4,FALSE)</f>
        <v>Muud tegevuskulud</v>
      </c>
      <c r="O272" s="3" t="str">
        <f>VLOOKUP(Table2[[#This Row],[Tulu/kulu liik2]],Table5[],6,FALSE)</f>
        <v>Majandamiskulud</v>
      </c>
      <c r="P272" s="3" t="str">
        <f>VLOOKUP(Table2[[#This Row],[Tulu/kulu liik2]],Table5[],5,FALSE)</f>
        <v>Põhitegevuse kulu</v>
      </c>
    </row>
    <row r="273" spans="1:16" x14ac:dyDescent="0.25">
      <c r="A273" t="str">
        <f t="shared" si="8"/>
        <v>06</v>
      </c>
      <c r="B273" t="s">
        <v>263</v>
      </c>
      <c r="C273" s="3" t="str">
        <f>VLOOKUP(Table2[[#This Row],[Tegevusala]],Table4[],2,FALSE)</f>
        <v xml:space="preserve"> Vinni-Pajusti halduspiirkond</v>
      </c>
      <c r="D273" s="3" t="str">
        <f>VLOOKUP(Table2[[#This Row],[Tegevusala]],Table4[[Tegevusala kood]:[Tegevusala alanimetus]],4,FALSE)</f>
        <v>Muu elamu- ja kommunaalmajanduse tegevus</v>
      </c>
      <c r="E273" s="3" t="str">
        <f>VLOOKUP(Table2[[#This Row],[Tegevusala nimetus2]],Table4[[Tegevusala nimetus]:[Tegevusala koondnimetus]],2,FALSE)</f>
        <v>Elamu- ja kommunaalmajandus</v>
      </c>
      <c r="F273" t="s">
        <v>1919</v>
      </c>
      <c r="G273" t="s">
        <v>1938</v>
      </c>
      <c r="H273" s="40">
        <v>1400</v>
      </c>
      <c r="I273" s="2" t="s">
        <v>1939</v>
      </c>
      <c r="J273">
        <v>5513</v>
      </c>
      <c r="K273" s="3" t="str">
        <f>VLOOKUP(Table2[[#This Row],[Konto]],Table5[[Konto]:[Konto nimetus]],2,FALSE)</f>
        <v>Sõidukite ülalpidamise kulud</v>
      </c>
      <c r="L273">
        <v>55</v>
      </c>
      <c r="M273" t="str">
        <f t="shared" si="9"/>
        <v>55</v>
      </c>
      <c r="N273" s="3" t="str">
        <f>VLOOKUP(Table2[[#This Row],[Tulu/kulu liik2]],Table5[[Tulu/kulu liik]:[Kontode koondnimetus]],4,FALSE)</f>
        <v>Muud tegevuskulud</v>
      </c>
      <c r="O273" s="3" t="str">
        <f>VLOOKUP(Table2[[#This Row],[Tulu/kulu liik2]],Table5[],6,FALSE)</f>
        <v>Majandamiskulud</v>
      </c>
      <c r="P273" s="3" t="str">
        <f>VLOOKUP(Table2[[#This Row],[Tulu/kulu liik2]],Table5[],5,FALSE)</f>
        <v>Põhitegevuse kulu</v>
      </c>
    </row>
    <row r="274" spans="1:16" x14ac:dyDescent="0.25">
      <c r="A274" t="str">
        <f t="shared" si="8"/>
        <v>06</v>
      </c>
      <c r="B274" t="s">
        <v>263</v>
      </c>
      <c r="C274" s="3" t="str">
        <f>VLOOKUP(Table2[[#This Row],[Tegevusala]],Table4[],2,FALSE)</f>
        <v xml:space="preserve"> Vinni-Pajusti halduspiirkond</v>
      </c>
      <c r="D274" s="3" t="str">
        <f>VLOOKUP(Table2[[#This Row],[Tegevusala]],Table4[[Tegevusala kood]:[Tegevusala alanimetus]],4,FALSE)</f>
        <v>Muu elamu- ja kommunaalmajanduse tegevus</v>
      </c>
      <c r="E274" s="3" t="str">
        <f>VLOOKUP(Table2[[#This Row],[Tegevusala nimetus2]],Table4[[Tegevusala nimetus]:[Tegevusala koondnimetus]],2,FALSE)</f>
        <v>Elamu- ja kommunaalmajandus</v>
      </c>
      <c r="F274" t="s">
        <v>1919</v>
      </c>
      <c r="G274" t="s">
        <v>198</v>
      </c>
      <c r="H274" s="40">
        <v>13000</v>
      </c>
      <c r="J274">
        <v>5513</v>
      </c>
      <c r="K274" s="3" t="str">
        <f>VLOOKUP(Table2[[#This Row],[Konto]],Table5[[Konto]:[Konto nimetus]],2,FALSE)</f>
        <v>Sõidukite ülalpidamise kulud</v>
      </c>
      <c r="L274">
        <v>55</v>
      </c>
      <c r="M274" t="str">
        <f t="shared" si="9"/>
        <v>55</v>
      </c>
      <c r="N274" s="3" t="str">
        <f>VLOOKUP(Table2[[#This Row],[Tulu/kulu liik2]],Table5[[Tulu/kulu liik]:[Kontode koondnimetus]],4,FALSE)</f>
        <v>Muud tegevuskulud</v>
      </c>
      <c r="O274" s="3" t="str">
        <f>VLOOKUP(Table2[[#This Row],[Tulu/kulu liik2]],Table5[],6,FALSE)</f>
        <v>Majandamiskulud</v>
      </c>
      <c r="P274" s="3" t="str">
        <f>VLOOKUP(Table2[[#This Row],[Tulu/kulu liik2]],Table5[],5,FALSE)</f>
        <v>Põhitegevuse kulu</v>
      </c>
    </row>
    <row r="275" spans="1:16" x14ac:dyDescent="0.25">
      <c r="A275" t="str">
        <f t="shared" si="8"/>
        <v>06</v>
      </c>
      <c r="B275" t="s">
        <v>263</v>
      </c>
      <c r="C275" s="3" t="str">
        <f>VLOOKUP(Table2[[#This Row],[Tegevusala]],Table4[],2,FALSE)</f>
        <v xml:space="preserve"> Vinni-Pajusti halduspiirkond</v>
      </c>
      <c r="D275" s="3" t="str">
        <f>VLOOKUP(Table2[[#This Row],[Tegevusala]],Table4[[Tegevusala kood]:[Tegevusala alanimetus]],4,FALSE)</f>
        <v>Muu elamu- ja kommunaalmajanduse tegevus</v>
      </c>
      <c r="E275" s="3" t="str">
        <f>VLOOKUP(Table2[[#This Row],[Tegevusala nimetus2]],Table4[[Tegevusala nimetus]:[Tegevusala koondnimetus]],2,FALSE)</f>
        <v>Elamu- ja kommunaalmajandus</v>
      </c>
      <c r="F275" t="s">
        <v>1919</v>
      </c>
      <c r="G275" t="s">
        <v>1940</v>
      </c>
      <c r="H275" s="40">
        <v>3000</v>
      </c>
      <c r="J275">
        <v>5513</v>
      </c>
      <c r="K275" s="3" t="str">
        <f>VLOOKUP(Table2[[#This Row],[Konto]],Table5[[Konto]:[Konto nimetus]],2,FALSE)</f>
        <v>Sõidukite ülalpidamise kulud</v>
      </c>
      <c r="L275">
        <v>55</v>
      </c>
      <c r="M275" t="str">
        <f t="shared" si="9"/>
        <v>55</v>
      </c>
      <c r="N275" s="3" t="str">
        <f>VLOOKUP(Table2[[#This Row],[Tulu/kulu liik2]],Table5[[Tulu/kulu liik]:[Kontode koondnimetus]],4,FALSE)</f>
        <v>Muud tegevuskulud</v>
      </c>
      <c r="O275" s="3" t="str">
        <f>VLOOKUP(Table2[[#This Row],[Tulu/kulu liik2]],Table5[],6,FALSE)</f>
        <v>Majandamiskulud</v>
      </c>
      <c r="P275" s="3" t="str">
        <f>VLOOKUP(Table2[[#This Row],[Tulu/kulu liik2]],Table5[],5,FALSE)</f>
        <v>Põhitegevuse kulu</v>
      </c>
    </row>
    <row r="276" spans="1:16" x14ac:dyDescent="0.25">
      <c r="A276" t="str">
        <f t="shared" si="8"/>
        <v>06</v>
      </c>
      <c r="B276" t="s">
        <v>263</v>
      </c>
      <c r="C276" s="3" t="str">
        <f>VLOOKUP(Table2[[#This Row],[Tegevusala]],Table4[],2,FALSE)</f>
        <v xml:space="preserve"> Vinni-Pajusti halduspiirkond</v>
      </c>
      <c r="D276" s="3" t="str">
        <f>VLOOKUP(Table2[[#This Row],[Tegevusala]],Table4[[Tegevusala kood]:[Tegevusala alanimetus]],4,FALSE)</f>
        <v>Muu elamu- ja kommunaalmajanduse tegevus</v>
      </c>
      <c r="E276" s="3" t="str">
        <f>VLOOKUP(Table2[[#This Row],[Tegevusala nimetus2]],Table4[[Tegevusala nimetus]:[Tegevusala koondnimetus]],2,FALSE)</f>
        <v>Elamu- ja kommunaalmajandus</v>
      </c>
      <c r="F276" t="s">
        <v>1919</v>
      </c>
      <c r="G276" t="s">
        <v>1941</v>
      </c>
      <c r="H276" s="40">
        <v>4000</v>
      </c>
      <c r="J276">
        <v>5513</v>
      </c>
      <c r="K276" s="3" t="str">
        <f>VLOOKUP(Table2[[#This Row],[Konto]],Table5[[Konto]:[Konto nimetus]],2,FALSE)</f>
        <v>Sõidukite ülalpidamise kulud</v>
      </c>
      <c r="L276">
        <v>55</v>
      </c>
      <c r="M276" t="str">
        <f t="shared" si="9"/>
        <v>55</v>
      </c>
      <c r="N276" s="3" t="str">
        <f>VLOOKUP(Table2[[#This Row],[Tulu/kulu liik2]],Table5[[Tulu/kulu liik]:[Kontode koondnimetus]],4,FALSE)</f>
        <v>Muud tegevuskulud</v>
      </c>
      <c r="O276" s="3" t="str">
        <f>VLOOKUP(Table2[[#This Row],[Tulu/kulu liik2]],Table5[],6,FALSE)</f>
        <v>Majandamiskulud</v>
      </c>
      <c r="P276" s="3" t="str">
        <f>VLOOKUP(Table2[[#This Row],[Tulu/kulu liik2]],Table5[],5,FALSE)</f>
        <v>Põhitegevuse kulu</v>
      </c>
    </row>
    <row r="277" spans="1:16" x14ac:dyDescent="0.25">
      <c r="A277" t="str">
        <f t="shared" si="8"/>
        <v>06</v>
      </c>
      <c r="B277" t="s">
        <v>263</v>
      </c>
      <c r="C277" s="3" t="str">
        <f>VLOOKUP(Table2[[#This Row],[Tegevusala]],Table4[],2,FALSE)</f>
        <v xml:space="preserve"> Vinni-Pajusti halduspiirkond</v>
      </c>
      <c r="D277" s="3" t="str">
        <f>VLOOKUP(Table2[[#This Row],[Tegevusala]],Table4[[Tegevusala kood]:[Tegevusala alanimetus]],4,FALSE)</f>
        <v>Muu elamu- ja kommunaalmajanduse tegevus</v>
      </c>
      <c r="E277" s="3" t="str">
        <f>VLOOKUP(Table2[[#This Row],[Tegevusala nimetus2]],Table4[[Tegevusala nimetus]:[Tegevusala koondnimetus]],2,FALSE)</f>
        <v>Elamu- ja kommunaalmajandus</v>
      </c>
      <c r="F277" t="s">
        <v>1919</v>
      </c>
      <c r="G277" t="s">
        <v>1942</v>
      </c>
      <c r="H277" s="40">
        <v>6000</v>
      </c>
      <c r="J277">
        <v>5515</v>
      </c>
      <c r="K277" s="3" t="str">
        <f>VLOOKUP(Table2[[#This Row],[Konto]],Table5[[Konto]:[Konto nimetus]],2,FALSE)</f>
        <v>Inventari kulud, v.a infotehnoloogia ja kaitseotstarbelised kulud</v>
      </c>
      <c r="L277">
        <v>55</v>
      </c>
      <c r="M277" t="str">
        <f t="shared" si="9"/>
        <v>55</v>
      </c>
      <c r="N277" s="3" t="str">
        <f>VLOOKUP(Table2[[#This Row],[Tulu/kulu liik2]],Table5[[Tulu/kulu liik]:[Kontode koondnimetus]],4,FALSE)</f>
        <v>Muud tegevuskulud</v>
      </c>
      <c r="O277" s="3" t="str">
        <f>VLOOKUP(Table2[[#This Row],[Tulu/kulu liik2]],Table5[],6,FALSE)</f>
        <v>Majandamiskulud</v>
      </c>
      <c r="P277" s="3" t="str">
        <f>VLOOKUP(Table2[[#This Row],[Tulu/kulu liik2]],Table5[],5,FALSE)</f>
        <v>Põhitegevuse kulu</v>
      </c>
    </row>
    <row r="278" spans="1:16" x14ac:dyDescent="0.25">
      <c r="A278" t="str">
        <f t="shared" si="8"/>
        <v>06</v>
      </c>
      <c r="B278" t="s">
        <v>265</v>
      </c>
      <c r="C278" s="3" t="str">
        <f>VLOOKUP(Table2[[#This Row],[Tegevusala]],Table4[],2,FALSE)</f>
        <v xml:space="preserve"> Saunad</v>
      </c>
      <c r="D278" s="3" t="str">
        <f>VLOOKUP(Table2[[#This Row],[Tegevusala]],Table4[[Tegevusala kood]:[Tegevusala alanimetus]],4,FALSE)</f>
        <v>Muu elamu- ja kommunaalmajanduse tegevus</v>
      </c>
      <c r="E278" s="3" t="str">
        <f>VLOOKUP(Table2[[#This Row],[Tegevusala nimetus2]],Table4[[Tegevusala nimetus]:[Tegevusala koondnimetus]],2,FALSE)</f>
        <v>Elamu- ja kommunaalmajandus</v>
      </c>
      <c r="F278" s="14" t="s">
        <v>1023</v>
      </c>
      <c r="G278" t="s">
        <v>1021</v>
      </c>
      <c r="H278" s="40">
        <v>8600</v>
      </c>
      <c r="J278">
        <v>5511</v>
      </c>
      <c r="K278" s="3" t="str">
        <f>VLOOKUP(Table2[[#This Row],[Konto]],Table5[[Konto]:[Konto nimetus]],2,FALSE)</f>
        <v>Kinnistute, hoonete ja ruumide majandamiskulud</v>
      </c>
      <c r="L278">
        <v>55</v>
      </c>
      <c r="M278" t="str">
        <f t="shared" si="9"/>
        <v>55</v>
      </c>
      <c r="N278" s="3" t="str">
        <f>VLOOKUP(Table2[[#This Row],[Tulu/kulu liik2]],Table5[[Tulu/kulu liik]:[Kontode koondnimetus]],4,FALSE)</f>
        <v>Muud tegevuskulud</v>
      </c>
      <c r="O278" s="3" t="str">
        <f>VLOOKUP(Table2[[#This Row],[Tulu/kulu liik2]],Table5[],6,FALSE)</f>
        <v>Majandamiskulud</v>
      </c>
      <c r="P278" s="3" t="str">
        <f>VLOOKUP(Table2[[#This Row],[Tulu/kulu liik2]],Table5[],5,FALSE)</f>
        <v>Põhitegevuse kulu</v>
      </c>
    </row>
    <row r="279" spans="1:16" x14ac:dyDescent="0.25">
      <c r="A279" t="str">
        <f t="shared" si="8"/>
        <v>06</v>
      </c>
      <c r="B279" t="s">
        <v>265</v>
      </c>
      <c r="C279" s="3" t="str">
        <f>VLOOKUP(Table2[[#This Row],[Tegevusala]],Table4[],2,FALSE)</f>
        <v xml:space="preserve"> Saunad</v>
      </c>
      <c r="D279" s="3" t="str">
        <f>VLOOKUP(Table2[[#This Row],[Tegevusala]],Table4[[Tegevusala kood]:[Tegevusala alanimetus]],4,FALSE)</f>
        <v>Muu elamu- ja kommunaalmajanduse tegevus</v>
      </c>
      <c r="E279" s="3" t="str">
        <f>VLOOKUP(Table2[[#This Row],[Tegevusala nimetus2]],Table4[[Tegevusala nimetus]:[Tegevusala koondnimetus]],2,FALSE)</f>
        <v>Elamu- ja kommunaalmajandus</v>
      </c>
      <c r="F279" s="14" t="s">
        <v>1023</v>
      </c>
      <c r="G279" t="s">
        <v>971</v>
      </c>
      <c r="H279" s="40">
        <v>35</v>
      </c>
      <c r="J279">
        <v>5511</v>
      </c>
      <c r="K279" s="3" t="str">
        <f>VLOOKUP(Table2[[#This Row],[Konto]],Table5[[Konto]:[Konto nimetus]],2,FALSE)</f>
        <v>Kinnistute, hoonete ja ruumide majandamiskulud</v>
      </c>
      <c r="L279">
        <v>55</v>
      </c>
      <c r="M279" t="str">
        <f t="shared" si="9"/>
        <v>55</v>
      </c>
      <c r="N279" s="3" t="str">
        <f>VLOOKUP(Table2[[#This Row],[Tulu/kulu liik2]],Table5[[Tulu/kulu liik]:[Kontode koondnimetus]],4,FALSE)</f>
        <v>Muud tegevuskulud</v>
      </c>
      <c r="O279" s="3" t="str">
        <f>VLOOKUP(Table2[[#This Row],[Tulu/kulu liik2]],Table5[],6,FALSE)</f>
        <v>Majandamiskulud</v>
      </c>
      <c r="P279" s="3" t="str">
        <f>VLOOKUP(Table2[[#This Row],[Tulu/kulu liik2]],Table5[],5,FALSE)</f>
        <v>Põhitegevuse kulu</v>
      </c>
    </row>
    <row r="280" spans="1:16" x14ac:dyDescent="0.25">
      <c r="A280" t="str">
        <f t="shared" si="8"/>
        <v>06</v>
      </c>
      <c r="B280" t="s">
        <v>265</v>
      </c>
      <c r="C280" s="3" t="str">
        <f>VLOOKUP(Table2[[#This Row],[Tegevusala]],Table4[],2,FALSE)</f>
        <v xml:space="preserve"> Saunad</v>
      </c>
      <c r="D280" s="3" t="str">
        <f>VLOOKUP(Table2[[#This Row],[Tegevusala]],Table4[[Tegevusala kood]:[Tegevusala alanimetus]],4,FALSE)</f>
        <v>Muu elamu- ja kommunaalmajanduse tegevus</v>
      </c>
      <c r="E280" s="3" t="str">
        <f>VLOOKUP(Table2[[#This Row],[Tegevusala nimetus2]],Table4[[Tegevusala nimetus]:[Tegevusala koondnimetus]],2,FALSE)</f>
        <v>Elamu- ja kommunaalmajandus</v>
      </c>
      <c r="F280" s="14" t="s">
        <v>1023</v>
      </c>
      <c r="G280" t="s">
        <v>510</v>
      </c>
      <c r="H280" s="40">
        <v>800</v>
      </c>
      <c r="J280">
        <v>5511</v>
      </c>
      <c r="K280" s="3" t="str">
        <f>VLOOKUP(Table2[[#This Row],[Konto]],Table5[[Konto]:[Konto nimetus]],2,FALSE)</f>
        <v>Kinnistute, hoonete ja ruumide majandamiskulud</v>
      </c>
      <c r="L280">
        <v>55</v>
      </c>
      <c r="M280" t="str">
        <f t="shared" si="9"/>
        <v>55</v>
      </c>
      <c r="N280" s="3" t="str">
        <f>VLOOKUP(Table2[[#This Row],[Tulu/kulu liik2]],Table5[[Tulu/kulu liik]:[Kontode koondnimetus]],4,FALSE)</f>
        <v>Muud tegevuskulud</v>
      </c>
      <c r="O280" s="3" t="str">
        <f>VLOOKUP(Table2[[#This Row],[Tulu/kulu liik2]],Table5[],6,FALSE)</f>
        <v>Majandamiskulud</v>
      </c>
      <c r="P280" s="3" t="str">
        <f>VLOOKUP(Table2[[#This Row],[Tulu/kulu liik2]],Table5[],5,FALSE)</f>
        <v>Põhitegevuse kulu</v>
      </c>
    </row>
    <row r="281" spans="1:16" x14ac:dyDescent="0.25">
      <c r="A281" t="str">
        <f t="shared" si="8"/>
        <v>06</v>
      </c>
      <c r="B281" t="s">
        <v>265</v>
      </c>
      <c r="C281" s="3" t="str">
        <f>VLOOKUP(Table2[[#This Row],[Tegevusala]],Table4[],2,FALSE)</f>
        <v xml:space="preserve"> Saunad</v>
      </c>
      <c r="D281" s="3" t="str">
        <f>VLOOKUP(Table2[[#This Row],[Tegevusala]],Table4[[Tegevusala kood]:[Tegevusala alanimetus]],4,FALSE)</f>
        <v>Muu elamu- ja kommunaalmajanduse tegevus</v>
      </c>
      <c r="E281" s="3" t="str">
        <f>VLOOKUP(Table2[[#This Row],[Tegevusala nimetus2]],Table4[[Tegevusala nimetus]:[Tegevusala koondnimetus]],2,FALSE)</f>
        <v>Elamu- ja kommunaalmajandus</v>
      </c>
      <c r="F281" s="14" t="s">
        <v>1023</v>
      </c>
      <c r="G281" t="s">
        <v>943</v>
      </c>
      <c r="H281" s="40">
        <v>1700</v>
      </c>
      <c r="J281">
        <v>5511</v>
      </c>
      <c r="K281" s="3" t="str">
        <f>VLOOKUP(Table2[[#This Row],[Konto]],Table5[[Konto]:[Konto nimetus]],2,FALSE)</f>
        <v>Kinnistute, hoonete ja ruumide majandamiskulud</v>
      </c>
      <c r="L281">
        <v>55</v>
      </c>
      <c r="M281" t="str">
        <f t="shared" si="9"/>
        <v>55</v>
      </c>
      <c r="N281" s="3" t="str">
        <f>VLOOKUP(Table2[[#This Row],[Tulu/kulu liik2]],Table5[[Tulu/kulu liik]:[Kontode koondnimetus]],4,FALSE)</f>
        <v>Muud tegevuskulud</v>
      </c>
      <c r="O281" s="3" t="str">
        <f>VLOOKUP(Table2[[#This Row],[Tulu/kulu liik2]],Table5[],6,FALSE)</f>
        <v>Majandamiskulud</v>
      </c>
      <c r="P281" s="3" t="str">
        <f>VLOOKUP(Table2[[#This Row],[Tulu/kulu liik2]],Table5[],5,FALSE)</f>
        <v>Põhitegevuse kulu</v>
      </c>
    </row>
    <row r="282" spans="1:16" x14ac:dyDescent="0.25">
      <c r="A282" t="str">
        <f t="shared" si="8"/>
        <v>06</v>
      </c>
      <c r="B282" t="s">
        <v>265</v>
      </c>
      <c r="C282" s="3" t="str">
        <f>VLOOKUP(Table2[[#This Row],[Tegevusala]],Table4[],2,FALSE)</f>
        <v xml:space="preserve"> Saunad</v>
      </c>
      <c r="D282" s="3" t="str">
        <f>VLOOKUP(Table2[[#This Row],[Tegevusala]],Table4[[Tegevusala kood]:[Tegevusala alanimetus]],4,FALSE)</f>
        <v>Muu elamu- ja kommunaalmajanduse tegevus</v>
      </c>
      <c r="E282" s="3" t="str">
        <f>VLOOKUP(Table2[[#This Row],[Tegevusala nimetus2]],Table4[[Tegevusala nimetus]:[Tegevusala koondnimetus]],2,FALSE)</f>
        <v>Elamu- ja kommunaalmajandus</v>
      </c>
      <c r="F282" s="14" t="s">
        <v>1023</v>
      </c>
      <c r="G282" t="s">
        <v>1022</v>
      </c>
      <c r="H282" s="40">
        <v>4500</v>
      </c>
      <c r="J282">
        <v>5511</v>
      </c>
      <c r="K282" s="3" t="str">
        <f>VLOOKUP(Table2[[#This Row],[Konto]],Table5[[Konto]:[Konto nimetus]],2,FALSE)</f>
        <v>Kinnistute, hoonete ja ruumide majandamiskulud</v>
      </c>
      <c r="L282">
        <v>55</v>
      </c>
      <c r="M282" t="str">
        <f t="shared" si="9"/>
        <v>55</v>
      </c>
      <c r="N282" s="3" t="str">
        <f>VLOOKUP(Table2[[#This Row],[Tulu/kulu liik2]],Table5[[Tulu/kulu liik]:[Kontode koondnimetus]],4,FALSE)</f>
        <v>Muud tegevuskulud</v>
      </c>
      <c r="O282" s="3" t="str">
        <f>VLOOKUP(Table2[[#This Row],[Tulu/kulu liik2]],Table5[],6,FALSE)</f>
        <v>Majandamiskulud</v>
      </c>
      <c r="P282" s="3" t="str">
        <f>VLOOKUP(Table2[[#This Row],[Tulu/kulu liik2]],Table5[],5,FALSE)</f>
        <v>Põhitegevuse kulu</v>
      </c>
    </row>
    <row r="283" spans="1:16" x14ac:dyDescent="0.25">
      <c r="A283" t="str">
        <f t="shared" si="8"/>
        <v>06</v>
      </c>
      <c r="B283" t="s">
        <v>265</v>
      </c>
      <c r="C283" s="3" t="str">
        <f>VLOOKUP(Table2[[#This Row],[Tegevusala]],Table4[],2,FALSE)</f>
        <v xml:space="preserve"> Saunad</v>
      </c>
      <c r="D283" s="3" t="str">
        <f>VLOOKUP(Table2[[#This Row],[Tegevusala]],Table4[[Tegevusala kood]:[Tegevusala alanimetus]],4,FALSE)</f>
        <v>Muu elamu- ja kommunaalmajanduse tegevus</v>
      </c>
      <c r="E283" s="3" t="str">
        <f>VLOOKUP(Table2[[#This Row],[Tegevusala nimetus2]],Table4[[Tegevusala nimetus]:[Tegevusala koondnimetus]],2,FALSE)</f>
        <v>Elamu- ja kommunaalmajandus</v>
      </c>
      <c r="F283" s="14" t="s">
        <v>1023</v>
      </c>
      <c r="G283" t="s">
        <v>1000</v>
      </c>
      <c r="H283" s="40">
        <v>600</v>
      </c>
      <c r="J283">
        <v>5511</v>
      </c>
      <c r="K283" s="3" t="str">
        <f>VLOOKUP(Table2[[#This Row],[Konto]],Table5[[Konto]:[Konto nimetus]],2,FALSE)</f>
        <v>Kinnistute, hoonete ja ruumide majandamiskulud</v>
      </c>
      <c r="L283">
        <v>55</v>
      </c>
      <c r="M283" t="str">
        <f t="shared" si="9"/>
        <v>55</v>
      </c>
      <c r="N283" s="3" t="str">
        <f>VLOOKUP(Table2[[#This Row],[Tulu/kulu liik2]],Table5[[Tulu/kulu liik]:[Kontode koondnimetus]],4,FALSE)</f>
        <v>Muud tegevuskulud</v>
      </c>
      <c r="O283" s="3" t="str">
        <f>VLOOKUP(Table2[[#This Row],[Tulu/kulu liik2]],Table5[],6,FALSE)</f>
        <v>Majandamiskulud</v>
      </c>
      <c r="P283" s="3" t="str">
        <f>VLOOKUP(Table2[[#This Row],[Tulu/kulu liik2]],Table5[],5,FALSE)</f>
        <v>Põhitegevuse kulu</v>
      </c>
    </row>
    <row r="284" spans="1:16" x14ac:dyDescent="0.25">
      <c r="A284" t="str">
        <f t="shared" si="8"/>
        <v>06</v>
      </c>
      <c r="B284" t="s">
        <v>265</v>
      </c>
      <c r="C284" s="3" t="str">
        <f>VLOOKUP(Table2[[#This Row],[Tegevusala]],Table4[],2,FALSE)</f>
        <v xml:space="preserve"> Saunad</v>
      </c>
      <c r="D284" s="3" t="str">
        <f>VLOOKUP(Table2[[#This Row],[Tegevusala]],Table4[[Tegevusala kood]:[Tegevusala alanimetus]],4,FALSE)</f>
        <v>Muu elamu- ja kommunaalmajanduse tegevus</v>
      </c>
      <c r="E284" s="3" t="str">
        <f>VLOOKUP(Table2[[#This Row],[Tegevusala nimetus2]],Table4[[Tegevusala nimetus]:[Tegevusala koondnimetus]],2,FALSE)</f>
        <v>Elamu- ja kommunaalmajandus</v>
      </c>
      <c r="F284" s="14" t="s">
        <v>1023</v>
      </c>
      <c r="G284" t="s">
        <v>978</v>
      </c>
      <c r="H284" s="40">
        <v>225</v>
      </c>
      <c r="J284">
        <v>5511</v>
      </c>
      <c r="K284" s="3" t="str">
        <f>VLOOKUP(Table2[[#This Row],[Konto]],Table5[[Konto]:[Konto nimetus]],2,FALSE)</f>
        <v>Kinnistute, hoonete ja ruumide majandamiskulud</v>
      </c>
      <c r="L284">
        <v>55</v>
      </c>
      <c r="M284" t="str">
        <f t="shared" si="9"/>
        <v>55</v>
      </c>
      <c r="N284" s="3" t="str">
        <f>VLOOKUP(Table2[[#This Row],[Tulu/kulu liik2]],Table5[[Tulu/kulu liik]:[Kontode koondnimetus]],4,FALSE)</f>
        <v>Muud tegevuskulud</v>
      </c>
      <c r="O284" s="3" t="str">
        <f>VLOOKUP(Table2[[#This Row],[Tulu/kulu liik2]],Table5[],6,FALSE)</f>
        <v>Majandamiskulud</v>
      </c>
      <c r="P284" s="3" t="str">
        <f>VLOOKUP(Table2[[#This Row],[Tulu/kulu liik2]],Table5[],5,FALSE)</f>
        <v>Põhitegevuse kulu</v>
      </c>
    </row>
    <row r="285" spans="1:16" x14ac:dyDescent="0.25">
      <c r="A285" t="str">
        <f t="shared" si="8"/>
        <v>06</v>
      </c>
      <c r="B285" t="s">
        <v>267</v>
      </c>
      <c r="C285" s="3" t="str">
        <f>VLOOKUP(Table2[[#This Row],[Tegevusala]],Table4[],2,FALSE)</f>
        <v xml:space="preserve"> Kalmistud</v>
      </c>
      <c r="D285" s="3" t="str">
        <f>VLOOKUP(Table2[[#This Row],[Tegevusala]],Table4[[Tegevusala kood]:[Tegevusala alanimetus]],4,FALSE)</f>
        <v>Muu elamu- ja kommunaalmajanduse tegevus</v>
      </c>
      <c r="E285" s="3" t="str">
        <f>VLOOKUP(Table2[[#This Row],[Tegevusala nimetus2]],Table4[[Tegevusala nimetus]:[Tegevusala koondnimetus]],2,FALSE)</f>
        <v>Elamu- ja kommunaalmajandus</v>
      </c>
      <c r="F285" s="14" t="s">
        <v>1023</v>
      </c>
      <c r="G285" t="s">
        <v>1029</v>
      </c>
      <c r="H285" s="40">
        <v>624</v>
      </c>
      <c r="I285" s="2" t="s">
        <v>1030</v>
      </c>
      <c r="J285">
        <v>5511</v>
      </c>
      <c r="K285" s="3" t="str">
        <f>VLOOKUP(Table2[[#This Row],[Konto]],Table5[[Konto]:[Konto nimetus]],2,FALSE)</f>
        <v>Kinnistute, hoonete ja ruumide majandamiskulud</v>
      </c>
      <c r="L285">
        <v>55</v>
      </c>
      <c r="M285" t="str">
        <f t="shared" si="9"/>
        <v>55</v>
      </c>
      <c r="N285" s="3" t="str">
        <f>VLOOKUP(Table2[[#This Row],[Tulu/kulu liik2]],Table5[[Tulu/kulu liik]:[Kontode koondnimetus]],4,FALSE)</f>
        <v>Muud tegevuskulud</v>
      </c>
      <c r="O285" s="3" t="str">
        <f>VLOOKUP(Table2[[#This Row],[Tulu/kulu liik2]],Table5[],6,FALSE)</f>
        <v>Majandamiskulud</v>
      </c>
      <c r="P285" s="3" t="str">
        <f>VLOOKUP(Table2[[#This Row],[Tulu/kulu liik2]],Table5[],5,FALSE)</f>
        <v>Põhitegevuse kulu</v>
      </c>
    </row>
    <row r="286" spans="1:16" x14ac:dyDescent="0.25">
      <c r="A286" t="str">
        <f t="shared" si="8"/>
        <v>06</v>
      </c>
      <c r="B286" t="s">
        <v>267</v>
      </c>
      <c r="C286" s="3" t="str">
        <f>VLOOKUP(Table2[[#This Row],[Tegevusala]],Table4[],2,FALSE)</f>
        <v xml:space="preserve"> Kalmistud</v>
      </c>
      <c r="D286" s="3" t="str">
        <f>VLOOKUP(Table2[[#This Row],[Tegevusala]],Table4[[Tegevusala kood]:[Tegevusala alanimetus]],4,FALSE)</f>
        <v>Muu elamu- ja kommunaalmajanduse tegevus</v>
      </c>
      <c r="E286" s="3" t="str">
        <f>VLOOKUP(Table2[[#This Row],[Tegevusala nimetus2]],Table4[[Tegevusala nimetus]:[Tegevusala koondnimetus]],2,FALSE)</f>
        <v>Elamu- ja kommunaalmajandus</v>
      </c>
      <c r="F286" s="14" t="s">
        <v>1023</v>
      </c>
      <c r="G286" t="s">
        <v>971</v>
      </c>
      <c r="H286" s="40">
        <v>3000</v>
      </c>
      <c r="J286">
        <v>5511</v>
      </c>
      <c r="K286" s="3" t="str">
        <f>VLOOKUP(Table2[[#This Row],[Konto]],Table5[[Konto]:[Konto nimetus]],2,FALSE)</f>
        <v>Kinnistute, hoonete ja ruumide majandamiskulud</v>
      </c>
      <c r="L286">
        <v>55</v>
      </c>
      <c r="M286" t="str">
        <f t="shared" si="9"/>
        <v>55</v>
      </c>
      <c r="N286" s="3" t="str">
        <f>VLOOKUP(Table2[[#This Row],[Tulu/kulu liik2]],Table5[[Tulu/kulu liik]:[Kontode koondnimetus]],4,FALSE)</f>
        <v>Muud tegevuskulud</v>
      </c>
      <c r="O286" s="3" t="str">
        <f>VLOOKUP(Table2[[#This Row],[Tulu/kulu liik2]],Table5[],6,FALSE)</f>
        <v>Majandamiskulud</v>
      </c>
      <c r="P286" s="3" t="str">
        <f>VLOOKUP(Table2[[#This Row],[Tulu/kulu liik2]],Table5[],5,FALSE)</f>
        <v>Põhitegevuse kulu</v>
      </c>
    </row>
    <row r="287" spans="1:16" x14ac:dyDescent="0.25">
      <c r="A287" t="str">
        <f t="shared" si="8"/>
        <v>06</v>
      </c>
      <c r="B287" t="s">
        <v>267</v>
      </c>
      <c r="C287" s="3" t="str">
        <f>VLOOKUP(Table2[[#This Row],[Tegevusala]],Table4[],2,FALSE)</f>
        <v xml:space="preserve"> Kalmistud</v>
      </c>
      <c r="D287" s="3" t="str">
        <f>VLOOKUP(Table2[[#This Row],[Tegevusala]],Table4[[Tegevusala kood]:[Tegevusala alanimetus]],4,FALSE)</f>
        <v>Muu elamu- ja kommunaalmajanduse tegevus</v>
      </c>
      <c r="E287" s="3" t="str">
        <f>VLOOKUP(Table2[[#This Row],[Tegevusala nimetus2]],Table4[[Tegevusala nimetus]:[Tegevusala koondnimetus]],2,FALSE)</f>
        <v>Elamu- ja kommunaalmajandus</v>
      </c>
      <c r="F287" s="14" t="s">
        <v>1023</v>
      </c>
      <c r="G287" t="s">
        <v>995</v>
      </c>
      <c r="H287" s="40">
        <v>411</v>
      </c>
      <c r="I287" s="2" t="s">
        <v>1031</v>
      </c>
      <c r="J287">
        <v>5511</v>
      </c>
      <c r="K287" s="3" t="str">
        <f>VLOOKUP(Table2[[#This Row],[Konto]],Table5[[Konto]:[Konto nimetus]],2,FALSE)</f>
        <v>Kinnistute, hoonete ja ruumide majandamiskulud</v>
      </c>
      <c r="L287">
        <v>55</v>
      </c>
      <c r="M287" t="str">
        <f t="shared" si="9"/>
        <v>55</v>
      </c>
      <c r="N287" s="3" t="str">
        <f>VLOOKUP(Table2[[#This Row],[Tulu/kulu liik2]],Table5[[Tulu/kulu liik]:[Kontode koondnimetus]],4,FALSE)</f>
        <v>Muud tegevuskulud</v>
      </c>
      <c r="O287" s="3" t="str">
        <f>VLOOKUP(Table2[[#This Row],[Tulu/kulu liik2]],Table5[],6,FALSE)</f>
        <v>Majandamiskulud</v>
      </c>
      <c r="P287" s="3" t="str">
        <f>VLOOKUP(Table2[[#This Row],[Tulu/kulu liik2]],Table5[],5,FALSE)</f>
        <v>Põhitegevuse kulu</v>
      </c>
    </row>
    <row r="288" spans="1:16" x14ac:dyDescent="0.25">
      <c r="A288" t="str">
        <f t="shared" si="8"/>
        <v>06</v>
      </c>
      <c r="B288" t="s">
        <v>267</v>
      </c>
      <c r="C288" s="3" t="str">
        <f>VLOOKUP(Table2[[#This Row],[Tegevusala]],Table4[],2,FALSE)</f>
        <v xml:space="preserve"> Kalmistud</v>
      </c>
      <c r="D288" s="3" t="str">
        <f>VLOOKUP(Table2[[#This Row],[Tegevusala]],Table4[[Tegevusala kood]:[Tegevusala alanimetus]],4,FALSE)</f>
        <v>Muu elamu- ja kommunaalmajanduse tegevus</v>
      </c>
      <c r="E288" s="3" t="str">
        <f>VLOOKUP(Table2[[#This Row],[Tegevusala nimetus2]],Table4[[Tegevusala nimetus]:[Tegevusala koondnimetus]],2,FALSE)</f>
        <v>Elamu- ja kommunaalmajandus</v>
      </c>
      <c r="F288" s="14" t="s">
        <v>1023</v>
      </c>
      <c r="G288" t="s">
        <v>1032</v>
      </c>
      <c r="H288" s="40">
        <v>1000</v>
      </c>
      <c r="J288">
        <v>5511</v>
      </c>
      <c r="K288" s="3" t="str">
        <f>VLOOKUP(Table2[[#This Row],[Konto]],Table5[[Konto]:[Konto nimetus]],2,FALSE)</f>
        <v>Kinnistute, hoonete ja ruumide majandamiskulud</v>
      </c>
      <c r="L288">
        <v>55</v>
      </c>
      <c r="M288" t="str">
        <f t="shared" si="9"/>
        <v>55</v>
      </c>
      <c r="N288" s="3" t="str">
        <f>VLOOKUP(Table2[[#This Row],[Tulu/kulu liik2]],Table5[[Tulu/kulu liik]:[Kontode koondnimetus]],4,FALSE)</f>
        <v>Muud tegevuskulud</v>
      </c>
      <c r="O288" s="3" t="str">
        <f>VLOOKUP(Table2[[#This Row],[Tulu/kulu liik2]],Table5[],6,FALSE)</f>
        <v>Majandamiskulud</v>
      </c>
      <c r="P288" s="3" t="str">
        <f>VLOOKUP(Table2[[#This Row],[Tulu/kulu liik2]],Table5[],5,FALSE)</f>
        <v>Põhitegevuse kulu</v>
      </c>
    </row>
    <row r="289" spans="1:16" x14ac:dyDescent="0.25">
      <c r="A289" t="str">
        <f t="shared" si="8"/>
        <v>06</v>
      </c>
      <c r="B289" t="s">
        <v>267</v>
      </c>
      <c r="C289" s="3" t="str">
        <f>VLOOKUP(Table2[[#This Row],[Tegevusala]],Table4[],2,FALSE)</f>
        <v xml:space="preserve"> Kalmistud</v>
      </c>
      <c r="D289" s="3" t="str">
        <f>VLOOKUP(Table2[[#This Row],[Tegevusala]],Table4[[Tegevusala kood]:[Tegevusala alanimetus]],4,FALSE)</f>
        <v>Muu elamu- ja kommunaalmajanduse tegevus</v>
      </c>
      <c r="E289" s="3" t="str">
        <f>VLOOKUP(Table2[[#This Row],[Tegevusala nimetus2]],Table4[[Tegevusala nimetus]:[Tegevusala koondnimetus]],2,FALSE)</f>
        <v>Elamu- ja kommunaalmajandus</v>
      </c>
      <c r="F289" s="14" t="s">
        <v>1023</v>
      </c>
      <c r="G289" t="s">
        <v>1033</v>
      </c>
      <c r="H289" s="40">
        <v>2400</v>
      </c>
      <c r="J289">
        <v>5511</v>
      </c>
      <c r="K289" s="3" t="str">
        <f>VLOOKUP(Table2[[#This Row],[Konto]],Table5[[Konto]:[Konto nimetus]],2,FALSE)</f>
        <v>Kinnistute, hoonete ja ruumide majandamiskulud</v>
      </c>
      <c r="L289">
        <v>55</v>
      </c>
      <c r="M289" t="str">
        <f t="shared" si="9"/>
        <v>55</v>
      </c>
      <c r="N289" s="3" t="str">
        <f>VLOOKUP(Table2[[#This Row],[Tulu/kulu liik2]],Table5[[Tulu/kulu liik]:[Kontode koondnimetus]],4,FALSE)</f>
        <v>Muud tegevuskulud</v>
      </c>
      <c r="O289" s="3" t="str">
        <f>VLOOKUP(Table2[[#This Row],[Tulu/kulu liik2]],Table5[],6,FALSE)</f>
        <v>Majandamiskulud</v>
      </c>
      <c r="P289" s="3" t="str">
        <f>VLOOKUP(Table2[[#This Row],[Tulu/kulu liik2]],Table5[],5,FALSE)</f>
        <v>Põhitegevuse kulu</v>
      </c>
    </row>
    <row r="290" spans="1:16" x14ac:dyDescent="0.25">
      <c r="A290" t="str">
        <f t="shared" si="8"/>
        <v>06</v>
      </c>
      <c r="B290" t="s">
        <v>267</v>
      </c>
      <c r="C290" s="3" t="str">
        <f>VLOOKUP(Table2[[#This Row],[Tegevusala]],Table4[],2,FALSE)</f>
        <v xml:space="preserve"> Kalmistud</v>
      </c>
      <c r="D290" s="3" t="str">
        <f>VLOOKUP(Table2[[#This Row],[Tegevusala]],Table4[[Tegevusala kood]:[Tegevusala alanimetus]],4,FALSE)</f>
        <v>Muu elamu- ja kommunaalmajanduse tegevus</v>
      </c>
      <c r="E290" s="3" t="str">
        <f>VLOOKUP(Table2[[#This Row],[Tegevusala nimetus2]],Table4[[Tegevusala nimetus]:[Tegevusala koondnimetus]],2,FALSE)</f>
        <v>Elamu- ja kommunaalmajandus</v>
      </c>
      <c r="F290" s="14" t="s">
        <v>1023</v>
      </c>
      <c r="G290" t="s">
        <v>1034</v>
      </c>
      <c r="H290" s="40">
        <v>2556.48</v>
      </c>
      <c r="J290">
        <v>5511</v>
      </c>
      <c r="K290" s="3" t="str">
        <f>VLOOKUP(Table2[[#This Row],[Konto]],Table5[[Konto]:[Konto nimetus]],2,FALSE)</f>
        <v>Kinnistute, hoonete ja ruumide majandamiskulud</v>
      </c>
      <c r="L290">
        <v>55</v>
      </c>
      <c r="M290" t="str">
        <f t="shared" si="9"/>
        <v>55</v>
      </c>
      <c r="N290" s="3" t="str">
        <f>VLOOKUP(Table2[[#This Row],[Tulu/kulu liik2]],Table5[[Tulu/kulu liik]:[Kontode koondnimetus]],4,FALSE)</f>
        <v>Muud tegevuskulud</v>
      </c>
      <c r="O290" s="3" t="str">
        <f>VLOOKUP(Table2[[#This Row],[Tulu/kulu liik2]],Table5[],6,FALSE)</f>
        <v>Majandamiskulud</v>
      </c>
      <c r="P290" s="3" t="str">
        <f>VLOOKUP(Table2[[#This Row],[Tulu/kulu liik2]],Table5[],5,FALSE)</f>
        <v>Põhitegevuse kulu</v>
      </c>
    </row>
    <row r="291" spans="1:16" x14ac:dyDescent="0.25">
      <c r="A291" t="str">
        <f t="shared" si="8"/>
        <v>06</v>
      </c>
      <c r="B291" t="s">
        <v>267</v>
      </c>
      <c r="C291" s="3" t="str">
        <f>VLOOKUP(Table2[[#This Row],[Tegevusala]],Table4[],2,FALSE)</f>
        <v xml:space="preserve"> Kalmistud</v>
      </c>
      <c r="D291" s="3" t="str">
        <f>VLOOKUP(Table2[[#This Row],[Tegevusala]],Table4[[Tegevusala kood]:[Tegevusala alanimetus]],4,FALSE)</f>
        <v>Muu elamu- ja kommunaalmajanduse tegevus</v>
      </c>
      <c r="E291" s="3" t="str">
        <f>VLOOKUP(Table2[[#This Row],[Tegevusala nimetus2]],Table4[[Tegevusala nimetus]:[Tegevusala koondnimetus]],2,FALSE)</f>
        <v>Elamu- ja kommunaalmajandus</v>
      </c>
      <c r="F291" s="14" t="s">
        <v>1023</v>
      </c>
      <c r="G291" t="s">
        <v>966</v>
      </c>
      <c r="H291" s="40">
        <v>500</v>
      </c>
      <c r="I291" s="2" t="s">
        <v>1035</v>
      </c>
      <c r="J291">
        <v>5511</v>
      </c>
      <c r="K291" s="3" t="str">
        <f>VLOOKUP(Table2[[#This Row],[Konto]],Table5[[Konto]:[Konto nimetus]],2,FALSE)</f>
        <v>Kinnistute, hoonete ja ruumide majandamiskulud</v>
      </c>
      <c r="L291">
        <v>55</v>
      </c>
      <c r="M291" t="str">
        <f t="shared" si="9"/>
        <v>55</v>
      </c>
      <c r="N291" s="3" t="str">
        <f>VLOOKUP(Table2[[#This Row],[Tulu/kulu liik2]],Table5[[Tulu/kulu liik]:[Kontode koondnimetus]],4,FALSE)</f>
        <v>Muud tegevuskulud</v>
      </c>
      <c r="O291" s="3" t="str">
        <f>VLOOKUP(Table2[[#This Row],[Tulu/kulu liik2]],Table5[],6,FALSE)</f>
        <v>Majandamiskulud</v>
      </c>
      <c r="P291" s="3" t="str">
        <f>VLOOKUP(Table2[[#This Row],[Tulu/kulu liik2]],Table5[],5,FALSE)</f>
        <v>Põhitegevuse kulu</v>
      </c>
    </row>
    <row r="292" spans="1:16" x14ac:dyDescent="0.25">
      <c r="A292" t="str">
        <f t="shared" si="8"/>
        <v>06</v>
      </c>
      <c r="B292" t="s">
        <v>267</v>
      </c>
      <c r="C292" s="3" t="str">
        <f>VLOOKUP(Table2[[#This Row],[Tegevusala]],Table4[],2,FALSE)</f>
        <v xml:space="preserve"> Kalmistud</v>
      </c>
      <c r="D292" s="3" t="str">
        <f>VLOOKUP(Table2[[#This Row],[Tegevusala]],Table4[[Tegevusala kood]:[Tegevusala alanimetus]],4,FALSE)</f>
        <v>Muu elamu- ja kommunaalmajanduse tegevus</v>
      </c>
      <c r="E292" s="3" t="str">
        <f>VLOOKUP(Table2[[#This Row],[Tegevusala nimetus2]],Table4[[Tegevusala nimetus]:[Tegevusala koondnimetus]],2,FALSE)</f>
        <v>Elamu- ja kommunaalmajandus</v>
      </c>
      <c r="F292" s="14" t="s">
        <v>1023</v>
      </c>
      <c r="G292" t="s">
        <v>1036</v>
      </c>
      <c r="H292" s="40">
        <v>6000</v>
      </c>
      <c r="I292" s="2" t="s">
        <v>1037</v>
      </c>
      <c r="J292">
        <v>5511</v>
      </c>
      <c r="K292" s="3" t="str">
        <f>VLOOKUP(Table2[[#This Row],[Konto]],Table5[[Konto]:[Konto nimetus]],2,FALSE)</f>
        <v>Kinnistute, hoonete ja ruumide majandamiskulud</v>
      </c>
      <c r="L292">
        <v>55</v>
      </c>
      <c r="M292" t="str">
        <f t="shared" si="9"/>
        <v>55</v>
      </c>
      <c r="N292" s="3" t="str">
        <f>VLOOKUP(Table2[[#This Row],[Tulu/kulu liik2]],Table5[[Tulu/kulu liik]:[Kontode koondnimetus]],4,FALSE)</f>
        <v>Muud tegevuskulud</v>
      </c>
      <c r="O292" s="3" t="str">
        <f>VLOOKUP(Table2[[#This Row],[Tulu/kulu liik2]],Table5[],6,FALSE)</f>
        <v>Majandamiskulud</v>
      </c>
      <c r="P292" s="3" t="str">
        <f>VLOOKUP(Table2[[#This Row],[Tulu/kulu liik2]],Table5[],5,FALSE)</f>
        <v>Põhitegevuse kulu</v>
      </c>
    </row>
    <row r="293" spans="1:16" x14ac:dyDescent="0.25">
      <c r="A293" t="str">
        <f t="shared" si="8"/>
        <v>06</v>
      </c>
      <c r="B293" t="s">
        <v>267</v>
      </c>
      <c r="C293" s="3" t="str">
        <f>VLOOKUP(Table2[[#This Row],[Tegevusala]],Table4[],2,FALSE)</f>
        <v xml:space="preserve"> Kalmistud</v>
      </c>
      <c r="D293" s="3" t="str">
        <f>VLOOKUP(Table2[[#This Row],[Tegevusala]],Table4[[Tegevusala kood]:[Tegevusala alanimetus]],4,FALSE)</f>
        <v>Muu elamu- ja kommunaalmajanduse tegevus</v>
      </c>
      <c r="E293" s="3" t="str">
        <f>VLOOKUP(Table2[[#This Row],[Tegevusala nimetus2]],Table4[[Tegevusala nimetus]:[Tegevusala koondnimetus]],2,FALSE)</f>
        <v>Elamu- ja kommunaalmajandus</v>
      </c>
      <c r="F293" s="14" t="s">
        <v>1023</v>
      </c>
      <c r="G293" t="s">
        <v>1038</v>
      </c>
      <c r="H293" s="40">
        <v>6000</v>
      </c>
      <c r="I293" s="2" t="s">
        <v>1030</v>
      </c>
      <c r="J293">
        <v>5511</v>
      </c>
      <c r="K293" s="3" t="str">
        <f>VLOOKUP(Table2[[#This Row],[Konto]],Table5[[Konto]:[Konto nimetus]],2,FALSE)</f>
        <v>Kinnistute, hoonete ja ruumide majandamiskulud</v>
      </c>
      <c r="L293">
        <v>55</v>
      </c>
      <c r="M293" t="str">
        <f t="shared" si="9"/>
        <v>55</v>
      </c>
      <c r="N293" s="3" t="str">
        <f>VLOOKUP(Table2[[#This Row],[Tulu/kulu liik2]],Table5[[Tulu/kulu liik]:[Kontode koondnimetus]],4,FALSE)</f>
        <v>Muud tegevuskulud</v>
      </c>
      <c r="O293" s="3" t="str">
        <f>VLOOKUP(Table2[[#This Row],[Tulu/kulu liik2]],Table5[],6,FALSE)</f>
        <v>Majandamiskulud</v>
      </c>
      <c r="P293" s="3" t="str">
        <f>VLOOKUP(Table2[[#This Row],[Tulu/kulu liik2]],Table5[],5,FALSE)</f>
        <v>Põhitegevuse kulu</v>
      </c>
    </row>
    <row r="294" spans="1:16" x14ac:dyDescent="0.25">
      <c r="A294" t="str">
        <f t="shared" si="8"/>
        <v>06</v>
      </c>
      <c r="B294" t="s">
        <v>267</v>
      </c>
      <c r="C294" s="3" t="str">
        <f>VLOOKUP(Table2[[#This Row],[Tegevusala]],Table4[],2,FALSE)</f>
        <v xml:space="preserve"> Kalmistud</v>
      </c>
      <c r="D294" s="3" t="str">
        <f>VLOOKUP(Table2[[#This Row],[Tegevusala]],Table4[[Tegevusala kood]:[Tegevusala alanimetus]],4,FALSE)</f>
        <v>Muu elamu- ja kommunaalmajanduse tegevus</v>
      </c>
      <c r="E294" s="3" t="str">
        <f>VLOOKUP(Table2[[#This Row],[Tegevusala nimetus2]],Table4[[Tegevusala nimetus]:[Tegevusala koondnimetus]],2,FALSE)</f>
        <v>Elamu- ja kommunaalmajandus</v>
      </c>
      <c r="F294" s="14" t="s">
        <v>1023</v>
      </c>
      <c r="G294" t="s">
        <v>1039</v>
      </c>
      <c r="H294" s="40">
        <v>500</v>
      </c>
      <c r="I294" s="2" t="s">
        <v>1040</v>
      </c>
      <c r="J294">
        <v>5511</v>
      </c>
      <c r="K294" s="3" t="str">
        <f>VLOOKUP(Table2[[#This Row],[Konto]],Table5[[Konto]:[Konto nimetus]],2,FALSE)</f>
        <v>Kinnistute, hoonete ja ruumide majandamiskulud</v>
      </c>
      <c r="L294">
        <v>55</v>
      </c>
      <c r="M294" t="str">
        <f t="shared" si="9"/>
        <v>55</v>
      </c>
      <c r="N294" s="3" t="str">
        <f>VLOOKUP(Table2[[#This Row],[Tulu/kulu liik2]],Table5[[Tulu/kulu liik]:[Kontode koondnimetus]],4,FALSE)</f>
        <v>Muud tegevuskulud</v>
      </c>
      <c r="O294" s="3" t="str">
        <f>VLOOKUP(Table2[[#This Row],[Tulu/kulu liik2]],Table5[],6,FALSE)</f>
        <v>Majandamiskulud</v>
      </c>
      <c r="P294" s="3" t="str">
        <f>VLOOKUP(Table2[[#This Row],[Tulu/kulu liik2]],Table5[],5,FALSE)</f>
        <v>Põhitegevuse kulu</v>
      </c>
    </row>
    <row r="295" spans="1:16" x14ac:dyDescent="0.25">
      <c r="A295" s="78" t="str">
        <f t="shared" si="8"/>
        <v>06</v>
      </c>
      <c r="B295" s="78" t="s">
        <v>267</v>
      </c>
      <c r="C295" s="80" t="str">
        <f>VLOOKUP(Table2[[#This Row],[Tegevusala]],Table4[],2,FALSE)</f>
        <v xml:space="preserve"> Kalmistud</v>
      </c>
      <c r="D295" s="80" t="str">
        <f>VLOOKUP(Table2[[#This Row],[Tegevusala]],Table4[[Tegevusala kood]:[Tegevusala alanimetus]],4,FALSE)</f>
        <v>Muu elamu- ja kommunaalmajanduse tegevus</v>
      </c>
      <c r="E295" s="80" t="str">
        <f>VLOOKUP(Table2[[#This Row],[Tegevusala nimetus2]],Table4[[Tegevusala nimetus]:[Tegevusala koondnimetus]],2,FALSE)</f>
        <v>Elamu- ja kommunaalmajandus</v>
      </c>
      <c r="F295" s="78" t="s">
        <v>1023</v>
      </c>
      <c r="G295" s="78" t="s">
        <v>1024</v>
      </c>
      <c r="H295" s="79">
        <v>2000</v>
      </c>
      <c r="I295" s="81"/>
      <c r="J295" s="78">
        <v>5511</v>
      </c>
      <c r="K295" s="80" t="str">
        <f>VLOOKUP(Table2[[#This Row],[Konto]],Table5[[Konto]:[Konto nimetus]],2,FALSE)</f>
        <v>Kinnistute, hoonete ja ruumide majandamiskulud</v>
      </c>
      <c r="L295" s="78">
        <v>55</v>
      </c>
      <c r="M295" s="78" t="str">
        <f t="shared" si="9"/>
        <v>55</v>
      </c>
      <c r="N295" s="80" t="str">
        <f>VLOOKUP(Table2[[#This Row],[Tulu/kulu liik2]],Table5[[Tulu/kulu liik]:[Kontode koondnimetus]],4,FALSE)</f>
        <v>Muud tegevuskulud</v>
      </c>
      <c r="O295" s="80" t="str">
        <f>VLOOKUP(Table2[[#This Row],[Tulu/kulu liik2]],Table5[],6,FALSE)</f>
        <v>Majandamiskulud</v>
      </c>
      <c r="P295" s="80" t="str">
        <f>VLOOKUP(Table2[[#This Row],[Tulu/kulu liik2]],Table5[],5,FALSE)</f>
        <v>Põhitegevuse kulu</v>
      </c>
    </row>
    <row r="296" spans="1:16" x14ac:dyDescent="0.25">
      <c r="A296" s="78" t="str">
        <f t="shared" si="8"/>
        <v>06</v>
      </c>
      <c r="B296" s="78" t="s">
        <v>267</v>
      </c>
      <c r="C296" s="80" t="str">
        <f>VLOOKUP(Table2[[#This Row],[Tegevusala]],Table4[],2,FALSE)</f>
        <v xml:space="preserve"> Kalmistud</v>
      </c>
      <c r="D296" s="80" t="str">
        <f>VLOOKUP(Table2[[#This Row],[Tegevusala]],Table4[[Tegevusala kood]:[Tegevusala alanimetus]],4,FALSE)</f>
        <v>Muu elamu- ja kommunaalmajanduse tegevus</v>
      </c>
      <c r="E296" s="80" t="str">
        <f>VLOOKUP(Table2[[#This Row],[Tegevusala nimetus2]],Table4[[Tegevusala nimetus]:[Tegevusala koondnimetus]],2,FALSE)</f>
        <v>Elamu- ja kommunaalmajandus</v>
      </c>
      <c r="F296" s="78" t="s">
        <v>1023</v>
      </c>
      <c r="G296" s="78" t="s">
        <v>1025</v>
      </c>
      <c r="H296" s="79">
        <v>10000</v>
      </c>
      <c r="I296" s="81"/>
      <c r="J296" s="78">
        <v>5512</v>
      </c>
      <c r="K296" s="80" t="str">
        <f>VLOOKUP(Table2[[#This Row],[Konto]],Table5[[Konto]:[Konto nimetus]],2,FALSE)</f>
        <v>Rajatiste majandamiskulud</v>
      </c>
      <c r="L296" s="78">
        <v>55</v>
      </c>
      <c r="M296" s="78" t="str">
        <f t="shared" si="9"/>
        <v>55</v>
      </c>
      <c r="N296" s="80" t="str">
        <f>VLOOKUP(Table2[[#This Row],[Tulu/kulu liik2]],Table5[[Tulu/kulu liik]:[Kontode koondnimetus]],4,FALSE)</f>
        <v>Muud tegevuskulud</v>
      </c>
      <c r="O296" s="80" t="str">
        <f>VLOOKUP(Table2[[#This Row],[Tulu/kulu liik2]],Table5[],6,FALSE)</f>
        <v>Majandamiskulud</v>
      </c>
      <c r="P296" s="80" t="str">
        <f>VLOOKUP(Table2[[#This Row],[Tulu/kulu liik2]],Table5[],5,FALSE)</f>
        <v>Põhitegevuse kulu</v>
      </c>
    </row>
    <row r="297" spans="1:16" x14ac:dyDescent="0.25">
      <c r="A297" s="33" t="str">
        <f t="shared" si="8"/>
        <v>06</v>
      </c>
      <c r="B297" s="33" t="s">
        <v>269</v>
      </c>
      <c r="C297" s="34" t="str">
        <f>VLOOKUP(Table2[[#This Row],[Tegevusala]],Table4[],2,FALSE)</f>
        <v xml:space="preserve"> Hulkuvad loomad</v>
      </c>
      <c r="D297" s="34" t="str">
        <f>VLOOKUP(Table2[[#This Row],[Tegevusala]],Table4[[Tegevusala kood]:[Tegevusala alanimetus]],4,FALSE)</f>
        <v>Muu elamu- ja kommunaalmajanduse tegevus</v>
      </c>
      <c r="E297" s="34" t="str">
        <f>VLOOKUP(Table2[[#This Row],[Tegevusala nimetus2]],Table4[[Tegevusala nimetus]:[Tegevusala koondnimetus]],2,FALSE)</f>
        <v>Elamu- ja kommunaalmajandus</v>
      </c>
      <c r="F297" s="33" t="s">
        <v>1043</v>
      </c>
      <c r="G297" s="33" t="s">
        <v>1953</v>
      </c>
      <c r="H297" s="47">
        <v>9000</v>
      </c>
      <c r="I297" s="35"/>
      <c r="J297" s="33">
        <v>5511</v>
      </c>
      <c r="K297" s="34" t="str">
        <f>VLOOKUP(Table2[[#This Row],[Konto]],Table5[[Konto]:[Konto nimetus]],2,FALSE)</f>
        <v>Kinnistute, hoonete ja ruumide majandamiskulud</v>
      </c>
      <c r="L297" s="33">
        <v>55</v>
      </c>
      <c r="M297" s="33" t="str">
        <f t="shared" si="9"/>
        <v>55</v>
      </c>
      <c r="N297" s="34" t="str">
        <f>VLOOKUP(Table2[[#This Row],[Tulu/kulu liik2]],Table5[[Tulu/kulu liik]:[Kontode koondnimetus]],4,FALSE)</f>
        <v>Muud tegevuskulud</v>
      </c>
      <c r="O297" s="34" t="str">
        <f>VLOOKUP(Table2[[#This Row],[Tulu/kulu liik2]],Table5[],6,FALSE)</f>
        <v>Majandamiskulud</v>
      </c>
      <c r="P297" s="34" t="str">
        <f>VLOOKUP(Table2[[#This Row],[Tulu/kulu liik2]],Table5[],5,FALSE)</f>
        <v>Põhitegevuse kulu</v>
      </c>
    </row>
    <row r="298" spans="1:16" x14ac:dyDescent="0.25">
      <c r="A298" t="str">
        <f t="shared" si="8"/>
        <v>06</v>
      </c>
      <c r="B298" t="s">
        <v>269</v>
      </c>
      <c r="C298" s="3" t="str">
        <f>VLOOKUP(Table2[[#This Row],[Tegevusala]],Table4[],2,FALSE)</f>
        <v xml:space="preserve"> Hulkuvad loomad</v>
      </c>
      <c r="D298" s="3" t="str">
        <f>VLOOKUP(Table2[[#This Row],[Tegevusala]],Table4[[Tegevusala kood]:[Tegevusala alanimetus]],4,FALSE)</f>
        <v>Muu elamu- ja kommunaalmajanduse tegevus</v>
      </c>
      <c r="E298" s="3" t="str">
        <f>VLOOKUP(Table2[[#This Row],[Tegevusala nimetus2]],Table4[[Tegevusala nimetus]:[Tegevusala koondnimetus]],2,FALSE)</f>
        <v>Elamu- ja kommunaalmajandus</v>
      </c>
      <c r="F298" t="s">
        <v>1043</v>
      </c>
      <c r="G298" t="s">
        <v>1916</v>
      </c>
      <c r="H298" s="40">
        <v>837.6</v>
      </c>
      <c r="J298">
        <v>5511</v>
      </c>
      <c r="K298" s="3" t="str">
        <f>VLOOKUP(Table2[[#This Row],[Konto]],Table5[[Konto]:[Konto nimetus]],2,FALSE)</f>
        <v>Kinnistute, hoonete ja ruumide majandamiskulud</v>
      </c>
      <c r="L298">
        <v>55</v>
      </c>
      <c r="M298" t="str">
        <f t="shared" si="9"/>
        <v>55</v>
      </c>
      <c r="N298" s="3" t="str">
        <f>VLOOKUP(Table2[[#This Row],[Tulu/kulu liik2]],Table5[[Tulu/kulu liik]:[Kontode koondnimetus]],4,FALSE)</f>
        <v>Muud tegevuskulud</v>
      </c>
      <c r="O298" s="3" t="str">
        <f>VLOOKUP(Table2[[#This Row],[Tulu/kulu liik2]],Table5[],6,FALSE)</f>
        <v>Majandamiskulud</v>
      </c>
      <c r="P298" s="3" t="str">
        <f>VLOOKUP(Table2[[#This Row],[Tulu/kulu liik2]],Table5[],5,FALSE)</f>
        <v>Põhitegevuse kulu</v>
      </c>
    </row>
    <row r="299" spans="1:16" x14ac:dyDescent="0.25">
      <c r="A299" t="str">
        <f t="shared" si="8"/>
        <v>06</v>
      </c>
      <c r="B299" t="s">
        <v>269</v>
      </c>
      <c r="C299" s="3" t="str">
        <f>VLOOKUP(Table2[[#This Row],[Tegevusala]],Table4[],2,FALSE)</f>
        <v xml:space="preserve"> Hulkuvad loomad</v>
      </c>
      <c r="D299" s="3" t="str">
        <f>VLOOKUP(Table2[[#This Row],[Tegevusala]],Table4[[Tegevusala kood]:[Tegevusala alanimetus]],4,FALSE)</f>
        <v>Muu elamu- ja kommunaalmajanduse tegevus</v>
      </c>
      <c r="E299" s="3" t="str">
        <f>VLOOKUP(Table2[[#This Row],[Tegevusala nimetus2]],Table4[[Tegevusala nimetus]:[Tegevusala koondnimetus]],2,FALSE)</f>
        <v>Elamu- ja kommunaalmajandus</v>
      </c>
      <c r="F299" t="s">
        <v>1043</v>
      </c>
      <c r="G299" t="s">
        <v>1915</v>
      </c>
      <c r="H299" s="40">
        <f>12*55.2</f>
        <v>662.40000000000009</v>
      </c>
      <c r="J299">
        <v>5514</v>
      </c>
      <c r="K299" s="3" t="str">
        <f>VLOOKUP(Table2[[#This Row],[Konto]],Table5[[Konto]:[Konto nimetus]],2,FALSE)</f>
        <v>Info- ja kommunikatsioonitehnoliigised kulud</v>
      </c>
      <c r="L299">
        <v>55</v>
      </c>
      <c r="M299" t="str">
        <f t="shared" si="9"/>
        <v>55</v>
      </c>
      <c r="N299" s="3" t="str">
        <f>VLOOKUP(Table2[[#This Row],[Tulu/kulu liik2]],Table5[[Tulu/kulu liik]:[Kontode koondnimetus]],4,FALSE)</f>
        <v>Muud tegevuskulud</v>
      </c>
      <c r="O299" s="3" t="str">
        <f>VLOOKUP(Table2[[#This Row],[Tulu/kulu liik2]],Table5[],6,FALSE)</f>
        <v>Majandamiskulud</v>
      </c>
      <c r="P299" s="3" t="str">
        <f>VLOOKUP(Table2[[#This Row],[Tulu/kulu liik2]],Table5[],5,FALSE)</f>
        <v>Põhitegevuse kulu</v>
      </c>
    </row>
    <row r="300" spans="1:16" hidden="1" x14ac:dyDescent="0.25">
      <c r="A300" t="str">
        <f t="shared" si="8"/>
        <v>07</v>
      </c>
      <c r="B300" t="s">
        <v>41</v>
      </c>
      <c r="C300" s="1" t="str">
        <f>VLOOKUP(Table2[[#This Row],[Tegevusala]],Table4[],2,FALSE)</f>
        <v xml:space="preserve"> Muu tervishoid, sh tervishoiu haldamine</v>
      </c>
      <c r="D300" s="1" t="str">
        <f>VLOOKUP(Table2[[#This Row],[Tegevusala]],Table4[[Tegevusala kood]:[Tegevusala alanimetus]],4,FALSE)</f>
        <v>Muu tervishoid, sh tervishoiu haldamine</v>
      </c>
      <c r="E300" s="1" t="str">
        <f>VLOOKUP(Table2[[#This Row],[Tegevusala nimetus2]],Table4[[Tegevusala nimetus]:[Tegevusala koondnimetus]],2,FALSE)</f>
        <v>Tervishoid</v>
      </c>
      <c r="F300" t="s">
        <v>491</v>
      </c>
      <c r="G300" t="s">
        <v>3</v>
      </c>
      <c r="H300" s="40">
        <v>32477</v>
      </c>
      <c r="J300">
        <v>45028</v>
      </c>
      <c r="K300" t="str">
        <f>VLOOKUP(Table2[[#This Row],[Konto]],Table5[[Konto]:[Konto nimetus]],2,FALSE)</f>
        <v>Sihtotstarbelised eraldised põhivara soetamiseks muudele residentidele</v>
      </c>
      <c r="L300">
        <v>4502</v>
      </c>
      <c r="M300" t="str">
        <f t="shared" si="9"/>
        <v>45</v>
      </c>
      <c r="N300" t="str">
        <f>VLOOKUP(Table2[[#This Row],[Tulu/kulu liik2]],Table5[[Tulu/kulu liik]:[Kontode koondnimetus]],4,FALSE)</f>
        <v>Põhivara soetuseks antav sihtfinantseerimine (-)</v>
      </c>
      <c r="O300" t="str">
        <f>VLOOKUP(Table2[[#This Row],[Tulu/kulu liik2]],Table5[],6,FALSE)</f>
        <v>Põhivara soetuseks antav sihtfinantseerimine (-)</v>
      </c>
      <c r="P300" t="str">
        <f>VLOOKUP(Table2[[#This Row],[Tulu/kulu liik2]],Table5[],5,FALSE)</f>
        <v>Investeerimistegevus</v>
      </c>
    </row>
    <row r="301" spans="1:16" x14ac:dyDescent="0.25">
      <c r="A301" t="str">
        <f t="shared" si="8"/>
        <v>07</v>
      </c>
      <c r="B301" t="s">
        <v>41</v>
      </c>
      <c r="C301" s="1" t="str">
        <f>VLOOKUP(Table2[[#This Row],[Tegevusala]],Table4[],2,FALSE)</f>
        <v xml:space="preserve"> Muu tervishoid, sh tervishoiu haldamine</v>
      </c>
      <c r="D301" s="1" t="str">
        <f>VLOOKUP(Table2[[#This Row],[Tegevusala]],Table4[[Tegevusala kood]:[Tegevusala alanimetus]],4,FALSE)</f>
        <v>Muu tervishoid, sh tervishoiu haldamine</v>
      </c>
      <c r="E301" s="1" t="str">
        <f>VLOOKUP(Table2[[#This Row],[Tegevusala nimetus2]],Table4[[Tegevusala nimetus]:[Tegevusala koondnimetus]],2,FALSE)</f>
        <v>Tervishoid</v>
      </c>
      <c r="F301" t="s">
        <v>491</v>
      </c>
      <c r="G301" t="s">
        <v>0</v>
      </c>
      <c r="H301" s="40">
        <v>2500</v>
      </c>
      <c r="J301">
        <v>4528</v>
      </c>
      <c r="K301" t="str">
        <f>VLOOKUP(Table2[[#This Row],[Konto]],Table5[[Konto]:[Konto nimetus]],2,FALSE)</f>
        <v>Liikmemaksud</v>
      </c>
      <c r="L301">
        <v>452</v>
      </c>
      <c r="M301" t="str">
        <f t="shared" si="9"/>
        <v>45</v>
      </c>
      <c r="N301" t="str">
        <f>VLOOKUP(Table2[[#This Row],[Tulu/kulu liik2]],Table5[[Tulu/kulu liik]:[Kontode koondnimetus]],4,FALSE)</f>
        <v>Antavad toetused tegevuskuludeks</v>
      </c>
      <c r="O301" t="str">
        <f>VLOOKUP(Table2[[#This Row],[Tulu/kulu liik2]],Table5[],6,FALSE)</f>
        <v>Mittesihtotstarbelised toetused</v>
      </c>
      <c r="P301" t="str">
        <f>VLOOKUP(Table2[[#This Row],[Tulu/kulu liik2]],Table5[],5,FALSE)</f>
        <v>Põhitegevuse kulu</v>
      </c>
    </row>
    <row r="302" spans="1:16" x14ac:dyDescent="0.25">
      <c r="A302" s="33" t="str">
        <f t="shared" si="8"/>
        <v>07</v>
      </c>
      <c r="B302" s="33" t="s">
        <v>41</v>
      </c>
      <c r="C302" s="34" t="str">
        <f>VLOOKUP(Table2[[#This Row],[Tegevusala]],Table4[],2,FALSE)</f>
        <v xml:space="preserve"> Muu tervishoid, sh tervishoiu haldamine</v>
      </c>
      <c r="D302" s="34" t="str">
        <f>VLOOKUP(Table2[[#This Row],[Tegevusala]],Table4[[Tegevusala kood]:[Tegevusala alanimetus]],4,FALSE)</f>
        <v>Muu tervishoid, sh tervishoiu haldamine</v>
      </c>
      <c r="E302" s="34" t="str">
        <f>VLOOKUP(Table2[[#This Row],[Tegevusala nimetus2]],Table4[[Tegevusala nimetus]:[Tegevusala koondnimetus]],2,FALSE)</f>
        <v>Tervishoid</v>
      </c>
      <c r="F302" s="33" t="s">
        <v>462</v>
      </c>
      <c r="G302" s="33" t="s">
        <v>741</v>
      </c>
      <c r="H302" s="47">
        <v>600</v>
      </c>
      <c r="I302" s="35"/>
      <c r="J302" s="33">
        <v>5515</v>
      </c>
      <c r="K302" s="34" t="str">
        <f>VLOOKUP(Table2[[#This Row],[Konto]],Table5[[Konto]:[Konto nimetus]],2,FALSE)</f>
        <v>Inventari kulud, v.a infotehnoloogia ja kaitseotstarbelised kulud</v>
      </c>
      <c r="L302" s="33">
        <v>55</v>
      </c>
      <c r="M302" s="33" t="str">
        <f t="shared" si="9"/>
        <v>55</v>
      </c>
      <c r="N302" s="34" t="str">
        <f>VLOOKUP(Table2[[#This Row],[Tulu/kulu liik2]],Table5[[Tulu/kulu liik]:[Kontode koondnimetus]],4,FALSE)</f>
        <v>Muud tegevuskulud</v>
      </c>
      <c r="O302" s="34" t="str">
        <f>VLOOKUP(Table2[[#This Row],[Tulu/kulu liik2]],Table5[],6,FALSE)</f>
        <v>Majandamiskulud</v>
      </c>
      <c r="P302" s="34" t="str">
        <f>VLOOKUP(Table2[[#This Row],[Tulu/kulu liik2]],Table5[],5,FALSE)</f>
        <v>Põhitegevuse kulu</v>
      </c>
    </row>
    <row r="303" spans="1:16" x14ac:dyDescent="0.25">
      <c r="A303" s="33" t="str">
        <f t="shared" si="8"/>
        <v>07</v>
      </c>
      <c r="B303" s="33" t="s">
        <v>41</v>
      </c>
      <c r="C303" s="34" t="str">
        <f>VLOOKUP(Table2[[#This Row],[Tegevusala]],Table4[],2,FALSE)</f>
        <v xml:space="preserve"> Muu tervishoid, sh tervishoiu haldamine</v>
      </c>
      <c r="D303" s="34" t="str">
        <f>VLOOKUP(Table2[[#This Row],[Tegevusala]],Table4[[Tegevusala kood]:[Tegevusala alanimetus]],4,FALSE)</f>
        <v>Muu tervishoid, sh tervishoiu haldamine</v>
      </c>
      <c r="E303" s="34" t="str">
        <f>VLOOKUP(Table2[[#This Row],[Tegevusala nimetus2]],Table4[[Tegevusala nimetus]:[Tegevusala koondnimetus]],2,FALSE)</f>
        <v>Tervishoid</v>
      </c>
      <c r="F303" s="33" t="s">
        <v>462</v>
      </c>
      <c r="G303" s="33" t="s">
        <v>739</v>
      </c>
      <c r="H303" s="47">
        <f>12*200</f>
        <v>2400</v>
      </c>
      <c r="I303" s="35"/>
      <c r="J303" s="33">
        <v>5540</v>
      </c>
      <c r="K303" s="34" t="str">
        <f>VLOOKUP(Table2[[#This Row],[Konto]],Table5[[Konto]:[Konto nimetus]],2,FALSE)</f>
        <v>Mitmesugused majanduskulud</v>
      </c>
      <c r="L303" s="33">
        <v>55</v>
      </c>
      <c r="M303" s="33" t="str">
        <f t="shared" si="9"/>
        <v>55</v>
      </c>
      <c r="N303" s="34" t="str">
        <f>VLOOKUP(Table2[[#This Row],[Tulu/kulu liik2]],Table5[[Tulu/kulu liik]:[Kontode koondnimetus]],4,FALSE)</f>
        <v>Muud tegevuskulud</v>
      </c>
      <c r="O303" s="34" t="str">
        <f>VLOOKUP(Table2[[#This Row],[Tulu/kulu liik2]],Table5[],6,FALSE)</f>
        <v>Majandamiskulud</v>
      </c>
      <c r="P303" s="34" t="str">
        <f>VLOOKUP(Table2[[#This Row],[Tulu/kulu liik2]],Table5[],5,FALSE)</f>
        <v>Põhitegevuse kulu</v>
      </c>
    </row>
    <row r="304" spans="1:16" x14ac:dyDescent="0.25">
      <c r="A304" t="str">
        <f t="shared" si="8"/>
        <v>07</v>
      </c>
      <c r="B304" t="s">
        <v>41</v>
      </c>
      <c r="C304" s="3" t="str">
        <f>VLOOKUP(Table2[[#This Row],[Tegevusala]],Table4[],2,FALSE)</f>
        <v xml:space="preserve"> Muu tervishoid, sh tervishoiu haldamine</v>
      </c>
      <c r="D304" s="3" t="str">
        <f>VLOOKUP(Table2[[#This Row],[Tegevusala]],Table4[[Tegevusala kood]:[Tegevusala alanimetus]],4,FALSE)</f>
        <v>Muu tervishoid, sh tervishoiu haldamine</v>
      </c>
      <c r="E304" s="3" t="str">
        <f>VLOOKUP(Table2[[#This Row],[Tegevusala nimetus2]],Table4[[Tegevusala nimetus]:[Tegevusala koondnimetus]],2,FALSE)</f>
        <v>Tervishoid</v>
      </c>
      <c r="F304" t="s">
        <v>462</v>
      </c>
      <c r="G304" t="s">
        <v>740</v>
      </c>
      <c r="H304" s="40">
        <v>5000</v>
      </c>
      <c r="J304">
        <v>5511</v>
      </c>
      <c r="K304" s="3" t="str">
        <f>VLOOKUP(Table2[[#This Row],[Konto]],Table5[[Konto]:[Konto nimetus]],2,FALSE)</f>
        <v>Kinnistute, hoonete ja ruumide majandamiskulud</v>
      </c>
      <c r="L304">
        <v>55</v>
      </c>
      <c r="M304" t="str">
        <f t="shared" si="9"/>
        <v>55</v>
      </c>
      <c r="N304" s="3" t="str">
        <f>VLOOKUP(Table2[[#This Row],[Tulu/kulu liik2]],Table5[[Tulu/kulu liik]:[Kontode koondnimetus]],4,FALSE)</f>
        <v>Muud tegevuskulud</v>
      </c>
      <c r="O304" s="3" t="str">
        <f>VLOOKUP(Table2[[#This Row],[Tulu/kulu liik2]],Table5[],6,FALSE)</f>
        <v>Majandamiskulud</v>
      </c>
      <c r="P304" s="3" t="str">
        <f>VLOOKUP(Table2[[#This Row],[Tulu/kulu liik2]],Table5[],5,FALSE)</f>
        <v>Põhitegevuse kulu</v>
      </c>
    </row>
    <row r="305" spans="1:16" x14ac:dyDescent="0.25">
      <c r="A305" t="str">
        <f t="shared" si="8"/>
        <v>08</v>
      </c>
      <c r="B305" t="s">
        <v>271</v>
      </c>
      <c r="C305" s="3" t="str">
        <f>VLOOKUP(Table2[[#This Row],[Tegevusala]],Table4[],2,FALSE)</f>
        <v xml:space="preserve"> Vinni Spordikompleks</v>
      </c>
      <c r="D305" s="3" t="str">
        <f>VLOOKUP(Table2[[#This Row],[Tegevusala]],Table4[[Tegevusala kood]:[Tegevusala alanimetus]],4,FALSE)</f>
        <v>Sport</v>
      </c>
      <c r="E305" s="3" t="str">
        <f>VLOOKUP(Table2[[#This Row],[Tegevusala nimetus2]],Table4[[Tegevusala nimetus]:[Tegevusala koondnimetus]],2,FALSE)</f>
        <v>Vabaaeg, kultuur ja religioon</v>
      </c>
      <c r="F305" t="s">
        <v>624</v>
      </c>
      <c r="G305" t="s">
        <v>854</v>
      </c>
      <c r="H305" s="40">
        <v>120000</v>
      </c>
      <c r="I305" s="2" t="s">
        <v>2067</v>
      </c>
      <c r="J305">
        <v>45008</v>
      </c>
      <c r="K305" s="3" t="str">
        <f>VLOOKUP(Table2[[#This Row],[Konto]],Table5[[Konto]:[Konto nimetus]],2,FALSE)</f>
        <v>Sihtotstarbelised eraldised muudele residentidele</v>
      </c>
      <c r="L305">
        <v>4500</v>
      </c>
      <c r="M305" t="str">
        <f t="shared" si="9"/>
        <v>45</v>
      </c>
      <c r="N305" s="3" t="str">
        <f>VLOOKUP(Table2[[#This Row],[Tulu/kulu liik2]],Table5[[Tulu/kulu liik]:[Kontode koondnimetus]],4,FALSE)</f>
        <v>Antavad toetused tegevuskuludeks</v>
      </c>
      <c r="O305" s="3" t="str">
        <f>VLOOKUP(Table2[[#This Row],[Tulu/kulu liik2]],Table5[],6,FALSE)</f>
        <v>Sihtotstarbelised toetused tegevuskuludeks</v>
      </c>
      <c r="P305" s="3" t="str">
        <f>VLOOKUP(Table2[[#This Row],[Tulu/kulu liik2]],Table5[],5,FALSE)</f>
        <v>Põhitegevuse kulu</v>
      </c>
    </row>
    <row r="306" spans="1:16" hidden="1" x14ac:dyDescent="0.25">
      <c r="A306" t="str">
        <f t="shared" si="8"/>
        <v>08</v>
      </c>
      <c r="B306" t="s">
        <v>271</v>
      </c>
      <c r="C306" s="3" t="str">
        <f>VLOOKUP(Table2[[#This Row],[Tegevusala]],Table4[],2,FALSE)</f>
        <v xml:space="preserve"> Vinni Spordikompleks</v>
      </c>
      <c r="D306" s="3" t="str">
        <f>VLOOKUP(Table2[[#This Row],[Tegevusala]],Table4[[Tegevusala kood]:[Tegevusala alanimetus]],4,FALSE)</f>
        <v>Sport</v>
      </c>
      <c r="E306" s="3" t="str">
        <f>VLOOKUP(Table2[[#This Row],[Tegevusala nimetus2]],Table4[[Tegevusala nimetus]:[Tegevusala koondnimetus]],2,FALSE)</f>
        <v>Vabaaeg, kultuur ja religioon</v>
      </c>
      <c r="F306" t="s">
        <v>624</v>
      </c>
      <c r="G306" t="s">
        <v>855</v>
      </c>
      <c r="H306" s="40">
        <v>18243.96</v>
      </c>
      <c r="I306" s="2" t="s">
        <v>858</v>
      </c>
      <c r="J306">
        <v>45028</v>
      </c>
      <c r="K306" s="3" t="str">
        <f>VLOOKUP(Table2[[#This Row],[Konto]],Table5[[Konto]:[Konto nimetus]],2,FALSE)</f>
        <v>Sihtotstarbelised eraldised põhivara soetamiseks muudele residentidele</v>
      </c>
      <c r="L306">
        <v>4502</v>
      </c>
      <c r="M306" t="str">
        <f t="shared" si="9"/>
        <v>45</v>
      </c>
      <c r="N306" s="3" t="str">
        <f>VLOOKUP(Table2[[#This Row],[Tulu/kulu liik2]],Table5[[Tulu/kulu liik]:[Kontode koondnimetus]],4,FALSE)</f>
        <v>Põhivara soetuseks antav sihtfinantseerimine (-)</v>
      </c>
      <c r="O306" s="3" t="str">
        <f>VLOOKUP(Table2[[#This Row],[Tulu/kulu liik2]],Table5[],6,FALSE)</f>
        <v>Põhivara soetuseks antav sihtfinantseerimine (-)</v>
      </c>
      <c r="P306" s="3" t="str">
        <f>VLOOKUP(Table2[[#This Row],[Tulu/kulu liik2]],Table5[],5,FALSE)</f>
        <v>Investeerimistegevus</v>
      </c>
    </row>
    <row r="307" spans="1:16" hidden="1" x14ac:dyDescent="0.25">
      <c r="A307" t="str">
        <f t="shared" si="8"/>
        <v>08</v>
      </c>
      <c r="B307" t="s">
        <v>271</v>
      </c>
      <c r="C307" s="3" t="str">
        <f>VLOOKUP(Table2[[#This Row],[Tegevusala]],Table4[],2,FALSE)</f>
        <v xml:space="preserve"> Vinni Spordikompleks</v>
      </c>
      <c r="D307" s="3" t="str">
        <f>VLOOKUP(Table2[[#This Row],[Tegevusala]],Table4[[Tegevusala kood]:[Tegevusala alanimetus]],4,FALSE)</f>
        <v>Sport</v>
      </c>
      <c r="E307" s="3" t="str">
        <f>VLOOKUP(Table2[[#This Row],[Tegevusala nimetus2]],Table4[[Tegevusala nimetus]:[Tegevusala koondnimetus]],2,FALSE)</f>
        <v>Vabaaeg, kultuur ja religioon</v>
      </c>
      <c r="F307" t="s">
        <v>624</v>
      </c>
      <c r="G307" t="s">
        <v>856</v>
      </c>
      <c r="H307" s="40">
        <v>3648.84</v>
      </c>
      <c r="I307" s="2" t="s">
        <v>857</v>
      </c>
      <c r="J307">
        <v>45028</v>
      </c>
      <c r="K307" s="3" t="str">
        <f>VLOOKUP(Table2[[#This Row],[Konto]],Table5[[Konto]:[Konto nimetus]],2,FALSE)</f>
        <v>Sihtotstarbelised eraldised põhivara soetamiseks muudele residentidele</v>
      </c>
      <c r="L307">
        <v>4502</v>
      </c>
      <c r="M307" t="str">
        <f t="shared" si="9"/>
        <v>45</v>
      </c>
      <c r="N307" s="3" t="str">
        <f>VLOOKUP(Table2[[#This Row],[Tulu/kulu liik2]],Table5[[Tulu/kulu liik]:[Kontode koondnimetus]],4,FALSE)</f>
        <v>Põhivara soetuseks antav sihtfinantseerimine (-)</v>
      </c>
      <c r="O307" s="3" t="str">
        <f>VLOOKUP(Table2[[#This Row],[Tulu/kulu liik2]],Table5[],6,FALSE)</f>
        <v>Põhivara soetuseks antav sihtfinantseerimine (-)</v>
      </c>
      <c r="P307" s="3" t="str">
        <f>VLOOKUP(Table2[[#This Row],[Tulu/kulu liik2]],Table5[],5,FALSE)</f>
        <v>Investeerimistegevus</v>
      </c>
    </row>
    <row r="308" spans="1:16" hidden="1" x14ac:dyDescent="0.25">
      <c r="A308" t="str">
        <f t="shared" si="8"/>
        <v>08</v>
      </c>
      <c r="B308" t="s">
        <v>271</v>
      </c>
      <c r="C308" s="3" t="str">
        <f>VLOOKUP(Table2[[#This Row],[Tegevusala]],Table4[],2,FALSE)</f>
        <v xml:space="preserve"> Vinni Spordikompleks</v>
      </c>
      <c r="D308" s="3" t="str">
        <f>VLOOKUP(Table2[[#This Row],[Tegevusala]],Table4[[Tegevusala kood]:[Tegevusala alanimetus]],4,FALSE)</f>
        <v>Sport</v>
      </c>
      <c r="E308" s="3" t="str">
        <f>VLOOKUP(Table2[[#This Row],[Tegevusala nimetus2]],Table4[[Tegevusala nimetus]:[Tegevusala koondnimetus]],2,FALSE)</f>
        <v>Vabaaeg, kultuur ja religioon</v>
      </c>
      <c r="F308" t="s">
        <v>624</v>
      </c>
      <c r="G308" t="s">
        <v>859</v>
      </c>
      <c r="H308" s="40">
        <v>1791.48</v>
      </c>
      <c r="I308" s="2" t="s">
        <v>860</v>
      </c>
      <c r="J308">
        <v>45028</v>
      </c>
      <c r="K308" s="3" t="str">
        <f>VLOOKUP(Table2[[#This Row],[Konto]],Table5[[Konto]:[Konto nimetus]],2,FALSE)</f>
        <v>Sihtotstarbelised eraldised põhivara soetamiseks muudele residentidele</v>
      </c>
      <c r="L308">
        <v>4502</v>
      </c>
      <c r="M308" t="str">
        <f t="shared" si="9"/>
        <v>45</v>
      </c>
      <c r="N308" s="3" t="str">
        <f>VLOOKUP(Table2[[#This Row],[Tulu/kulu liik2]],Table5[[Tulu/kulu liik]:[Kontode koondnimetus]],4,FALSE)</f>
        <v>Põhivara soetuseks antav sihtfinantseerimine (-)</v>
      </c>
      <c r="O308" s="3" t="str">
        <f>VLOOKUP(Table2[[#This Row],[Tulu/kulu liik2]],Table5[],6,FALSE)</f>
        <v>Põhivara soetuseks antav sihtfinantseerimine (-)</v>
      </c>
      <c r="P308" s="3" t="str">
        <f>VLOOKUP(Table2[[#This Row],[Tulu/kulu liik2]],Table5[],5,FALSE)</f>
        <v>Investeerimistegevus</v>
      </c>
    </row>
    <row r="309" spans="1:16" x14ac:dyDescent="0.25">
      <c r="A309" t="str">
        <f t="shared" si="8"/>
        <v>08</v>
      </c>
      <c r="B309" t="s">
        <v>273</v>
      </c>
      <c r="C309" s="3" t="str">
        <f>VLOOKUP(Table2[[#This Row],[Tegevusala]],Table4[],2,FALSE)</f>
        <v xml:space="preserve"> Muuga Spordihoone</v>
      </c>
      <c r="D309" s="3" t="str">
        <f>VLOOKUP(Table2[[#This Row],[Tegevusala]],Table4[[Tegevusala kood]:[Tegevusala alanimetus]],4,FALSE)</f>
        <v>Sport</v>
      </c>
      <c r="E309" s="3" t="str">
        <f>VLOOKUP(Table2[[#This Row],[Tegevusala nimetus2]],Table4[[Tegevusala nimetus]:[Tegevusala koondnimetus]],2,FALSE)</f>
        <v>Vabaaeg, kultuur ja religioon</v>
      </c>
      <c r="F309" t="s">
        <v>505</v>
      </c>
      <c r="G309" t="s">
        <v>400</v>
      </c>
      <c r="H309" s="40">
        <v>100</v>
      </c>
      <c r="J309">
        <v>5500</v>
      </c>
      <c r="K309" s="3" t="str">
        <f>VLOOKUP(Table2[[#This Row],[Konto]],Table5[[Konto]:[Konto nimetus]],2,FALSE)</f>
        <v>Administreerimiskulud</v>
      </c>
      <c r="L309">
        <v>55</v>
      </c>
      <c r="M309" t="str">
        <f t="shared" si="9"/>
        <v>55</v>
      </c>
      <c r="N309" t="str">
        <f>VLOOKUP(Table2[[#This Row],[Tulu/kulu liik2]],Table5[[Tulu/kulu liik]:[Kontode koondnimetus]],4,FALSE)</f>
        <v>Muud tegevuskulud</v>
      </c>
      <c r="O309" t="str">
        <f>VLOOKUP(Table2[[#This Row],[Tulu/kulu liik2]],Table5[],6,FALSE)</f>
        <v>Majandamiskulud</v>
      </c>
      <c r="P309" s="3" t="str">
        <f>VLOOKUP(Table2[[#This Row],[Tulu/kulu liik2]],Table5[],5,FALSE)</f>
        <v>Põhitegevuse kulu</v>
      </c>
    </row>
    <row r="310" spans="1:16" x14ac:dyDescent="0.25">
      <c r="A310" t="str">
        <f t="shared" si="8"/>
        <v>08</v>
      </c>
      <c r="B310" t="s">
        <v>273</v>
      </c>
      <c r="C310" s="3" t="str">
        <f>VLOOKUP(Table2[[#This Row],[Tegevusala]],Table4[],2,FALSE)</f>
        <v xml:space="preserve"> Muuga Spordihoone</v>
      </c>
      <c r="D310" s="3" t="str">
        <f>VLOOKUP(Table2[[#This Row],[Tegevusala]],Table4[[Tegevusala kood]:[Tegevusala alanimetus]],4,FALSE)</f>
        <v>Sport</v>
      </c>
      <c r="E310" s="3" t="str">
        <f>VLOOKUP(Table2[[#This Row],[Tegevusala nimetus2]],Table4[[Tegevusala nimetus]:[Tegevusala koondnimetus]],2,FALSE)</f>
        <v>Vabaaeg, kultuur ja religioon</v>
      </c>
      <c r="F310" t="s">
        <v>505</v>
      </c>
      <c r="G310" t="s">
        <v>504</v>
      </c>
      <c r="H310" s="40">
        <v>400</v>
      </c>
      <c r="J310">
        <v>5500</v>
      </c>
      <c r="K310" s="3" t="str">
        <f>VLOOKUP(Table2[[#This Row],[Konto]],Table5[[Konto]:[Konto nimetus]],2,FALSE)</f>
        <v>Administreerimiskulud</v>
      </c>
      <c r="L310">
        <v>55</v>
      </c>
      <c r="M310" t="str">
        <f t="shared" si="9"/>
        <v>55</v>
      </c>
      <c r="N310" t="str">
        <f>VLOOKUP(Table2[[#This Row],[Tulu/kulu liik2]],Table5[[Tulu/kulu liik]:[Kontode koondnimetus]],4,FALSE)</f>
        <v>Muud tegevuskulud</v>
      </c>
      <c r="O310" t="str">
        <f>VLOOKUP(Table2[[#This Row],[Tulu/kulu liik2]],Table5[],6,FALSE)</f>
        <v>Majandamiskulud</v>
      </c>
      <c r="P310" s="3" t="str">
        <f>VLOOKUP(Table2[[#This Row],[Tulu/kulu liik2]],Table5[],5,FALSE)</f>
        <v>Põhitegevuse kulu</v>
      </c>
    </row>
    <row r="311" spans="1:16" x14ac:dyDescent="0.25">
      <c r="A311" t="str">
        <f t="shared" si="8"/>
        <v>08</v>
      </c>
      <c r="B311" t="s">
        <v>273</v>
      </c>
      <c r="C311" s="3" t="str">
        <f>VLOOKUP(Table2[[#This Row],[Tegevusala]],Table4[],2,FALSE)</f>
        <v xml:space="preserve"> Muuga Spordihoone</v>
      </c>
      <c r="D311" s="3" t="str">
        <f>VLOOKUP(Table2[[#This Row],[Tegevusala]],Table4[[Tegevusala kood]:[Tegevusala alanimetus]],4,FALSE)</f>
        <v>Sport</v>
      </c>
      <c r="E311" s="3" t="str">
        <f>VLOOKUP(Table2[[#This Row],[Tegevusala nimetus2]],Table4[[Tegevusala nimetus]:[Tegevusala koondnimetus]],2,FALSE)</f>
        <v>Vabaaeg, kultuur ja religioon</v>
      </c>
      <c r="F311" t="s">
        <v>505</v>
      </c>
      <c r="G311" t="s">
        <v>515</v>
      </c>
      <c r="H311" s="40">
        <v>720</v>
      </c>
      <c r="J311">
        <v>5513</v>
      </c>
      <c r="K311" s="3" t="str">
        <f>VLOOKUP(Table2[[#This Row],[Konto]],Table5[[Konto]:[Konto nimetus]],2,FALSE)</f>
        <v>Sõidukite ülalpidamise kulud</v>
      </c>
      <c r="L311">
        <v>55</v>
      </c>
      <c r="M311" t="str">
        <f t="shared" si="9"/>
        <v>55</v>
      </c>
      <c r="N311" t="str">
        <f>VLOOKUP(Table2[[#This Row],[Tulu/kulu liik2]],Table5[[Tulu/kulu liik]:[Kontode koondnimetus]],4,FALSE)</f>
        <v>Muud tegevuskulud</v>
      </c>
      <c r="O311" t="str">
        <f>VLOOKUP(Table2[[#This Row],[Tulu/kulu liik2]],Table5[],6,FALSE)</f>
        <v>Majandamiskulud</v>
      </c>
      <c r="P311" s="3" t="str">
        <f>VLOOKUP(Table2[[#This Row],[Tulu/kulu liik2]],Table5[],5,FALSE)</f>
        <v>Põhitegevuse kulu</v>
      </c>
    </row>
    <row r="312" spans="1:16" x14ac:dyDescent="0.25">
      <c r="A312" t="str">
        <f t="shared" si="8"/>
        <v>08</v>
      </c>
      <c r="B312" t="s">
        <v>273</v>
      </c>
      <c r="C312" s="3" t="str">
        <f>VLOOKUP(Table2[[#This Row],[Tegevusala]],Table4[],2,FALSE)</f>
        <v xml:space="preserve"> Muuga Spordihoone</v>
      </c>
      <c r="D312" s="3" t="str">
        <f>VLOOKUP(Table2[[#This Row],[Tegevusala]],Table4[[Tegevusala kood]:[Tegevusala alanimetus]],4,FALSE)</f>
        <v>Sport</v>
      </c>
      <c r="E312" s="3" t="str">
        <f>VLOOKUP(Table2[[#This Row],[Tegevusala nimetus2]],Table4[[Tegevusala nimetus]:[Tegevusala koondnimetus]],2,FALSE)</f>
        <v>Vabaaeg, kultuur ja religioon</v>
      </c>
      <c r="F312" t="s">
        <v>505</v>
      </c>
      <c r="G312" t="s">
        <v>516</v>
      </c>
      <c r="H312" s="40">
        <v>920</v>
      </c>
      <c r="J312">
        <v>5500</v>
      </c>
      <c r="K312" s="3" t="str">
        <f>VLOOKUP(Table2[[#This Row],[Konto]],Table5[[Konto]:[Konto nimetus]],2,FALSE)</f>
        <v>Administreerimiskulud</v>
      </c>
      <c r="L312">
        <v>55</v>
      </c>
      <c r="M312" t="str">
        <f t="shared" si="9"/>
        <v>55</v>
      </c>
      <c r="N312" t="str">
        <f>VLOOKUP(Table2[[#This Row],[Tulu/kulu liik2]],Table5[[Tulu/kulu liik]:[Kontode koondnimetus]],4,FALSE)</f>
        <v>Muud tegevuskulud</v>
      </c>
      <c r="O312" t="str">
        <f>VLOOKUP(Table2[[#This Row],[Tulu/kulu liik2]],Table5[],6,FALSE)</f>
        <v>Majandamiskulud</v>
      </c>
      <c r="P312" s="3" t="str">
        <f>VLOOKUP(Table2[[#This Row],[Tulu/kulu liik2]],Table5[],5,FALSE)</f>
        <v>Põhitegevuse kulu</v>
      </c>
    </row>
    <row r="313" spans="1:16" x14ac:dyDescent="0.25">
      <c r="A313" t="str">
        <f t="shared" si="8"/>
        <v>08</v>
      </c>
      <c r="B313" t="s">
        <v>273</v>
      </c>
      <c r="C313" s="3" t="str">
        <f>VLOOKUP(Table2[[#This Row],[Tegevusala]],Table4[],2,FALSE)</f>
        <v xml:space="preserve"> Muuga Spordihoone</v>
      </c>
      <c r="D313" s="3" t="str">
        <f>VLOOKUP(Table2[[#This Row],[Tegevusala]],Table4[[Tegevusala kood]:[Tegevusala alanimetus]],4,FALSE)</f>
        <v>Sport</v>
      </c>
      <c r="E313" s="3" t="str">
        <f>VLOOKUP(Table2[[#This Row],[Tegevusala nimetus2]],Table4[[Tegevusala nimetus]:[Tegevusala koondnimetus]],2,FALSE)</f>
        <v>Vabaaeg, kultuur ja religioon</v>
      </c>
      <c r="F313" t="s">
        <v>505</v>
      </c>
      <c r="G313" t="s">
        <v>518</v>
      </c>
      <c r="H313" s="40">
        <v>50</v>
      </c>
      <c r="J313">
        <v>5522</v>
      </c>
      <c r="K313" s="3" t="str">
        <f>VLOOKUP(Table2[[#This Row],[Konto]],Table5[[Konto]:[Konto nimetus]],2,FALSE)</f>
        <v>Meditsiinikulud ja hügieenitarbed</v>
      </c>
      <c r="L313">
        <v>55</v>
      </c>
      <c r="M313" t="str">
        <f t="shared" si="9"/>
        <v>55</v>
      </c>
      <c r="N313" t="str">
        <f>VLOOKUP(Table2[[#This Row],[Tulu/kulu liik2]],Table5[[Tulu/kulu liik]:[Kontode koondnimetus]],4,FALSE)</f>
        <v>Muud tegevuskulud</v>
      </c>
      <c r="O313" t="str">
        <f>VLOOKUP(Table2[[#This Row],[Tulu/kulu liik2]],Table5[],6,FALSE)</f>
        <v>Majandamiskulud</v>
      </c>
      <c r="P313" s="3" t="str">
        <f>VLOOKUP(Table2[[#This Row],[Tulu/kulu liik2]],Table5[],5,FALSE)</f>
        <v>Põhitegevuse kulu</v>
      </c>
    </row>
    <row r="314" spans="1:16" x14ac:dyDescent="0.25">
      <c r="A314" t="str">
        <f t="shared" si="8"/>
        <v>08</v>
      </c>
      <c r="B314" t="s">
        <v>273</v>
      </c>
      <c r="C314" s="3" t="str">
        <f>VLOOKUP(Table2[[#This Row],[Tegevusala]],Table4[],2,FALSE)</f>
        <v xml:space="preserve"> Muuga Spordihoone</v>
      </c>
      <c r="D314" s="3" t="str">
        <f>VLOOKUP(Table2[[#This Row],[Tegevusala]],Table4[[Tegevusala kood]:[Tegevusala alanimetus]],4,FALSE)</f>
        <v>Sport</v>
      </c>
      <c r="E314" s="3" t="str">
        <f>VLOOKUP(Table2[[#This Row],[Tegevusala nimetus2]],Table4[[Tegevusala nimetus]:[Tegevusala koondnimetus]],2,FALSE)</f>
        <v>Vabaaeg, kultuur ja religioon</v>
      </c>
      <c r="F314" t="s">
        <v>505</v>
      </c>
      <c r="G314" t="s">
        <v>519</v>
      </c>
      <c r="H314" s="40">
        <v>400</v>
      </c>
      <c r="J314">
        <v>5525</v>
      </c>
      <c r="K314" s="3" t="str">
        <f>VLOOKUP(Table2[[#This Row],[Konto]],Table5[[Konto]:[Konto nimetus]],2,FALSE)</f>
        <v>Kommunikatsiooni-, kultuuri- ja vaba aja sisustamise kulud</v>
      </c>
      <c r="L314">
        <v>55</v>
      </c>
      <c r="M314" t="str">
        <f t="shared" si="9"/>
        <v>55</v>
      </c>
      <c r="N314" t="str">
        <f>VLOOKUP(Table2[[#This Row],[Tulu/kulu liik2]],Table5[[Tulu/kulu liik]:[Kontode koondnimetus]],4,FALSE)</f>
        <v>Muud tegevuskulud</v>
      </c>
      <c r="O314" t="str">
        <f>VLOOKUP(Table2[[#This Row],[Tulu/kulu liik2]],Table5[],6,FALSE)</f>
        <v>Majandamiskulud</v>
      </c>
      <c r="P314" s="3" t="str">
        <f>VLOOKUP(Table2[[#This Row],[Tulu/kulu liik2]],Table5[],5,FALSE)</f>
        <v>Põhitegevuse kulu</v>
      </c>
    </row>
    <row r="315" spans="1:16" x14ac:dyDescent="0.25">
      <c r="A315" t="str">
        <f t="shared" si="8"/>
        <v>08</v>
      </c>
      <c r="B315" t="s">
        <v>273</v>
      </c>
      <c r="C315" s="3" t="str">
        <f>VLOOKUP(Table2[[#This Row],[Tegevusala]],Table4[],2,FALSE)</f>
        <v xml:space="preserve"> Muuga Spordihoone</v>
      </c>
      <c r="D315" s="3" t="str">
        <f>VLOOKUP(Table2[[#This Row],[Tegevusala]],Table4[[Tegevusala kood]:[Tegevusala alanimetus]],4,FALSE)</f>
        <v>Sport</v>
      </c>
      <c r="E315" s="3" t="str">
        <f>VLOOKUP(Table2[[#This Row],[Tegevusala nimetus2]],Table4[[Tegevusala nimetus]:[Tegevusala koondnimetus]],2,FALSE)</f>
        <v>Vabaaeg, kultuur ja religioon</v>
      </c>
      <c r="F315" t="s">
        <v>505</v>
      </c>
      <c r="G315" t="s">
        <v>520</v>
      </c>
      <c r="H315" s="40">
        <v>200</v>
      </c>
      <c r="J315">
        <v>5525</v>
      </c>
      <c r="K315" s="3" t="str">
        <f>VLOOKUP(Table2[[#This Row],[Konto]],Table5[[Konto]:[Konto nimetus]],2,FALSE)</f>
        <v>Kommunikatsiooni-, kultuuri- ja vaba aja sisustamise kulud</v>
      </c>
      <c r="L315">
        <v>55</v>
      </c>
      <c r="M315" t="str">
        <f t="shared" si="9"/>
        <v>55</v>
      </c>
      <c r="N315" t="str">
        <f>VLOOKUP(Table2[[#This Row],[Tulu/kulu liik2]],Table5[[Tulu/kulu liik]:[Kontode koondnimetus]],4,FALSE)</f>
        <v>Muud tegevuskulud</v>
      </c>
      <c r="O315" t="str">
        <f>VLOOKUP(Table2[[#This Row],[Tulu/kulu liik2]],Table5[],6,FALSE)</f>
        <v>Majandamiskulud</v>
      </c>
      <c r="P315" s="3" t="str">
        <f>VLOOKUP(Table2[[#This Row],[Tulu/kulu liik2]],Table5[],5,FALSE)</f>
        <v>Põhitegevuse kulu</v>
      </c>
    </row>
    <row r="316" spans="1:16" x14ac:dyDescent="0.25">
      <c r="A316" t="str">
        <f t="shared" si="8"/>
        <v>08</v>
      </c>
      <c r="B316" t="s">
        <v>273</v>
      </c>
      <c r="C316" s="3" t="str">
        <f>VLOOKUP(Table2[[#This Row],[Tegevusala]],Table4[],2,FALSE)</f>
        <v xml:space="preserve"> Muuga Spordihoone</v>
      </c>
      <c r="D316" s="3" t="str">
        <f>VLOOKUP(Table2[[#This Row],[Tegevusala]],Table4[[Tegevusala kood]:[Tegevusala alanimetus]],4,FALSE)</f>
        <v>Sport</v>
      </c>
      <c r="E316" s="3" t="str">
        <f>VLOOKUP(Table2[[#This Row],[Tegevusala nimetus2]],Table4[[Tegevusala nimetus]:[Tegevusala koondnimetus]],2,FALSE)</f>
        <v>Vabaaeg, kultuur ja religioon</v>
      </c>
      <c r="F316" t="s">
        <v>505</v>
      </c>
      <c r="G316" t="s">
        <v>521</v>
      </c>
      <c r="H316" s="40">
        <v>900</v>
      </c>
      <c r="J316">
        <v>5525</v>
      </c>
      <c r="K316" s="3" t="str">
        <f>VLOOKUP(Table2[[#This Row],[Konto]],Table5[[Konto]:[Konto nimetus]],2,FALSE)</f>
        <v>Kommunikatsiooni-, kultuuri- ja vaba aja sisustamise kulud</v>
      </c>
      <c r="L316">
        <v>55</v>
      </c>
      <c r="M316" t="str">
        <f t="shared" si="9"/>
        <v>55</v>
      </c>
      <c r="N316" t="str">
        <f>VLOOKUP(Table2[[#This Row],[Tulu/kulu liik2]],Table5[[Tulu/kulu liik]:[Kontode koondnimetus]],4,FALSE)</f>
        <v>Muud tegevuskulud</v>
      </c>
      <c r="O316" t="str">
        <f>VLOOKUP(Table2[[#This Row],[Tulu/kulu liik2]],Table5[],6,FALSE)</f>
        <v>Majandamiskulud</v>
      </c>
      <c r="P316" s="3" t="str">
        <f>VLOOKUP(Table2[[#This Row],[Tulu/kulu liik2]],Table5[],5,FALSE)</f>
        <v>Põhitegevuse kulu</v>
      </c>
    </row>
    <row r="317" spans="1:16" x14ac:dyDescent="0.25">
      <c r="A317" t="str">
        <f t="shared" si="8"/>
        <v>08</v>
      </c>
      <c r="B317" t="s">
        <v>273</v>
      </c>
      <c r="C317" s="3" t="str">
        <f>VLOOKUP(Table2[[#This Row],[Tegevusala]],Table4[],2,FALSE)</f>
        <v xml:space="preserve"> Muuga Spordihoone</v>
      </c>
      <c r="D317" s="3" t="str">
        <f>VLOOKUP(Table2[[#This Row],[Tegevusala]],Table4[[Tegevusala kood]:[Tegevusala alanimetus]],4,FALSE)</f>
        <v>Sport</v>
      </c>
      <c r="E317" s="3" t="str">
        <f>VLOOKUP(Table2[[#This Row],[Tegevusala nimetus2]],Table4[[Tegevusala nimetus]:[Tegevusala koondnimetus]],2,FALSE)</f>
        <v>Vabaaeg, kultuur ja religioon</v>
      </c>
      <c r="F317" t="s">
        <v>505</v>
      </c>
      <c r="G317" t="s">
        <v>522</v>
      </c>
      <c r="H317" s="40">
        <v>400</v>
      </c>
      <c r="J317">
        <v>5525</v>
      </c>
      <c r="K317" s="3" t="str">
        <f>VLOOKUP(Table2[[#This Row],[Konto]],Table5[[Konto]:[Konto nimetus]],2,FALSE)</f>
        <v>Kommunikatsiooni-, kultuuri- ja vaba aja sisustamise kulud</v>
      </c>
      <c r="L317">
        <v>55</v>
      </c>
      <c r="M317" t="str">
        <f t="shared" si="9"/>
        <v>55</v>
      </c>
      <c r="N317" t="str">
        <f>VLOOKUP(Table2[[#This Row],[Tulu/kulu liik2]],Table5[[Tulu/kulu liik]:[Kontode koondnimetus]],4,FALSE)</f>
        <v>Muud tegevuskulud</v>
      </c>
      <c r="O317" t="str">
        <f>VLOOKUP(Table2[[#This Row],[Tulu/kulu liik2]],Table5[],6,FALSE)</f>
        <v>Majandamiskulud</v>
      </c>
      <c r="P317" s="3" t="str">
        <f>VLOOKUP(Table2[[#This Row],[Tulu/kulu liik2]],Table5[],5,FALSE)</f>
        <v>Põhitegevuse kulu</v>
      </c>
    </row>
    <row r="318" spans="1:16" x14ac:dyDescent="0.25">
      <c r="A318" t="str">
        <f t="shared" si="8"/>
        <v>08</v>
      </c>
      <c r="B318" t="s">
        <v>273</v>
      </c>
      <c r="C318" s="3" t="str">
        <f>VLOOKUP(Table2[[#This Row],[Tegevusala]],Table4[],2,FALSE)</f>
        <v xml:space="preserve"> Muuga Spordihoone</v>
      </c>
      <c r="D318" s="3" t="str">
        <f>VLOOKUP(Table2[[#This Row],[Tegevusala]],Table4[[Tegevusala kood]:[Tegevusala alanimetus]],4,FALSE)</f>
        <v>Sport</v>
      </c>
      <c r="E318" s="3" t="str">
        <f>VLOOKUP(Table2[[#This Row],[Tegevusala nimetus2]],Table4[[Tegevusala nimetus]:[Tegevusala koondnimetus]],2,FALSE)</f>
        <v>Vabaaeg, kultuur ja religioon</v>
      </c>
      <c r="F318" t="s">
        <v>505</v>
      </c>
      <c r="G318" t="s">
        <v>506</v>
      </c>
      <c r="H318" s="40">
        <v>10000</v>
      </c>
      <c r="J318">
        <v>5511</v>
      </c>
      <c r="K318" s="3" t="str">
        <f>VLOOKUP(Table2[[#This Row],[Konto]],Table5[[Konto]:[Konto nimetus]],2,FALSE)</f>
        <v>Kinnistute, hoonete ja ruumide majandamiskulud</v>
      </c>
      <c r="L318">
        <v>55</v>
      </c>
      <c r="M318" t="str">
        <f t="shared" si="9"/>
        <v>55</v>
      </c>
      <c r="N318" t="str">
        <f>VLOOKUP(Table2[[#This Row],[Tulu/kulu liik2]],Table5[[Tulu/kulu liik]:[Kontode koondnimetus]],4,FALSE)</f>
        <v>Muud tegevuskulud</v>
      </c>
      <c r="O318" t="str">
        <f>VLOOKUP(Table2[[#This Row],[Tulu/kulu liik2]],Table5[],6,FALSE)</f>
        <v>Majandamiskulud</v>
      </c>
      <c r="P318" s="3" t="str">
        <f>VLOOKUP(Table2[[#This Row],[Tulu/kulu liik2]],Table5[],5,FALSE)</f>
        <v>Põhitegevuse kulu</v>
      </c>
    </row>
    <row r="319" spans="1:16" x14ac:dyDescent="0.25">
      <c r="A319" t="str">
        <f t="shared" si="8"/>
        <v>08</v>
      </c>
      <c r="B319" t="s">
        <v>273</v>
      </c>
      <c r="C319" s="3" t="str">
        <f>VLOOKUP(Table2[[#This Row],[Tegevusala]],Table4[],2,FALSE)</f>
        <v xml:space="preserve"> Muuga Spordihoone</v>
      </c>
      <c r="D319" s="3" t="str">
        <f>VLOOKUP(Table2[[#This Row],[Tegevusala]],Table4[[Tegevusala kood]:[Tegevusala alanimetus]],4,FALSE)</f>
        <v>Sport</v>
      </c>
      <c r="E319" s="3" t="str">
        <f>VLOOKUP(Table2[[#This Row],[Tegevusala nimetus2]],Table4[[Tegevusala nimetus]:[Tegevusala koondnimetus]],2,FALSE)</f>
        <v>Vabaaeg, kultuur ja religioon</v>
      </c>
      <c r="F319" t="s">
        <v>505</v>
      </c>
      <c r="G319" t="s">
        <v>507</v>
      </c>
      <c r="H319" s="40">
        <v>460</v>
      </c>
      <c r="J319">
        <v>5511</v>
      </c>
      <c r="K319" s="3" t="str">
        <f>VLOOKUP(Table2[[#This Row],[Konto]],Table5[[Konto]:[Konto nimetus]],2,FALSE)</f>
        <v>Kinnistute, hoonete ja ruumide majandamiskulud</v>
      </c>
      <c r="L319">
        <v>55</v>
      </c>
      <c r="M319" t="str">
        <f t="shared" si="9"/>
        <v>55</v>
      </c>
      <c r="N319" t="str">
        <f>VLOOKUP(Table2[[#This Row],[Tulu/kulu liik2]],Table5[[Tulu/kulu liik]:[Kontode koondnimetus]],4,FALSE)</f>
        <v>Muud tegevuskulud</v>
      </c>
      <c r="O319" t="str">
        <f>VLOOKUP(Table2[[#This Row],[Tulu/kulu liik2]],Table5[],6,FALSE)</f>
        <v>Majandamiskulud</v>
      </c>
      <c r="P319" s="3" t="str">
        <f>VLOOKUP(Table2[[#This Row],[Tulu/kulu liik2]],Table5[],5,FALSE)</f>
        <v>Põhitegevuse kulu</v>
      </c>
    </row>
    <row r="320" spans="1:16" x14ac:dyDescent="0.25">
      <c r="A320" t="str">
        <f t="shared" si="8"/>
        <v>08</v>
      </c>
      <c r="B320" t="s">
        <v>273</v>
      </c>
      <c r="C320" s="3" t="str">
        <f>VLOOKUP(Table2[[#This Row],[Tegevusala]],Table4[],2,FALSE)</f>
        <v xml:space="preserve"> Muuga Spordihoone</v>
      </c>
      <c r="D320" s="3" t="str">
        <f>VLOOKUP(Table2[[#This Row],[Tegevusala]],Table4[[Tegevusala kood]:[Tegevusala alanimetus]],4,FALSE)</f>
        <v>Sport</v>
      </c>
      <c r="E320" s="3" t="str">
        <f>VLOOKUP(Table2[[#This Row],[Tegevusala nimetus2]],Table4[[Tegevusala nimetus]:[Tegevusala koondnimetus]],2,FALSE)</f>
        <v>Vabaaeg, kultuur ja religioon</v>
      </c>
      <c r="F320" t="s">
        <v>505</v>
      </c>
      <c r="G320" t="s">
        <v>508</v>
      </c>
      <c r="H320" s="40">
        <v>700</v>
      </c>
      <c r="J320">
        <v>5511</v>
      </c>
      <c r="K320" s="3" t="str">
        <f>VLOOKUP(Table2[[#This Row],[Konto]],Table5[[Konto]:[Konto nimetus]],2,FALSE)</f>
        <v>Kinnistute, hoonete ja ruumide majandamiskulud</v>
      </c>
      <c r="L320">
        <v>55</v>
      </c>
      <c r="M320" t="str">
        <f t="shared" si="9"/>
        <v>55</v>
      </c>
      <c r="N320" t="str">
        <f>VLOOKUP(Table2[[#This Row],[Tulu/kulu liik2]],Table5[[Tulu/kulu liik]:[Kontode koondnimetus]],4,FALSE)</f>
        <v>Muud tegevuskulud</v>
      </c>
      <c r="O320" t="str">
        <f>VLOOKUP(Table2[[#This Row],[Tulu/kulu liik2]],Table5[],6,FALSE)</f>
        <v>Majandamiskulud</v>
      </c>
      <c r="P320" s="3" t="str">
        <f>VLOOKUP(Table2[[#This Row],[Tulu/kulu liik2]],Table5[],5,FALSE)</f>
        <v>Põhitegevuse kulu</v>
      </c>
    </row>
    <row r="321" spans="1:16" x14ac:dyDescent="0.25">
      <c r="A321" t="str">
        <f t="shared" si="8"/>
        <v>08</v>
      </c>
      <c r="B321" t="s">
        <v>273</v>
      </c>
      <c r="C321" s="3" t="str">
        <f>VLOOKUP(Table2[[#This Row],[Tegevusala]],Table4[],2,FALSE)</f>
        <v xml:space="preserve"> Muuga Spordihoone</v>
      </c>
      <c r="D321" s="3" t="str">
        <f>VLOOKUP(Table2[[#This Row],[Tegevusala]],Table4[[Tegevusala kood]:[Tegevusala alanimetus]],4,FALSE)</f>
        <v>Sport</v>
      </c>
      <c r="E321" s="3" t="str">
        <f>VLOOKUP(Table2[[#This Row],[Tegevusala nimetus2]],Table4[[Tegevusala nimetus]:[Tegevusala koondnimetus]],2,FALSE)</f>
        <v>Vabaaeg, kultuur ja religioon</v>
      </c>
      <c r="F321" t="s">
        <v>505</v>
      </c>
      <c r="G321" t="s">
        <v>509</v>
      </c>
      <c r="H321" s="40">
        <v>210</v>
      </c>
      <c r="J321">
        <v>5511</v>
      </c>
      <c r="K321" s="3" t="str">
        <f>VLOOKUP(Table2[[#This Row],[Konto]],Table5[[Konto]:[Konto nimetus]],2,FALSE)</f>
        <v>Kinnistute, hoonete ja ruumide majandamiskulud</v>
      </c>
      <c r="L321">
        <v>55</v>
      </c>
      <c r="M321" t="str">
        <f t="shared" si="9"/>
        <v>55</v>
      </c>
      <c r="N321" t="str">
        <f>VLOOKUP(Table2[[#This Row],[Tulu/kulu liik2]],Table5[[Tulu/kulu liik]:[Kontode koondnimetus]],4,FALSE)</f>
        <v>Muud tegevuskulud</v>
      </c>
      <c r="O321" t="str">
        <f>VLOOKUP(Table2[[#This Row],[Tulu/kulu liik2]],Table5[],6,FALSE)</f>
        <v>Majandamiskulud</v>
      </c>
      <c r="P321" s="3" t="str">
        <f>VLOOKUP(Table2[[#This Row],[Tulu/kulu liik2]],Table5[],5,FALSE)</f>
        <v>Põhitegevuse kulu</v>
      </c>
    </row>
    <row r="322" spans="1:16" x14ac:dyDescent="0.25">
      <c r="A322" t="str">
        <f t="shared" ref="A322:A385" si="10">LEFT(B322,2)</f>
        <v>08</v>
      </c>
      <c r="B322" t="s">
        <v>273</v>
      </c>
      <c r="C322" s="3" t="str">
        <f>VLOOKUP(Table2[[#This Row],[Tegevusala]],Table4[],2,FALSE)</f>
        <v xml:space="preserve"> Muuga Spordihoone</v>
      </c>
      <c r="D322" s="3" t="str">
        <f>VLOOKUP(Table2[[#This Row],[Tegevusala]],Table4[[Tegevusala kood]:[Tegevusala alanimetus]],4,FALSE)</f>
        <v>Sport</v>
      </c>
      <c r="E322" s="3" t="str">
        <f>VLOOKUP(Table2[[#This Row],[Tegevusala nimetus2]],Table4[[Tegevusala nimetus]:[Tegevusala koondnimetus]],2,FALSE)</f>
        <v>Vabaaeg, kultuur ja religioon</v>
      </c>
      <c r="F322" t="s">
        <v>505</v>
      </c>
      <c r="G322" t="s">
        <v>510</v>
      </c>
      <c r="H322" s="40">
        <v>520</v>
      </c>
      <c r="J322">
        <v>5511</v>
      </c>
      <c r="K322" s="3" t="str">
        <f>VLOOKUP(Table2[[#This Row],[Konto]],Table5[[Konto]:[Konto nimetus]],2,FALSE)</f>
        <v>Kinnistute, hoonete ja ruumide majandamiskulud</v>
      </c>
      <c r="L322">
        <v>55</v>
      </c>
      <c r="M322" t="str">
        <f t="shared" ref="M322:M385" si="11">LEFT(J322,2)</f>
        <v>55</v>
      </c>
      <c r="N322" t="str">
        <f>VLOOKUP(Table2[[#This Row],[Tulu/kulu liik2]],Table5[[Tulu/kulu liik]:[Kontode koondnimetus]],4,FALSE)</f>
        <v>Muud tegevuskulud</v>
      </c>
      <c r="O322" t="str">
        <f>VLOOKUP(Table2[[#This Row],[Tulu/kulu liik2]],Table5[],6,FALSE)</f>
        <v>Majandamiskulud</v>
      </c>
      <c r="P322" s="3" t="str">
        <f>VLOOKUP(Table2[[#This Row],[Tulu/kulu liik2]],Table5[],5,FALSE)</f>
        <v>Põhitegevuse kulu</v>
      </c>
    </row>
    <row r="323" spans="1:16" x14ac:dyDescent="0.25">
      <c r="A323" t="str">
        <f t="shared" si="10"/>
        <v>08</v>
      </c>
      <c r="B323" t="s">
        <v>273</v>
      </c>
      <c r="C323" s="3" t="str">
        <f>VLOOKUP(Table2[[#This Row],[Tegevusala]],Table4[],2,FALSE)</f>
        <v xml:space="preserve"> Muuga Spordihoone</v>
      </c>
      <c r="D323" s="3" t="str">
        <f>VLOOKUP(Table2[[#This Row],[Tegevusala]],Table4[[Tegevusala kood]:[Tegevusala alanimetus]],4,FALSE)</f>
        <v>Sport</v>
      </c>
      <c r="E323" s="3" t="str">
        <f>VLOOKUP(Table2[[#This Row],[Tegevusala nimetus2]],Table4[[Tegevusala nimetus]:[Tegevusala koondnimetus]],2,FALSE)</f>
        <v>Vabaaeg, kultuur ja religioon</v>
      </c>
      <c r="F323" t="s">
        <v>505</v>
      </c>
      <c r="G323" t="s">
        <v>511</v>
      </c>
      <c r="H323" s="40">
        <v>738</v>
      </c>
      <c r="J323">
        <v>5511</v>
      </c>
      <c r="K323" s="3" t="str">
        <f>VLOOKUP(Table2[[#This Row],[Konto]],Table5[[Konto]:[Konto nimetus]],2,FALSE)</f>
        <v>Kinnistute, hoonete ja ruumide majandamiskulud</v>
      </c>
      <c r="L323">
        <v>55</v>
      </c>
      <c r="M323" t="str">
        <f t="shared" si="11"/>
        <v>55</v>
      </c>
      <c r="N323" t="str">
        <f>VLOOKUP(Table2[[#This Row],[Tulu/kulu liik2]],Table5[[Tulu/kulu liik]:[Kontode koondnimetus]],4,FALSE)</f>
        <v>Muud tegevuskulud</v>
      </c>
      <c r="O323" t="str">
        <f>VLOOKUP(Table2[[#This Row],[Tulu/kulu liik2]],Table5[],6,FALSE)</f>
        <v>Majandamiskulud</v>
      </c>
      <c r="P323" s="3" t="str">
        <f>VLOOKUP(Table2[[#This Row],[Tulu/kulu liik2]],Table5[],5,FALSE)</f>
        <v>Põhitegevuse kulu</v>
      </c>
    </row>
    <row r="324" spans="1:16" x14ac:dyDescent="0.25">
      <c r="A324" t="str">
        <f t="shared" si="10"/>
        <v>08</v>
      </c>
      <c r="B324" t="s">
        <v>273</v>
      </c>
      <c r="C324" s="3" t="str">
        <f>VLOOKUP(Table2[[#This Row],[Tegevusala]],Table4[],2,FALSE)</f>
        <v xml:space="preserve"> Muuga Spordihoone</v>
      </c>
      <c r="D324" s="3" t="str">
        <f>VLOOKUP(Table2[[#This Row],[Tegevusala]],Table4[[Tegevusala kood]:[Tegevusala alanimetus]],4,FALSE)</f>
        <v>Sport</v>
      </c>
      <c r="E324" s="3" t="str">
        <f>VLOOKUP(Table2[[#This Row],[Tegevusala nimetus2]],Table4[[Tegevusala nimetus]:[Tegevusala koondnimetus]],2,FALSE)</f>
        <v>Vabaaeg, kultuur ja religioon</v>
      </c>
      <c r="F324" t="s">
        <v>505</v>
      </c>
      <c r="G324" t="s">
        <v>512</v>
      </c>
      <c r="H324" s="40">
        <v>317</v>
      </c>
      <c r="J324">
        <v>5511</v>
      </c>
      <c r="K324" s="3" t="str">
        <f>VLOOKUP(Table2[[#This Row],[Konto]],Table5[[Konto]:[Konto nimetus]],2,FALSE)</f>
        <v>Kinnistute, hoonete ja ruumide majandamiskulud</v>
      </c>
      <c r="L324">
        <v>55</v>
      </c>
      <c r="M324" t="str">
        <f t="shared" si="11"/>
        <v>55</v>
      </c>
      <c r="N324" t="str">
        <f>VLOOKUP(Table2[[#This Row],[Tulu/kulu liik2]],Table5[[Tulu/kulu liik]:[Kontode koondnimetus]],4,FALSE)</f>
        <v>Muud tegevuskulud</v>
      </c>
      <c r="O324" t="str">
        <f>VLOOKUP(Table2[[#This Row],[Tulu/kulu liik2]],Table5[],6,FALSE)</f>
        <v>Majandamiskulud</v>
      </c>
      <c r="P324" s="3" t="str">
        <f>VLOOKUP(Table2[[#This Row],[Tulu/kulu liik2]],Table5[],5,FALSE)</f>
        <v>Põhitegevuse kulu</v>
      </c>
    </row>
    <row r="325" spans="1:16" x14ac:dyDescent="0.25">
      <c r="A325" t="str">
        <f t="shared" si="10"/>
        <v>08</v>
      </c>
      <c r="B325" t="s">
        <v>273</v>
      </c>
      <c r="C325" s="3" t="str">
        <f>VLOOKUP(Table2[[#This Row],[Tegevusala]],Table4[],2,FALSE)</f>
        <v xml:space="preserve"> Muuga Spordihoone</v>
      </c>
      <c r="D325" s="3" t="str">
        <f>VLOOKUP(Table2[[#This Row],[Tegevusala]],Table4[[Tegevusala kood]:[Tegevusala alanimetus]],4,FALSE)</f>
        <v>Sport</v>
      </c>
      <c r="E325" s="3" t="str">
        <f>VLOOKUP(Table2[[#This Row],[Tegevusala nimetus2]],Table4[[Tegevusala nimetus]:[Tegevusala koondnimetus]],2,FALSE)</f>
        <v>Vabaaeg, kultuur ja religioon</v>
      </c>
      <c r="F325" t="s">
        <v>505</v>
      </c>
      <c r="G325" t="s">
        <v>513</v>
      </c>
      <c r="H325" s="40">
        <v>26.4</v>
      </c>
      <c r="J325">
        <v>5511</v>
      </c>
      <c r="K325" s="3" t="str">
        <f>VLOOKUP(Table2[[#This Row],[Konto]],Table5[[Konto]:[Konto nimetus]],2,FALSE)</f>
        <v>Kinnistute, hoonete ja ruumide majandamiskulud</v>
      </c>
      <c r="L325">
        <v>55</v>
      </c>
      <c r="M325" t="str">
        <f t="shared" si="11"/>
        <v>55</v>
      </c>
      <c r="N325" t="str">
        <f>VLOOKUP(Table2[[#This Row],[Tulu/kulu liik2]],Table5[[Tulu/kulu liik]:[Kontode koondnimetus]],4,FALSE)</f>
        <v>Muud tegevuskulud</v>
      </c>
      <c r="O325" t="str">
        <f>VLOOKUP(Table2[[#This Row],[Tulu/kulu liik2]],Table5[],6,FALSE)</f>
        <v>Majandamiskulud</v>
      </c>
      <c r="P325" s="3" t="str">
        <f>VLOOKUP(Table2[[#This Row],[Tulu/kulu liik2]],Table5[],5,FALSE)</f>
        <v>Põhitegevuse kulu</v>
      </c>
    </row>
    <row r="326" spans="1:16" x14ac:dyDescent="0.25">
      <c r="A326" t="str">
        <f t="shared" si="10"/>
        <v>08</v>
      </c>
      <c r="B326" t="s">
        <v>273</v>
      </c>
      <c r="C326" s="3" t="str">
        <f>VLOOKUP(Table2[[#This Row],[Tegevusala]],Table4[],2,FALSE)</f>
        <v xml:space="preserve"> Muuga Spordihoone</v>
      </c>
      <c r="D326" s="3" t="str">
        <f>VLOOKUP(Table2[[#This Row],[Tegevusala]],Table4[[Tegevusala kood]:[Tegevusala alanimetus]],4,FALSE)</f>
        <v>Sport</v>
      </c>
      <c r="E326" s="3" t="str">
        <f>VLOOKUP(Table2[[#This Row],[Tegevusala nimetus2]],Table4[[Tegevusala nimetus]:[Tegevusala koondnimetus]],2,FALSE)</f>
        <v>Vabaaeg, kultuur ja religioon</v>
      </c>
      <c r="F326" t="s">
        <v>505</v>
      </c>
      <c r="G326" t="s">
        <v>514</v>
      </c>
      <c r="H326" s="40">
        <v>150</v>
      </c>
      <c r="J326">
        <v>5511</v>
      </c>
      <c r="K326" s="3" t="str">
        <f>VLOOKUP(Table2[[#This Row],[Konto]],Table5[[Konto]:[Konto nimetus]],2,FALSE)</f>
        <v>Kinnistute, hoonete ja ruumide majandamiskulud</v>
      </c>
      <c r="L326">
        <v>55</v>
      </c>
      <c r="M326" t="str">
        <f t="shared" si="11"/>
        <v>55</v>
      </c>
      <c r="N326" t="str">
        <f>VLOOKUP(Table2[[#This Row],[Tulu/kulu liik2]],Table5[[Tulu/kulu liik]:[Kontode koondnimetus]],4,FALSE)</f>
        <v>Muud tegevuskulud</v>
      </c>
      <c r="O326" t="str">
        <f>VLOOKUP(Table2[[#This Row],[Tulu/kulu liik2]],Table5[],6,FALSE)</f>
        <v>Majandamiskulud</v>
      </c>
      <c r="P326" s="3" t="str">
        <f>VLOOKUP(Table2[[#This Row],[Tulu/kulu liik2]],Table5[],5,FALSE)</f>
        <v>Põhitegevuse kulu</v>
      </c>
    </row>
    <row r="327" spans="1:16" x14ac:dyDescent="0.25">
      <c r="A327" t="str">
        <f t="shared" si="10"/>
        <v>08</v>
      </c>
      <c r="B327" t="s">
        <v>273</v>
      </c>
      <c r="C327" s="3" t="str">
        <f>VLOOKUP(Table2[[#This Row],[Tegevusala]],Table4[],2,FALSE)</f>
        <v xml:space="preserve"> Muuga Spordihoone</v>
      </c>
      <c r="D327" s="3" t="str">
        <f>VLOOKUP(Table2[[#This Row],[Tegevusala]],Table4[[Tegevusala kood]:[Tegevusala alanimetus]],4,FALSE)</f>
        <v>Sport</v>
      </c>
      <c r="E327" s="3" t="str">
        <f>VLOOKUP(Table2[[#This Row],[Tegevusala nimetus2]],Table4[[Tegevusala nimetus]:[Tegevusala koondnimetus]],2,FALSE)</f>
        <v>Vabaaeg, kultuur ja religioon</v>
      </c>
      <c r="F327" t="s">
        <v>505</v>
      </c>
      <c r="G327" t="s">
        <v>517</v>
      </c>
      <c r="H327" s="40">
        <v>300</v>
      </c>
      <c r="J327">
        <v>5514</v>
      </c>
      <c r="K327" s="3" t="str">
        <f>VLOOKUP(Table2[[#This Row],[Konto]],Table5[[Konto]:[Konto nimetus]],2,FALSE)</f>
        <v>Info- ja kommunikatsioonitehnoliigised kulud</v>
      </c>
      <c r="L327">
        <v>55</v>
      </c>
      <c r="M327" t="str">
        <f t="shared" si="11"/>
        <v>55</v>
      </c>
      <c r="N327" t="str">
        <f>VLOOKUP(Table2[[#This Row],[Tulu/kulu liik2]],Table5[[Tulu/kulu liik]:[Kontode koondnimetus]],4,FALSE)</f>
        <v>Muud tegevuskulud</v>
      </c>
      <c r="O327" t="str">
        <f>VLOOKUP(Table2[[#This Row],[Tulu/kulu liik2]],Table5[],6,FALSE)</f>
        <v>Majandamiskulud</v>
      </c>
      <c r="P327" s="3" t="str">
        <f>VLOOKUP(Table2[[#This Row],[Tulu/kulu liik2]],Table5[],5,FALSE)</f>
        <v>Põhitegevuse kulu</v>
      </c>
    </row>
    <row r="328" spans="1:16" x14ac:dyDescent="0.25">
      <c r="A328" t="str">
        <f t="shared" si="10"/>
        <v>08</v>
      </c>
      <c r="B328" t="s">
        <v>275</v>
      </c>
      <c r="C328" s="3" t="str">
        <f>VLOOKUP(Table2[[#This Row],[Tegevusala]],Table4[],2,FALSE)</f>
        <v xml:space="preserve"> Staadion</v>
      </c>
      <c r="D328" s="3" t="str">
        <f>VLOOKUP(Table2[[#This Row],[Tegevusala]],Table4[[Tegevusala kood]:[Tegevusala alanimetus]],4,FALSE)</f>
        <v>Sport</v>
      </c>
      <c r="E328" s="3" t="str">
        <f>VLOOKUP(Table2[[#This Row],[Tegevusala nimetus2]],Table4[[Tegevusala nimetus]:[Tegevusala koondnimetus]],2,FALSE)</f>
        <v>Vabaaeg, kultuur ja religioon</v>
      </c>
      <c r="F328" t="s">
        <v>648</v>
      </c>
      <c r="G328" t="s">
        <v>649</v>
      </c>
      <c r="H328" s="40">
        <v>3000</v>
      </c>
      <c r="J328">
        <v>5511</v>
      </c>
      <c r="K328" s="3" t="str">
        <f>VLOOKUP(Table2[[#This Row],[Konto]],Table5[[Konto]:[Konto nimetus]],2,FALSE)</f>
        <v>Kinnistute, hoonete ja ruumide majandamiskulud</v>
      </c>
      <c r="L328">
        <v>55</v>
      </c>
      <c r="M328" t="str">
        <f t="shared" si="11"/>
        <v>55</v>
      </c>
      <c r="N328" s="3" t="str">
        <f>VLOOKUP(Table2[[#This Row],[Tulu/kulu liik2]],Table5[[Tulu/kulu liik]:[Kontode koondnimetus]],4,FALSE)</f>
        <v>Muud tegevuskulud</v>
      </c>
      <c r="O328" s="3" t="str">
        <f>VLOOKUP(Table2[[#This Row],[Tulu/kulu liik2]],Table5[],6,FALSE)</f>
        <v>Majandamiskulud</v>
      </c>
      <c r="P328" s="3" t="str">
        <f>VLOOKUP(Table2[[#This Row],[Tulu/kulu liik2]],Table5[],5,FALSE)</f>
        <v>Põhitegevuse kulu</v>
      </c>
    </row>
    <row r="329" spans="1:16" x14ac:dyDescent="0.25">
      <c r="A329" t="str">
        <f t="shared" si="10"/>
        <v>08</v>
      </c>
      <c r="B329" t="s">
        <v>275</v>
      </c>
      <c r="C329" s="3" t="str">
        <f>VLOOKUP(Table2[[#This Row],[Tegevusala]],Table4[],2,FALSE)</f>
        <v xml:space="preserve"> Staadion</v>
      </c>
      <c r="D329" s="3" t="str">
        <f>VLOOKUP(Table2[[#This Row],[Tegevusala]],Table4[[Tegevusala kood]:[Tegevusala alanimetus]],4,FALSE)</f>
        <v>Sport</v>
      </c>
      <c r="E329" s="3" t="str">
        <f>VLOOKUP(Table2[[#This Row],[Tegevusala nimetus2]],Table4[[Tegevusala nimetus]:[Tegevusala koondnimetus]],2,FALSE)</f>
        <v>Vabaaeg, kultuur ja religioon</v>
      </c>
      <c r="F329" t="s">
        <v>648</v>
      </c>
      <c r="G329" t="s">
        <v>650</v>
      </c>
      <c r="H329" s="40">
        <v>1500</v>
      </c>
      <c r="J329">
        <v>5511</v>
      </c>
      <c r="K329" s="3" t="str">
        <f>VLOOKUP(Table2[[#This Row],[Konto]],Table5[[Konto]:[Konto nimetus]],2,FALSE)</f>
        <v>Kinnistute, hoonete ja ruumide majandamiskulud</v>
      </c>
      <c r="L329">
        <v>55</v>
      </c>
      <c r="M329" t="str">
        <f t="shared" si="11"/>
        <v>55</v>
      </c>
      <c r="N329" s="3" t="str">
        <f>VLOOKUP(Table2[[#This Row],[Tulu/kulu liik2]],Table5[[Tulu/kulu liik]:[Kontode koondnimetus]],4,FALSE)</f>
        <v>Muud tegevuskulud</v>
      </c>
      <c r="O329" s="3" t="str">
        <f>VLOOKUP(Table2[[#This Row],[Tulu/kulu liik2]],Table5[],6,FALSE)</f>
        <v>Majandamiskulud</v>
      </c>
      <c r="P329" s="3" t="str">
        <f>VLOOKUP(Table2[[#This Row],[Tulu/kulu liik2]],Table5[],5,FALSE)</f>
        <v>Põhitegevuse kulu</v>
      </c>
    </row>
    <row r="330" spans="1:16" x14ac:dyDescent="0.25">
      <c r="A330" t="str">
        <f t="shared" si="10"/>
        <v>08</v>
      </c>
      <c r="B330" t="s">
        <v>275</v>
      </c>
      <c r="C330" s="3" t="str">
        <f>VLOOKUP(Table2[[#This Row],[Tegevusala]],Table4[],2,FALSE)</f>
        <v xml:space="preserve"> Staadion</v>
      </c>
      <c r="D330" s="3" t="str">
        <f>VLOOKUP(Table2[[#This Row],[Tegevusala]],Table4[[Tegevusala kood]:[Tegevusala alanimetus]],4,FALSE)</f>
        <v>Sport</v>
      </c>
      <c r="E330" s="3" t="str">
        <f>VLOOKUP(Table2[[#This Row],[Tegevusala nimetus2]],Table4[[Tegevusala nimetus]:[Tegevusala koondnimetus]],2,FALSE)</f>
        <v>Vabaaeg, kultuur ja religioon</v>
      </c>
      <c r="F330" t="s">
        <v>648</v>
      </c>
      <c r="G330" t="s">
        <v>198</v>
      </c>
      <c r="H330" s="40">
        <v>300</v>
      </c>
      <c r="J330">
        <v>5511</v>
      </c>
      <c r="K330" s="3" t="str">
        <f>VLOOKUP(Table2[[#This Row],[Konto]],Table5[[Konto]:[Konto nimetus]],2,FALSE)</f>
        <v>Kinnistute, hoonete ja ruumide majandamiskulud</v>
      </c>
      <c r="L330">
        <v>55</v>
      </c>
      <c r="M330" t="str">
        <f t="shared" si="11"/>
        <v>55</v>
      </c>
      <c r="N330" s="3" t="str">
        <f>VLOOKUP(Table2[[#This Row],[Tulu/kulu liik2]],Table5[[Tulu/kulu liik]:[Kontode koondnimetus]],4,FALSE)</f>
        <v>Muud tegevuskulud</v>
      </c>
      <c r="O330" s="3" t="str">
        <f>VLOOKUP(Table2[[#This Row],[Tulu/kulu liik2]],Table5[],6,FALSE)</f>
        <v>Majandamiskulud</v>
      </c>
      <c r="P330" s="3" t="str">
        <f>VLOOKUP(Table2[[#This Row],[Tulu/kulu liik2]],Table5[],5,FALSE)</f>
        <v>Põhitegevuse kulu</v>
      </c>
    </row>
    <row r="331" spans="1:16" x14ac:dyDescent="0.25">
      <c r="A331" t="str">
        <f t="shared" si="10"/>
        <v>08</v>
      </c>
      <c r="B331" t="s">
        <v>275</v>
      </c>
      <c r="C331" s="3" t="str">
        <f>VLOOKUP(Table2[[#This Row],[Tegevusala]],Table4[],2,FALSE)</f>
        <v xml:space="preserve"> Staadion</v>
      </c>
      <c r="D331" s="3" t="str">
        <f>VLOOKUP(Table2[[#This Row],[Tegevusala]],Table4[[Tegevusala kood]:[Tegevusala alanimetus]],4,FALSE)</f>
        <v>Sport</v>
      </c>
      <c r="E331" s="3" t="str">
        <f>VLOOKUP(Table2[[#This Row],[Tegevusala nimetus2]],Table4[[Tegevusala nimetus]:[Tegevusala koondnimetus]],2,FALSE)</f>
        <v>Vabaaeg, kultuur ja religioon</v>
      </c>
      <c r="F331" t="s">
        <v>648</v>
      </c>
      <c r="G331" t="s">
        <v>651</v>
      </c>
      <c r="H331" s="40">
        <v>785</v>
      </c>
      <c r="J331">
        <v>5511</v>
      </c>
      <c r="K331" s="3" t="str">
        <f>VLOOKUP(Table2[[#This Row],[Konto]],Table5[[Konto]:[Konto nimetus]],2,FALSE)</f>
        <v>Kinnistute, hoonete ja ruumide majandamiskulud</v>
      </c>
      <c r="L331">
        <v>55</v>
      </c>
      <c r="M331" t="str">
        <f t="shared" si="11"/>
        <v>55</v>
      </c>
      <c r="N331" s="3" t="str">
        <f>VLOOKUP(Table2[[#This Row],[Tulu/kulu liik2]],Table5[[Tulu/kulu liik]:[Kontode koondnimetus]],4,FALSE)</f>
        <v>Muud tegevuskulud</v>
      </c>
      <c r="O331" s="3" t="str">
        <f>VLOOKUP(Table2[[#This Row],[Tulu/kulu liik2]],Table5[],6,FALSE)</f>
        <v>Majandamiskulud</v>
      </c>
      <c r="P331" s="3" t="str">
        <f>VLOOKUP(Table2[[#This Row],[Tulu/kulu liik2]],Table5[],5,FALSE)</f>
        <v>Põhitegevuse kulu</v>
      </c>
    </row>
    <row r="332" spans="1:16" x14ac:dyDescent="0.25">
      <c r="A332" t="str">
        <f t="shared" si="10"/>
        <v>08</v>
      </c>
      <c r="B332" t="s">
        <v>275</v>
      </c>
      <c r="C332" s="3" t="str">
        <f>VLOOKUP(Table2[[#This Row],[Tegevusala]],Table4[],2,FALSE)</f>
        <v xml:space="preserve"> Staadion</v>
      </c>
      <c r="D332" s="3" t="str">
        <f>VLOOKUP(Table2[[#This Row],[Tegevusala]],Table4[[Tegevusala kood]:[Tegevusala alanimetus]],4,FALSE)</f>
        <v>Sport</v>
      </c>
      <c r="E332" s="3" t="str">
        <f>VLOOKUP(Table2[[#This Row],[Tegevusala nimetus2]],Table4[[Tegevusala nimetus]:[Tegevusala koondnimetus]],2,FALSE)</f>
        <v>Vabaaeg, kultuur ja religioon</v>
      </c>
      <c r="F332" t="s">
        <v>648</v>
      </c>
      <c r="G332" t="s">
        <v>652</v>
      </c>
      <c r="H332" s="40">
        <v>15</v>
      </c>
      <c r="J332">
        <v>5511</v>
      </c>
      <c r="K332" s="3" t="str">
        <f>VLOOKUP(Table2[[#This Row],[Konto]],Table5[[Konto]:[Konto nimetus]],2,FALSE)</f>
        <v>Kinnistute, hoonete ja ruumide majandamiskulud</v>
      </c>
      <c r="L332">
        <v>55</v>
      </c>
      <c r="M332" t="str">
        <f t="shared" si="11"/>
        <v>55</v>
      </c>
      <c r="N332" s="3" t="str">
        <f>VLOOKUP(Table2[[#This Row],[Tulu/kulu liik2]],Table5[[Tulu/kulu liik]:[Kontode koondnimetus]],4,FALSE)</f>
        <v>Muud tegevuskulud</v>
      </c>
      <c r="O332" s="3" t="str">
        <f>VLOOKUP(Table2[[#This Row],[Tulu/kulu liik2]],Table5[],6,FALSE)</f>
        <v>Majandamiskulud</v>
      </c>
      <c r="P332" s="3" t="str">
        <f>VLOOKUP(Table2[[#This Row],[Tulu/kulu liik2]],Table5[],5,FALSE)</f>
        <v>Põhitegevuse kulu</v>
      </c>
    </row>
    <row r="333" spans="1:16" x14ac:dyDescent="0.25">
      <c r="A333" t="str">
        <f t="shared" si="10"/>
        <v>08</v>
      </c>
      <c r="B333" t="s">
        <v>277</v>
      </c>
      <c r="C333" s="3" t="str">
        <f>VLOOKUP(Table2[[#This Row],[Tegevusala]],Table4[],2,FALSE)</f>
        <v xml:space="preserve"> Toetused sportlastele</v>
      </c>
      <c r="D333" s="3" t="str">
        <f>VLOOKUP(Table2[[#This Row],[Tegevusala]],Table4[[Tegevusala kood]:[Tegevusala alanimetus]],4,FALSE)</f>
        <v>Sport</v>
      </c>
      <c r="E333" s="3" t="str">
        <f>VLOOKUP(Table2[[#This Row],[Tegevusala nimetus2]],Table4[[Tegevusala nimetus]:[Tegevusala koondnimetus]],2,FALSE)</f>
        <v>Vabaaeg, kultuur ja religioon</v>
      </c>
      <c r="F333" t="s">
        <v>770</v>
      </c>
      <c r="G333" t="s">
        <v>2033</v>
      </c>
      <c r="H333" s="40">
        <v>8000</v>
      </c>
      <c r="J333">
        <v>4500</v>
      </c>
      <c r="K333" s="3" t="str">
        <f>VLOOKUP(Table2[[#This Row],[Konto]],Table5[[Konto]:[Konto nimetus]],2,FALSE)</f>
        <v>Sihtotstarbelised eraldised jooksvateks kuludeks</v>
      </c>
      <c r="L333">
        <v>4500</v>
      </c>
      <c r="M333" t="str">
        <f t="shared" si="11"/>
        <v>45</v>
      </c>
      <c r="N333" s="3" t="str">
        <f>VLOOKUP(Table2[[#This Row],[Tulu/kulu liik2]],Table5[[Tulu/kulu liik]:[Kontode koondnimetus]],4,FALSE)</f>
        <v>Antavad toetused tegevuskuludeks</v>
      </c>
      <c r="O333" s="3" t="str">
        <f>VLOOKUP(Table2[[#This Row],[Tulu/kulu liik2]],Table5[],6,FALSE)</f>
        <v>Sihtotstarbelised toetused tegevuskuludeks</v>
      </c>
      <c r="P333" s="3" t="str">
        <f>VLOOKUP(Table2[[#This Row],[Tulu/kulu liik2]],Table5[],5,FALSE)</f>
        <v>Põhitegevuse kulu</v>
      </c>
    </row>
    <row r="334" spans="1:16" x14ac:dyDescent="0.25">
      <c r="A334" t="str">
        <f t="shared" si="10"/>
        <v>08</v>
      </c>
      <c r="B334" t="s">
        <v>278</v>
      </c>
      <c r="C334" s="3" t="str">
        <f>VLOOKUP(Table2[[#This Row],[Tegevusala]],Table4[],2,FALSE)</f>
        <v xml:space="preserve"> Üritused</v>
      </c>
      <c r="D334" s="3" t="str">
        <f>VLOOKUP(Table2[[#This Row],[Tegevusala]],Table4[[Tegevusala kood]:[Tegevusala alanimetus]],4,FALSE)</f>
        <v>Sport</v>
      </c>
      <c r="E334" s="3" t="str">
        <f>VLOOKUP(Table2[[#This Row],[Tegevusala nimetus2]],Table4[[Tegevusala nimetus]:[Tegevusala koondnimetus]],2,FALSE)</f>
        <v>Vabaaeg, kultuur ja religioon</v>
      </c>
      <c r="F334" t="s">
        <v>770</v>
      </c>
      <c r="G334" t="s">
        <v>784</v>
      </c>
      <c r="H334" s="40">
        <v>800</v>
      </c>
      <c r="J334">
        <v>5540</v>
      </c>
      <c r="K334" s="3" t="str">
        <f>VLOOKUP(Table2[[#This Row],[Konto]],Table5[[Konto]:[Konto nimetus]],2,FALSE)</f>
        <v>Mitmesugused majanduskulud</v>
      </c>
      <c r="L334">
        <v>55</v>
      </c>
      <c r="M334" t="str">
        <f t="shared" si="11"/>
        <v>55</v>
      </c>
      <c r="N334" s="3" t="str">
        <f>VLOOKUP(Table2[[#This Row],[Tulu/kulu liik2]],Table5[[Tulu/kulu liik]:[Kontode koondnimetus]],4,FALSE)</f>
        <v>Muud tegevuskulud</v>
      </c>
      <c r="O334" s="3" t="str">
        <f>VLOOKUP(Table2[[#This Row],[Tulu/kulu liik2]],Table5[],6,FALSE)</f>
        <v>Majandamiskulud</v>
      </c>
      <c r="P334" s="3" t="str">
        <f>VLOOKUP(Table2[[#This Row],[Tulu/kulu liik2]],Table5[],5,FALSE)</f>
        <v>Põhitegevuse kulu</v>
      </c>
    </row>
    <row r="335" spans="1:16" x14ac:dyDescent="0.25">
      <c r="A335" t="str">
        <f t="shared" si="10"/>
        <v>08</v>
      </c>
      <c r="B335" t="s">
        <v>278</v>
      </c>
      <c r="C335" s="3" t="str">
        <f>VLOOKUP(Table2[[#This Row],[Tegevusala]],Table4[],2,FALSE)</f>
        <v xml:space="preserve"> Üritused</v>
      </c>
      <c r="D335" s="3" t="str">
        <f>VLOOKUP(Table2[[#This Row],[Tegevusala]],Table4[[Tegevusala kood]:[Tegevusala alanimetus]],4,FALSE)</f>
        <v>Sport</v>
      </c>
      <c r="E335" s="3" t="str">
        <f>VLOOKUP(Table2[[#This Row],[Tegevusala nimetus2]],Table4[[Tegevusala nimetus]:[Tegevusala koondnimetus]],2,FALSE)</f>
        <v>Vabaaeg, kultuur ja religioon</v>
      </c>
      <c r="F335" t="s">
        <v>770</v>
      </c>
      <c r="G335" t="s">
        <v>785</v>
      </c>
      <c r="H335" s="40">
        <v>1000</v>
      </c>
      <c r="J335">
        <v>5540</v>
      </c>
      <c r="K335" s="3" t="str">
        <f>VLOOKUP(Table2[[#This Row],[Konto]],Table5[[Konto]:[Konto nimetus]],2,FALSE)</f>
        <v>Mitmesugused majanduskulud</v>
      </c>
      <c r="L335">
        <v>55</v>
      </c>
      <c r="M335" t="str">
        <f t="shared" si="11"/>
        <v>55</v>
      </c>
      <c r="N335" s="3" t="str">
        <f>VLOOKUP(Table2[[#This Row],[Tulu/kulu liik2]],Table5[[Tulu/kulu liik]:[Kontode koondnimetus]],4,FALSE)</f>
        <v>Muud tegevuskulud</v>
      </c>
      <c r="O335" s="3" t="str">
        <f>VLOOKUP(Table2[[#This Row],[Tulu/kulu liik2]],Table5[],6,FALSE)</f>
        <v>Majandamiskulud</v>
      </c>
      <c r="P335" s="3" t="str">
        <f>VLOOKUP(Table2[[#This Row],[Tulu/kulu liik2]],Table5[],5,FALSE)</f>
        <v>Põhitegevuse kulu</v>
      </c>
    </row>
    <row r="336" spans="1:16" x14ac:dyDescent="0.25">
      <c r="A336" t="str">
        <f t="shared" si="10"/>
        <v>08</v>
      </c>
      <c r="B336" t="s">
        <v>278</v>
      </c>
      <c r="C336" s="3" t="str">
        <f>VLOOKUP(Table2[[#This Row],[Tegevusala]],Table4[],2,FALSE)</f>
        <v xml:space="preserve"> Üritused</v>
      </c>
      <c r="D336" s="3" t="str">
        <f>VLOOKUP(Table2[[#This Row],[Tegevusala]],Table4[[Tegevusala kood]:[Tegevusala alanimetus]],4,FALSE)</f>
        <v>Sport</v>
      </c>
      <c r="E336" s="3" t="str">
        <f>VLOOKUP(Table2[[#This Row],[Tegevusala nimetus2]],Table4[[Tegevusala nimetus]:[Tegevusala koondnimetus]],2,FALSE)</f>
        <v>Vabaaeg, kultuur ja religioon</v>
      </c>
      <c r="F336" t="s">
        <v>770</v>
      </c>
      <c r="G336" t="s">
        <v>787</v>
      </c>
      <c r="H336" s="40">
        <v>4000</v>
      </c>
      <c r="J336">
        <v>5540</v>
      </c>
      <c r="K336" s="3" t="str">
        <f>VLOOKUP(Table2[[#This Row],[Konto]],Table5[[Konto]:[Konto nimetus]],2,FALSE)</f>
        <v>Mitmesugused majanduskulud</v>
      </c>
      <c r="L336">
        <v>55</v>
      </c>
      <c r="M336" t="str">
        <f t="shared" si="11"/>
        <v>55</v>
      </c>
      <c r="N336" s="3" t="str">
        <f>VLOOKUP(Table2[[#This Row],[Tulu/kulu liik2]],Table5[[Tulu/kulu liik]:[Kontode koondnimetus]],4,FALSE)</f>
        <v>Muud tegevuskulud</v>
      </c>
      <c r="O336" s="3" t="str">
        <f>VLOOKUP(Table2[[#This Row],[Tulu/kulu liik2]],Table5[],6,FALSE)</f>
        <v>Majandamiskulud</v>
      </c>
      <c r="P336" s="3" t="str">
        <f>VLOOKUP(Table2[[#This Row],[Tulu/kulu liik2]],Table5[],5,FALSE)</f>
        <v>Põhitegevuse kulu</v>
      </c>
    </row>
    <row r="337" spans="1:16" x14ac:dyDescent="0.25">
      <c r="A337" t="str">
        <f t="shared" si="10"/>
        <v>08</v>
      </c>
      <c r="B337" t="s">
        <v>279</v>
      </c>
      <c r="C337" s="3" t="str">
        <f>VLOOKUP(Table2[[#This Row],[Tegevusala]],Table4[],2,FALSE)</f>
        <v xml:space="preserve"> Tervise edendamine</v>
      </c>
      <c r="D337" s="3" t="str">
        <f>VLOOKUP(Table2[[#This Row],[Tegevusala]],Table4[[Tegevusala kood]:[Tegevusala alanimetus]],4,FALSE)</f>
        <v>Sport</v>
      </c>
      <c r="E337" s="3" t="str">
        <f>VLOOKUP(Table2[[#This Row],[Tegevusala nimetus2]],Table4[[Tegevusala nimetus]:[Tegevusala koondnimetus]],2,FALSE)</f>
        <v>Vabaaeg, kultuur ja religioon</v>
      </c>
      <c r="F337" t="s">
        <v>770</v>
      </c>
      <c r="G337" t="s">
        <v>782</v>
      </c>
      <c r="H337" s="40">
        <v>20000</v>
      </c>
      <c r="J337">
        <v>5540</v>
      </c>
      <c r="K337" s="3" t="str">
        <f>VLOOKUP(Table2[[#This Row],[Konto]],Table5[[Konto]:[Konto nimetus]],2,FALSE)</f>
        <v>Mitmesugused majanduskulud</v>
      </c>
      <c r="L337">
        <v>55</v>
      </c>
      <c r="M337" t="str">
        <f t="shared" si="11"/>
        <v>55</v>
      </c>
      <c r="N337" s="3" t="str">
        <f>VLOOKUP(Table2[[#This Row],[Tulu/kulu liik2]],Table5[[Tulu/kulu liik]:[Kontode koondnimetus]],4,FALSE)</f>
        <v>Muud tegevuskulud</v>
      </c>
      <c r="O337" s="3" t="str">
        <f>VLOOKUP(Table2[[#This Row],[Tulu/kulu liik2]],Table5[],6,FALSE)</f>
        <v>Majandamiskulud</v>
      </c>
      <c r="P337" s="3" t="str">
        <f>VLOOKUP(Table2[[#This Row],[Tulu/kulu liik2]],Table5[],5,FALSE)</f>
        <v>Põhitegevuse kulu</v>
      </c>
    </row>
    <row r="338" spans="1:16" x14ac:dyDescent="0.25">
      <c r="A338" t="str">
        <f t="shared" si="10"/>
        <v>08</v>
      </c>
      <c r="B338" t="s">
        <v>279</v>
      </c>
      <c r="C338" s="3" t="str">
        <f>VLOOKUP(Table2[[#This Row],[Tegevusala]],Table4[],2,FALSE)</f>
        <v xml:space="preserve"> Tervise edendamine</v>
      </c>
      <c r="D338" s="3" t="str">
        <f>VLOOKUP(Table2[[#This Row],[Tegevusala]],Table4[[Tegevusala kood]:[Tegevusala alanimetus]],4,FALSE)</f>
        <v>Sport</v>
      </c>
      <c r="E338" s="3" t="str">
        <f>VLOOKUP(Table2[[#This Row],[Tegevusala nimetus2]],Table4[[Tegevusala nimetus]:[Tegevusala koondnimetus]],2,FALSE)</f>
        <v>Vabaaeg, kultuur ja religioon</v>
      </c>
      <c r="F338" t="s">
        <v>770</v>
      </c>
      <c r="G338" t="s">
        <v>783</v>
      </c>
      <c r="H338" s="40">
        <v>29000</v>
      </c>
      <c r="J338">
        <v>5540</v>
      </c>
      <c r="K338" s="3" t="str">
        <f>VLOOKUP(Table2[[#This Row],[Konto]],Table5[[Konto]:[Konto nimetus]],2,FALSE)</f>
        <v>Mitmesugused majanduskulud</v>
      </c>
      <c r="L338">
        <v>55</v>
      </c>
      <c r="M338" t="str">
        <f t="shared" si="11"/>
        <v>55</v>
      </c>
      <c r="N338" s="3" t="str">
        <f>VLOOKUP(Table2[[#This Row],[Tulu/kulu liik2]],Table5[[Tulu/kulu liik]:[Kontode koondnimetus]],4,FALSE)</f>
        <v>Muud tegevuskulud</v>
      </c>
      <c r="O338" s="3" t="str">
        <f>VLOOKUP(Table2[[#This Row],[Tulu/kulu liik2]],Table5[],6,FALSE)</f>
        <v>Majandamiskulud</v>
      </c>
      <c r="P338" s="3" t="str">
        <f>VLOOKUP(Table2[[#This Row],[Tulu/kulu liik2]],Table5[],5,FALSE)</f>
        <v>Põhitegevuse kulu</v>
      </c>
    </row>
    <row r="339" spans="1:16" x14ac:dyDescent="0.25">
      <c r="A339" t="str">
        <f t="shared" si="10"/>
        <v>08</v>
      </c>
      <c r="B339" s="1" t="s">
        <v>776</v>
      </c>
      <c r="C339" s="3" t="str">
        <f>VLOOKUP(Table2[[#This Row],[Tegevusala]],Table4[],2,FALSE)</f>
        <v xml:space="preserve"> Spordiseltside- ja klubide toetused MTÜ</v>
      </c>
      <c r="D339" s="3" t="str">
        <f>VLOOKUP(Table2[[#This Row],[Tegevusala]],Table4[[Tegevusala kood]:[Tegevusala alanimetus]],4,FALSE)</f>
        <v>Sport</v>
      </c>
      <c r="E339" s="3" t="str">
        <f>VLOOKUP(Table2[[#This Row],[Tegevusala nimetus2]],Table4[[Tegevusala nimetus]:[Tegevusala koondnimetus]],2,FALSE)</f>
        <v>Vabaaeg, kultuur ja religioon</v>
      </c>
      <c r="F339" t="s">
        <v>770</v>
      </c>
      <c r="G339" t="s">
        <v>2032</v>
      </c>
      <c r="H339" s="40">
        <v>26350</v>
      </c>
      <c r="J339">
        <v>4500</v>
      </c>
      <c r="K339" s="3" t="str">
        <f>VLOOKUP(Table2[[#This Row],[Konto]],Table5[[Konto]:[Konto nimetus]],2,FALSE)</f>
        <v>Sihtotstarbelised eraldised jooksvateks kuludeks</v>
      </c>
      <c r="L339">
        <v>4500</v>
      </c>
      <c r="M339" t="str">
        <f t="shared" si="11"/>
        <v>45</v>
      </c>
      <c r="N339" s="3" t="str">
        <f>VLOOKUP(Table2[[#This Row],[Tulu/kulu liik2]],Table5[[Tulu/kulu liik]:[Kontode koondnimetus]],4,FALSE)</f>
        <v>Antavad toetused tegevuskuludeks</v>
      </c>
      <c r="O339" s="3" t="str">
        <f>VLOOKUP(Table2[[#This Row],[Tulu/kulu liik2]],Table5[],6,FALSE)</f>
        <v>Sihtotstarbelised toetused tegevuskuludeks</v>
      </c>
      <c r="P339" s="3" t="str">
        <f>VLOOKUP(Table2[[#This Row],[Tulu/kulu liik2]],Table5[],5,FALSE)</f>
        <v>Põhitegevuse kulu</v>
      </c>
    </row>
    <row r="340" spans="1:16" x14ac:dyDescent="0.25">
      <c r="A340" t="str">
        <f t="shared" si="10"/>
        <v>08</v>
      </c>
      <c r="B340" t="s">
        <v>281</v>
      </c>
      <c r="C340" s="3" t="str">
        <f>VLOOKUP(Table2[[#This Row],[Tegevusala]],Table4[],2,FALSE)</f>
        <v xml:space="preserve"> Noorsootöö haldus</v>
      </c>
      <c r="D340" s="3" t="str">
        <f>VLOOKUP(Table2[[#This Row],[Tegevusala]],Table4[[Tegevusala kood]:[Tegevusala alanimetus]],4,FALSE)</f>
        <v>Noorsootöö ja noortekeskused</v>
      </c>
      <c r="E340" s="3" t="str">
        <f>VLOOKUP(Table2[[#This Row],[Tegevusala nimetus2]],Table4[[Tegevusala nimetus]:[Tegevusala koondnimetus]],2,FALSE)</f>
        <v>Vabaaeg, kultuur ja religioon</v>
      </c>
      <c r="F340" t="s">
        <v>770</v>
      </c>
      <c r="G340" t="s">
        <v>788</v>
      </c>
      <c r="H340" s="47">
        <v>2000</v>
      </c>
      <c r="I340" s="35"/>
      <c r="J340" s="33">
        <v>5540</v>
      </c>
      <c r="K340" s="3" t="str">
        <f>VLOOKUP(Table2[[#This Row],[Konto]],Table5[[Konto]:[Konto nimetus]],2,FALSE)</f>
        <v>Mitmesugused majanduskulud</v>
      </c>
      <c r="L340">
        <v>55</v>
      </c>
      <c r="M340" t="str">
        <f t="shared" si="11"/>
        <v>55</v>
      </c>
      <c r="N340" s="3" t="str">
        <f>VLOOKUP(Table2[[#This Row],[Tulu/kulu liik2]],Table5[[Tulu/kulu liik]:[Kontode koondnimetus]],4,FALSE)</f>
        <v>Muud tegevuskulud</v>
      </c>
      <c r="O340" s="3" t="str">
        <f>VLOOKUP(Table2[[#This Row],[Tulu/kulu liik2]],Table5[],6,FALSE)</f>
        <v>Majandamiskulud</v>
      </c>
      <c r="P340" s="3" t="str">
        <f>VLOOKUP(Table2[[#This Row],[Tulu/kulu liik2]],Table5[],5,FALSE)</f>
        <v>Põhitegevuse kulu</v>
      </c>
    </row>
    <row r="341" spans="1:16" x14ac:dyDescent="0.25">
      <c r="A341" t="str">
        <f t="shared" si="10"/>
        <v>08</v>
      </c>
      <c r="B341" t="s">
        <v>281</v>
      </c>
      <c r="C341" s="3" t="str">
        <f>VLOOKUP(Table2[[#This Row],[Tegevusala]],Table4[],2,FALSE)</f>
        <v xml:space="preserve"> Noorsootöö haldus</v>
      </c>
      <c r="D341" s="3" t="str">
        <f>VLOOKUP(Table2[[#This Row],[Tegevusala]],Table4[[Tegevusala kood]:[Tegevusala alanimetus]],4,FALSE)</f>
        <v>Noorsootöö ja noortekeskused</v>
      </c>
      <c r="E341" s="3" t="str">
        <f>VLOOKUP(Table2[[#This Row],[Tegevusala nimetus2]],Table4[[Tegevusala nimetus]:[Tegevusala koondnimetus]],2,FALSE)</f>
        <v>Vabaaeg, kultuur ja religioon</v>
      </c>
      <c r="F341" t="s">
        <v>770</v>
      </c>
      <c r="G341" t="s">
        <v>442</v>
      </c>
      <c r="H341" s="40">
        <f>12*335</f>
        <v>4020</v>
      </c>
      <c r="J341">
        <v>5513</v>
      </c>
      <c r="K341" s="3" t="str">
        <f>VLOOKUP(Table2[[#This Row],[Konto]],Table5[[Konto]:[Konto nimetus]],2,FALSE)</f>
        <v>Sõidukite ülalpidamise kulud</v>
      </c>
      <c r="L341">
        <v>55</v>
      </c>
      <c r="M341" t="str">
        <f t="shared" si="11"/>
        <v>55</v>
      </c>
      <c r="N341" s="3" t="str">
        <f>VLOOKUP(Table2[[#This Row],[Tulu/kulu liik2]],Table5[[Tulu/kulu liik]:[Kontode koondnimetus]],4,FALSE)</f>
        <v>Muud tegevuskulud</v>
      </c>
      <c r="O341" s="3" t="str">
        <f>VLOOKUP(Table2[[#This Row],[Tulu/kulu liik2]],Table5[],6,FALSE)</f>
        <v>Majandamiskulud</v>
      </c>
      <c r="P341" s="3" t="str">
        <f>VLOOKUP(Table2[[#This Row],[Tulu/kulu liik2]],Table5[],5,FALSE)</f>
        <v>Põhitegevuse kulu</v>
      </c>
    </row>
    <row r="342" spans="1:16" x14ac:dyDescent="0.25">
      <c r="A342" t="str">
        <f t="shared" si="10"/>
        <v>08</v>
      </c>
      <c r="B342" t="s">
        <v>281</v>
      </c>
      <c r="C342" s="3" t="str">
        <f>VLOOKUP(Table2[[#This Row],[Tegevusala]],Table4[],2,FALSE)</f>
        <v xml:space="preserve"> Noorsootöö haldus</v>
      </c>
      <c r="D342" s="3" t="str">
        <f>VLOOKUP(Table2[[#This Row],[Tegevusala]],Table4[[Tegevusala kood]:[Tegevusala alanimetus]],4,FALSE)</f>
        <v>Noorsootöö ja noortekeskused</v>
      </c>
      <c r="E342" s="3" t="str">
        <f>VLOOKUP(Table2[[#This Row],[Tegevusala nimetus2]],Table4[[Tegevusala nimetus]:[Tegevusala koondnimetus]],2,FALSE)</f>
        <v>Vabaaeg, kultuur ja religioon</v>
      </c>
      <c r="F342" t="s">
        <v>770</v>
      </c>
      <c r="G342" t="s">
        <v>794</v>
      </c>
      <c r="H342" s="40">
        <v>135</v>
      </c>
      <c r="J342">
        <v>5500</v>
      </c>
      <c r="K342" s="3" t="str">
        <f>VLOOKUP(Table2[[#This Row],[Konto]],Table5[[Konto]:[Konto nimetus]],2,FALSE)</f>
        <v>Administreerimiskulud</v>
      </c>
      <c r="L342">
        <v>55</v>
      </c>
      <c r="M342" t="str">
        <f t="shared" si="11"/>
        <v>55</v>
      </c>
      <c r="N342" s="3" t="str">
        <f>VLOOKUP(Table2[[#This Row],[Tulu/kulu liik2]],Table5[[Tulu/kulu liik]:[Kontode koondnimetus]],4,FALSE)</f>
        <v>Muud tegevuskulud</v>
      </c>
      <c r="O342" s="3" t="str">
        <f>VLOOKUP(Table2[[#This Row],[Tulu/kulu liik2]],Table5[],6,FALSE)</f>
        <v>Majandamiskulud</v>
      </c>
      <c r="P342" s="3" t="str">
        <f>VLOOKUP(Table2[[#This Row],[Tulu/kulu liik2]],Table5[],5,FALSE)</f>
        <v>Põhitegevuse kulu</v>
      </c>
    </row>
    <row r="343" spans="1:16" x14ac:dyDescent="0.25">
      <c r="A343" t="str">
        <f t="shared" si="10"/>
        <v>08</v>
      </c>
      <c r="B343" t="s">
        <v>281</v>
      </c>
      <c r="C343" s="3" t="str">
        <f>VLOOKUP(Table2[[#This Row],[Tegevusala]],Table4[],2,FALSE)</f>
        <v xml:space="preserve"> Noorsootöö haldus</v>
      </c>
      <c r="D343" s="3" t="str">
        <f>VLOOKUP(Table2[[#This Row],[Tegevusala]],Table4[[Tegevusala kood]:[Tegevusala alanimetus]],4,FALSE)</f>
        <v>Noorsootöö ja noortekeskused</v>
      </c>
      <c r="E343" s="3" t="str">
        <f>VLOOKUP(Table2[[#This Row],[Tegevusala nimetus2]],Table4[[Tegevusala nimetus]:[Tegevusala koondnimetus]],2,FALSE)</f>
        <v>Vabaaeg, kultuur ja religioon</v>
      </c>
      <c r="F343" t="s">
        <v>770</v>
      </c>
      <c r="G343" t="s">
        <v>795</v>
      </c>
      <c r="H343" s="40">
        <v>150</v>
      </c>
      <c r="J343">
        <v>5504</v>
      </c>
      <c r="K343" s="3" t="str">
        <f>VLOOKUP(Table2[[#This Row],[Konto]],Table5[[Konto]:[Konto nimetus]],2,FALSE)</f>
        <v>Koolituskulud</v>
      </c>
      <c r="L343">
        <v>55</v>
      </c>
      <c r="M343" t="str">
        <f t="shared" si="11"/>
        <v>55</v>
      </c>
      <c r="N343" s="3" t="str">
        <f>VLOOKUP(Table2[[#This Row],[Tulu/kulu liik2]],Table5[[Tulu/kulu liik]:[Kontode koondnimetus]],4,FALSE)</f>
        <v>Muud tegevuskulud</v>
      </c>
      <c r="O343" s="3" t="str">
        <f>VLOOKUP(Table2[[#This Row],[Tulu/kulu liik2]],Table5[],6,FALSE)</f>
        <v>Majandamiskulud</v>
      </c>
      <c r="P343" s="3" t="str">
        <f>VLOOKUP(Table2[[#This Row],[Tulu/kulu liik2]],Table5[],5,FALSE)</f>
        <v>Põhitegevuse kulu</v>
      </c>
    </row>
    <row r="344" spans="1:16" x14ac:dyDescent="0.25">
      <c r="A344" t="str">
        <f t="shared" si="10"/>
        <v>08</v>
      </c>
      <c r="B344" t="s">
        <v>281</v>
      </c>
      <c r="C344" s="3" t="str">
        <f>VLOOKUP(Table2[[#This Row],[Tegevusala]],Table4[],2,FALSE)</f>
        <v xml:space="preserve"> Noorsootöö haldus</v>
      </c>
      <c r="D344" s="3" t="str">
        <f>VLOOKUP(Table2[[#This Row],[Tegevusala]],Table4[[Tegevusala kood]:[Tegevusala alanimetus]],4,FALSE)</f>
        <v>Noorsootöö ja noortekeskused</v>
      </c>
      <c r="E344" s="3" t="str">
        <f>VLOOKUP(Table2[[#This Row],[Tegevusala nimetus2]],Table4[[Tegevusala nimetus]:[Tegevusala koondnimetus]],2,FALSE)</f>
        <v>Vabaaeg, kultuur ja religioon</v>
      </c>
      <c r="F344" t="s">
        <v>770</v>
      </c>
      <c r="G344" t="s">
        <v>2105</v>
      </c>
      <c r="H344" s="40">
        <v>700</v>
      </c>
      <c r="I344" s="2" t="s">
        <v>2106</v>
      </c>
      <c r="J344">
        <v>5515</v>
      </c>
      <c r="K344" s="3" t="str">
        <f>VLOOKUP(Table2[[#This Row],[Konto]],Table5[[Konto]:[Konto nimetus]],2,FALSE)</f>
        <v>Inventari kulud, v.a infotehnoloogia ja kaitseotstarbelised kulud</v>
      </c>
      <c r="L344">
        <v>55</v>
      </c>
      <c r="M344" t="str">
        <f t="shared" si="11"/>
        <v>55</v>
      </c>
      <c r="N344" s="3" t="str">
        <f>VLOOKUP(Table2[[#This Row],[Tulu/kulu liik2]],Table5[[Tulu/kulu liik]:[Kontode koondnimetus]],4,FALSE)</f>
        <v>Muud tegevuskulud</v>
      </c>
      <c r="O344" s="34" t="str">
        <f>VLOOKUP(Table2[[#This Row],[Tulu/kulu liik2]],Table5[],6,FALSE)</f>
        <v>Majandamiskulud</v>
      </c>
      <c r="P344" s="3" t="str">
        <f>VLOOKUP(Table2[[#This Row],[Tulu/kulu liik2]],Table5[],5,FALSE)</f>
        <v>Põhitegevuse kulu</v>
      </c>
    </row>
    <row r="345" spans="1:16" x14ac:dyDescent="0.25">
      <c r="A345" t="str">
        <f t="shared" si="10"/>
        <v>08</v>
      </c>
      <c r="B345" t="s">
        <v>284</v>
      </c>
      <c r="C345" s="3" t="str">
        <f>VLOOKUP(Table2[[#This Row],[Tegevusala]],Table4[],2,FALSE)</f>
        <v xml:space="preserve"> Projektide kaasfinantseerimine</v>
      </c>
      <c r="D345" s="3" t="str">
        <f>VLOOKUP(Table2[[#This Row],[Tegevusala]],Table4[[Tegevusala kood]:[Tegevusala alanimetus]],4,FALSE)</f>
        <v>Noorsootöö ja noortekeskused</v>
      </c>
      <c r="E345" s="3" t="str">
        <f>VLOOKUP(Table2[[#This Row],[Tegevusala nimetus2]],Table4[[Tegevusala nimetus]:[Tegevusala koondnimetus]],2,FALSE)</f>
        <v>Vabaaeg, kultuur ja religioon</v>
      </c>
      <c r="F345" t="s">
        <v>770</v>
      </c>
      <c r="G345" t="s">
        <v>775</v>
      </c>
      <c r="H345" s="40">
        <v>4000</v>
      </c>
      <c r="J345">
        <v>4500</v>
      </c>
      <c r="K345" s="3" t="str">
        <f>VLOOKUP(Table2[[#This Row],[Konto]],Table5[[Konto]:[Konto nimetus]],2,FALSE)</f>
        <v>Sihtotstarbelised eraldised jooksvateks kuludeks</v>
      </c>
      <c r="L345">
        <v>4500</v>
      </c>
      <c r="M345" t="str">
        <f t="shared" si="11"/>
        <v>45</v>
      </c>
      <c r="N345" s="3" t="str">
        <f>VLOOKUP(Table2[[#This Row],[Tulu/kulu liik2]],Table5[[Tulu/kulu liik]:[Kontode koondnimetus]],4,FALSE)</f>
        <v>Antavad toetused tegevuskuludeks</v>
      </c>
      <c r="O345" s="3" t="str">
        <f>VLOOKUP(Table2[[#This Row],[Tulu/kulu liik2]],Table5[],6,FALSE)</f>
        <v>Sihtotstarbelised toetused tegevuskuludeks</v>
      </c>
      <c r="P345" s="3" t="str">
        <f>VLOOKUP(Table2[[#This Row],[Tulu/kulu liik2]],Table5[],5,FALSE)</f>
        <v>Põhitegevuse kulu</v>
      </c>
    </row>
    <row r="346" spans="1:16" x14ac:dyDescent="0.25">
      <c r="A346" t="str">
        <f t="shared" si="10"/>
        <v>08</v>
      </c>
      <c r="B346" t="s">
        <v>642</v>
      </c>
      <c r="C346" s="3" t="str">
        <f>VLOOKUP(Table2[[#This Row],[Tegevusala]],Table4[],2,FALSE)</f>
        <v xml:space="preserve"> Lastelaagrid</v>
      </c>
      <c r="D346" s="3" t="str">
        <f>VLOOKUP(Table2[[#This Row],[Tegevusala]],Table4[[Tegevusala kood]:[Tegevusala alanimetus]],4,FALSE)</f>
        <v>Noorsootöö ja noortekeskused</v>
      </c>
      <c r="E346" s="3" t="str">
        <f>VLOOKUP(Table2[[#This Row],[Tegevusala nimetus2]],Table4[[Tegevusala nimetus]:[Tegevusala koondnimetus]],2,FALSE)</f>
        <v>Vabaaeg, kultuur ja religioon</v>
      </c>
      <c r="F346" t="s">
        <v>770</v>
      </c>
      <c r="G346" t="s">
        <v>774</v>
      </c>
      <c r="H346" s="47">
        <v>1500</v>
      </c>
      <c r="I346" s="35"/>
      <c r="J346" s="33">
        <v>5521</v>
      </c>
      <c r="K346" s="3" t="str">
        <f>VLOOKUP(Table2[[#This Row],[Konto]],Table5[[Konto]:[Konto nimetus]],2,FALSE)</f>
        <v>Toiduained ja toitlustusteenused</v>
      </c>
      <c r="L346">
        <v>55</v>
      </c>
      <c r="M346" t="str">
        <f t="shared" si="11"/>
        <v>55</v>
      </c>
      <c r="N346" s="3" t="str">
        <f>VLOOKUP(Table2[[#This Row],[Tulu/kulu liik2]],Table5[[Tulu/kulu liik]:[Kontode koondnimetus]],4,FALSE)</f>
        <v>Muud tegevuskulud</v>
      </c>
      <c r="O346" s="3" t="str">
        <f>VLOOKUP(Table2[[#This Row],[Tulu/kulu liik2]],Table5[],6,FALSE)</f>
        <v>Majandamiskulud</v>
      </c>
      <c r="P346" s="3" t="str">
        <f>VLOOKUP(Table2[[#This Row],[Tulu/kulu liik2]],Table5[],5,FALSE)</f>
        <v>Põhitegevuse kulu</v>
      </c>
    </row>
    <row r="347" spans="1:16" x14ac:dyDescent="0.25">
      <c r="A347" t="str">
        <f t="shared" si="10"/>
        <v>08</v>
      </c>
      <c r="B347" t="s">
        <v>642</v>
      </c>
      <c r="C347" s="3" t="str">
        <f>VLOOKUP(Table2[[#This Row],[Tegevusala]],Table4[],2,FALSE)</f>
        <v xml:space="preserve"> Lastelaagrid</v>
      </c>
      <c r="D347" s="3" t="str">
        <f>VLOOKUP(Table2[[#This Row],[Tegevusala]],Table4[[Tegevusala kood]:[Tegevusala alanimetus]],4,FALSE)</f>
        <v>Noorsootöö ja noortekeskused</v>
      </c>
      <c r="E347" s="3" t="str">
        <f>VLOOKUP(Table2[[#This Row],[Tegevusala nimetus2]],Table4[[Tegevusala nimetus]:[Tegevusala koondnimetus]],2,FALSE)</f>
        <v>Vabaaeg, kultuur ja religioon</v>
      </c>
      <c r="F347" t="s">
        <v>770</v>
      </c>
      <c r="G347" t="s">
        <v>772</v>
      </c>
      <c r="H347" s="47">
        <v>700</v>
      </c>
      <c r="I347" s="35"/>
      <c r="J347" s="33">
        <v>5511</v>
      </c>
      <c r="K347" s="3" t="str">
        <f>VLOOKUP(Table2[[#This Row],[Konto]],Table5[[Konto]:[Konto nimetus]],2,FALSE)</f>
        <v>Kinnistute, hoonete ja ruumide majandamiskulud</v>
      </c>
      <c r="L347">
        <v>55</v>
      </c>
      <c r="M347" t="str">
        <f t="shared" si="11"/>
        <v>55</v>
      </c>
      <c r="N347" s="3" t="str">
        <f>VLOOKUP(Table2[[#This Row],[Tulu/kulu liik2]],Table5[[Tulu/kulu liik]:[Kontode koondnimetus]],4,FALSE)</f>
        <v>Muud tegevuskulud</v>
      </c>
      <c r="O347" s="3" t="str">
        <f>VLOOKUP(Table2[[#This Row],[Tulu/kulu liik2]],Table5[],6,FALSE)</f>
        <v>Majandamiskulud</v>
      </c>
      <c r="P347" s="3" t="str">
        <f>VLOOKUP(Table2[[#This Row],[Tulu/kulu liik2]],Table5[],5,FALSE)</f>
        <v>Põhitegevuse kulu</v>
      </c>
    </row>
    <row r="348" spans="1:16" x14ac:dyDescent="0.25">
      <c r="A348" t="str">
        <f t="shared" si="10"/>
        <v>08</v>
      </c>
      <c r="B348" s="1" t="s">
        <v>773</v>
      </c>
      <c r="C348" s="3" t="str">
        <f>VLOOKUP(Table2[[#This Row],[Tegevusala]],Table4[],2,FALSE)</f>
        <v xml:space="preserve"> Vinni Valla Noored MTÜ</v>
      </c>
      <c r="D348" s="3" t="str">
        <f>VLOOKUP(Table2[[#This Row],[Tegevusala]],Table4[[Tegevusala kood]:[Tegevusala alanimetus]],4,FALSE)</f>
        <v>Noorsootöö ja noortekeskused</v>
      </c>
      <c r="E348" s="3" t="str">
        <f>VLOOKUP(Table2[[#This Row],[Tegevusala nimetus2]],Table4[[Tegevusala nimetus]:[Tegevusala koondnimetus]],2,FALSE)</f>
        <v>Vabaaeg, kultuur ja religioon</v>
      </c>
      <c r="F348" t="s">
        <v>770</v>
      </c>
      <c r="G348" t="s">
        <v>768</v>
      </c>
      <c r="H348" s="40">
        <v>87252</v>
      </c>
      <c r="J348">
        <v>4500</v>
      </c>
      <c r="K348" s="3" t="str">
        <f>VLOOKUP(Table2[[#This Row],[Konto]],Table5[[Konto]:[Konto nimetus]],2,FALSE)</f>
        <v>Sihtotstarbelised eraldised jooksvateks kuludeks</v>
      </c>
      <c r="L348">
        <v>4500</v>
      </c>
      <c r="M348" t="str">
        <f t="shared" si="11"/>
        <v>45</v>
      </c>
      <c r="N348" s="3" t="str">
        <f>VLOOKUP(Table2[[#This Row],[Tulu/kulu liik2]],Table5[[Tulu/kulu liik]:[Kontode koondnimetus]],4,FALSE)</f>
        <v>Antavad toetused tegevuskuludeks</v>
      </c>
      <c r="O348" s="3" t="str">
        <f>VLOOKUP(Table2[[#This Row],[Tulu/kulu liik2]],Table5[],6,FALSE)</f>
        <v>Sihtotstarbelised toetused tegevuskuludeks</v>
      </c>
      <c r="P348" s="3" t="str">
        <f>VLOOKUP(Table2[[#This Row],[Tulu/kulu liik2]],Table5[],5,FALSE)</f>
        <v>Põhitegevuse kulu</v>
      </c>
    </row>
    <row r="349" spans="1:16" x14ac:dyDescent="0.25">
      <c r="A349" t="str">
        <f t="shared" si="10"/>
        <v>08</v>
      </c>
      <c r="B349" t="s">
        <v>286</v>
      </c>
      <c r="C349" s="3" t="str">
        <f>VLOOKUP(Table2[[#This Row],[Tegevusala]],Table4[],2,FALSE)</f>
        <v xml:space="preserve"> Valla üritused</v>
      </c>
      <c r="D349" s="3" t="str">
        <f>VLOOKUP(Table2[[#This Row],[Tegevusala]],Table4[[Tegevusala kood]:[Tegevusala alanimetus]],4,FALSE)</f>
        <v>Vaba aja üritused</v>
      </c>
      <c r="E349" s="3" t="str">
        <f>VLOOKUP(Table2[[#This Row],[Tegevusala nimetus2]],Table4[[Tegevusala nimetus]:[Tegevusala koondnimetus]],2,FALSE)</f>
        <v>Vabaaeg, kultuur ja religioon</v>
      </c>
      <c r="F349" t="s">
        <v>818</v>
      </c>
      <c r="G349" t="s">
        <v>2002</v>
      </c>
      <c r="H349" s="40">
        <v>21000</v>
      </c>
      <c r="J349">
        <v>5525</v>
      </c>
      <c r="K349" s="3" t="str">
        <f>VLOOKUP(Table2[[#This Row],[Konto]],Table5[[Konto]:[Konto nimetus]],2,FALSE)</f>
        <v>Kommunikatsiooni-, kultuuri- ja vaba aja sisustamise kulud</v>
      </c>
      <c r="L349">
        <v>55</v>
      </c>
      <c r="M349" t="str">
        <f t="shared" si="11"/>
        <v>55</v>
      </c>
      <c r="N349" s="3" t="str">
        <f>VLOOKUP(Table2[[#This Row],[Tulu/kulu liik2]],Table5[[Tulu/kulu liik]:[Kontode koondnimetus]],4,FALSE)</f>
        <v>Muud tegevuskulud</v>
      </c>
      <c r="O349" s="3" t="str">
        <f>VLOOKUP(Table2[[#This Row],[Tulu/kulu liik2]],Table5[],6,FALSE)</f>
        <v>Majandamiskulud</v>
      </c>
      <c r="P349" s="3" t="str">
        <f>VLOOKUP(Table2[[#This Row],[Tulu/kulu liik2]],Table5[],5,FALSE)</f>
        <v>Põhitegevuse kulu</v>
      </c>
    </row>
    <row r="350" spans="1:16" x14ac:dyDescent="0.25">
      <c r="A350" s="33" t="str">
        <f t="shared" si="10"/>
        <v>08</v>
      </c>
      <c r="B350" s="33" t="s">
        <v>286</v>
      </c>
      <c r="C350" s="34" t="str">
        <f>VLOOKUP(Table2[[#This Row],[Tegevusala]],Table4[],2,FALSE)</f>
        <v xml:space="preserve"> Valla üritused</v>
      </c>
      <c r="D350" s="34" t="str">
        <f>VLOOKUP(Table2[[#This Row],[Tegevusala]],Table4[[Tegevusala kood]:[Tegevusala alanimetus]],4,FALSE)</f>
        <v>Vaba aja üritused</v>
      </c>
      <c r="E350" s="34" t="str">
        <f>VLOOKUP(Table2[[#This Row],[Tegevusala nimetus2]],Table4[[Tegevusala nimetus]:[Tegevusala koondnimetus]],2,FALSE)</f>
        <v>Vabaaeg, kultuur ja religioon</v>
      </c>
      <c r="F350" s="33" t="s">
        <v>818</v>
      </c>
      <c r="G350" s="33" t="s">
        <v>2003</v>
      </c>
      <c r="H350" s="47">
        <v>5000</v>
      </c>
      <c r="I350" s="35"/>
      <c r="J350" s="33">
        <v>5525</v>
      </c>
      <c r="K350" s="34" t="str">
        <f>VLOOKUP(Table2[[#This Row],[Konto]],Table5[[Konto]:[Konto nimetus]],2,FALSE)</f>
        <v>Kommunikatsiooni-, kultuuri- ja vaba aja sisustamise kulud</v>
      </c>
      <c r="L350" s="33">
        <v>55</v>
      </c>
      <c r="M350" s="33" t="str">
        <f t="shared" si="11"/>
        <v>55</v>
      </c>
      <c r="N350" s="34" t="str">
        <f>VLOOKUP(Table2[[#This Row],[Tulu/kulu liik2]],Table5[[Tulu/kulu liik]:[Kontode koondnimetus]],4,FALSE)</f>
        <v>Muud tegevuskulud</v>
      </c>
      <c r="O350" s="34" t="str">
        <f>VLOOKUP(Table2[[#This Row],[Tulu/kulu liik2]],Table5[],6,FALSE)</f>
        <v>Majandamiskulud</v>
      </c>
      <c r="P350" s="34" t="str">
        <f>VLOOKUP(Table2[[#This Row],[Tulu/kulu liik2]],Table5[],5,FALSE)</f>
        <v>Põhitegevuse kulu</v>
      </c>
    </row>
    <row r="351" spans="1:16" x14ac:dyDescent="0.25">
      <c r="A351" t="str">
        <f t="shared" si="10"/>
        <v>08</v>
      </c>
      <c r="B351" t="s">
        <v>286</v>
      </c>
      <c r="C351" s="3" t="str">
        <f>VLOOKUP(Table2[[#This Row],[Tegevusala]],Table4[],2,FALSE)</f>
        <v xml:space="preserve"> Valla üritused</v>
      </c>
      <c r="D351" s="3" t="str">
        <f>VLOOKUP(Table2[[#This Row],[Tegevusala]],Table4[[Tegevusala kood]:[Tegevusala alanimetus]],4,FALSE)</f>
        <v>Vaba aja üritused</v>
      </c>
      <c r="E351" s="3" t="str">
        <f>VLOOKUP(Table2[[#This Row],[Tegevusala nimetus2]],Table4[[Tegevusala nimetus]:[Tegevusala koondnimetus]],2,FALSE)</f>
        <v>Vabaaeg, kultuur ja religioon</v>
      </c>
      <c r="F351" t="s">
        <v>1845</v>
      </c>
      <c r="G351" t="s">
        <v>2195</v>
      </c>
      <c r="H351" s="40">
        <v>4500</v>
      </c>
      <c r="J351">
        <v>5525</v>
      </c>
      <c r="K351" s="3" t="str">
        <f>VLOOKUP(Table2[[#This Row],[Konto]],Table5[[Konto]:[Konto nimetus]],2,FALSE)</f>
        <v>Kommunikatsiooni-, kultuuri- ja vaba aja sisustamise kulud</v>
      </c>
      <c r="L351">
        <v>55</v>
      </c>
      <c r="M351" t="str">
        <f t="shared" si="11"/>
        <v>55</v>
      </c>
      <c r="N351" s="3" t="str">
        <f>VLOOKUP(Table2[[#This Row],[Tulu/kulu liik2]],Table5[[Tulu/kulu liik]:[Kontode koondnimetus]],4,FALSE)</f>
        <v>Muud tegevuskulud</v>
      </c>
      <c r="O351" s="34" t="str">
        <f>VLOOKUP(Table2[[#This Row],[Tulu/kulu liik2]],Table5[],6,FALSE)</f>
        <v>Majandamiskulud</v>
      </c>
      <c r="P351" s="3" t="str">
        <f>VLOOKUP(Table2[[#This Row],[Tulu/kulu liik2]],Table5[],5,FALSE)</f>
        <v>Põhitegevuse kulu</v>
      </c>
    </row>
    <row r="352" spans="1:16" x14ac:dyDescent="0.25">
      <c r="A352" t="str">
        <f t="shared" si="10"/>
        <v>08</v>
      </c>
      <c r="B352" t="s">
        <v>286</v>
      </c>
      <c r="C352" s="3" t="str">
        <f>VLOOKUP(Table2[[#This Row],[Tegevusala]],Table4[],2,FALSE)</f>
        <v xml:space="preserve"> Valla üritused</v>
      </c>
      <c r="D352" s="3" t="str">
        <f>VLOOKUP(Table2[[#This Row],[Tegevusala]],Table4[[Tegevusala kood]:[Tegevusala alanimetus]],4,FALSE)</f>
        <v>Vaba aja üritused</v>
      </c>
      <c r="E352" s="3" t="str">
        <f>VLOOKUP(Table2[[#This Row],[Tegevusala nimetus2]],Table4[[Tegevusala nimetus]:[Tegevusala koondnimetus]],2,FALSE)</f>
        <v>Vabaaeg, kultuur ja religioon</v>
      </c>
      <c r="F352" t="s">
        <v>818</v>
      </c>
      <c r="G352" t="s">
        <v>2196</v>
      </c>
      <c r="H352" s="40">
        <f>10*150</f>
        <v>1500</v>
      </c>
      <c r="J352">
        <v>5525</v>
      </c>
      <c r="K352" s="3" t="str">
        <f>VLOOKUP(Table2[[#This Row],[Konto]],Table5[[Konto]:[Konto nimetus]],2,FALSE)</f>
        <v>Kommunikatsiooni-, kultuuri- ja vaba aja sisustamise kulud</v>
      </c>
      <c r="L352">
        <v>55</v>
      </c>
      <c r="M352" t="str">
        <f t="shared" si="11"/>
        <v>55</v>
      </c>
      <c r="N352" s="3" t="str">
        <f>VLOOKUP(Table2[[#This Row],[Tulu/kulu liik2]],Table5[[Tulu/kulu liik]:[Kontode koondnimetus]],4,FALSE)</f>
        <v>Muud tegevuskulud</v>
      </c>
      <c r="O352" s="34" t="str">
        <f>VLOOKUP(Table2[[#This Row],[Tulu/kulu liik2]],Table5[],6,FALSE)</f>
        <v>Majandamiskulud</v>
      </c>
      <c r="P352" s="3" t="str">
        <f>VLOOKUP(Table2[[#This Row],[Tulu/kulu liik2]],Table5[],5,FALSE)</f>
        <v>Põhitegevuse kulu</v>
      </c>
    </row>
    <row r="353" spans="1:16" x14ac:dyDescent="0.25">
      <c r="A353" t="str">
        <f t="shared" si="10"/>
        <v>08</v>
      </c>
      <c r="B353" t="s">
        <v>288</v>
      </c>
      <c r="C353" s="3" t="str">
        <f>VLOOKUP(Table2[[#This Row],[Tegevusala]],Table4[],2,FALSE)</f>
        <v xml:space="preserve"> Toetused MTÜ-le</v>
      </c>
      <c r="D353" s="3" t="str">
        <f>VLOOKUP(Table2[[#This Row],[Tegevusala]],Table4[[Tegevusala kood]:[Tegevusala alanimetus]],4,FALSE)</f>
        <v>Vaba aja üritused</v>
      </c>
      <c r="E353" s="3" t="str">
        <f>VLOOKUP(Table2[[#This Row],[Tegevusala nimetus2]],Table4[[Tegevusala nimetus]:[Tegevusala koondnimetus]],2,FALSE)</f>
        <v>Vabaaeg, kultuur ja religioon</v>
      </c>
      <c r="F353" t="s">
        <v>2096</v>
      </c>
      <c r="G353" t="s">
        <v>2097</v>
      </c>
      <c r="H353" s="40">
        <v>12360</v>
      </c>
      <c r="J353">
        <v>45008</v>
      </c>
      <c r="K353" s="3" t="str">
        <f>VLOOKUP(Table2[[#This Row],[Konto]],Table5[[Konto]:[Konto nimetus]],2,FALSE)</f>
        <v>Sihtotstarbelised eraldised muudele residentidele</v>
      </c>
      <c r="L353">
        <v>4500</v>
      </c>
      <c r="M353" t="str">
        <f t="shared" si="11"/>
        <v>45</v>
      </c>
      <c r="N353" s="3" t="str">
        <f>VLOOKUP(Table2[[#This Row],[Tulu/kulu liik2]],Table5[[Tulu/kulu liik]:[Kontode koondnimetus]],4,FALSE)</f>
        <v>Antavad toetused tegevuskuludeks</v>
      </c>
      <c r="O353" s="34" t="str">
        <f>VLOOKUP(Table2[[#This Row],[Tulu/kulu liik2]],Table5[],6,FALSE)</f>
        <v>Sihtotstarbelised toetused tegevuskuludeks</v>
      </c>
      <c r="P353" s="3" t="str">
        <f>VLOOKUP(Table2[[#This Row],[Tulu/kulu liik2]],Table5[],5,FALSE)</f>
        <v>Põhitegevuse kulu</v>
      </c>
    </row>
    <row r="354" spans="1:16" x14ac:dyDescent="0.25">
      <c r="A354" t="str">
        <f t="shared" si="10"/>
        <v>08</v>
      </c>
      <c r="B354" t="s">
        <v>288</v>
      </c>
      <c r="C354" s="3" t="str">
        <f>VLOOKUP(Table2[[#This Row],[Tegevusala]],Table4[],2,FALSE)</f>
        <v xml:space="preserve"> Toetused MTÜ-le</v>
      </c>
      <c r="D354" s="3" t="str">
        <f>VLOOKUP(Table2[[#This Row],[Tegevusala]],Table4[[Tegevusala kood]:[Tegevusala alanimetus]],4,FALSE)</f>
        <v>Vaba aja üritused</v>
      </c>
      <c r="E354" s="3" t="str">
        <f>VLOOKUP(Table2[[#This Row],[Tegevusala nimetus2]],Table4[[Tegevusala nimetus]:[Tegevusala koondnimetus]],2,FALSE)</f>
        <v>Vabaaeg, kultuur ja religioon</v>
      </c>
      <c r="F354" t="s">
        <v>2096</v>
      </c>
      <c r="G354" t="s">
        <v>2098</v>
      </c>
      <c r="H354" s="40">
        <v>1250</v>
      </c>
      <c r="I354" s="2" t="s">
        <v>2099</v>
      </c>
      <c r="J354">
        <v>45008</v>
      </c>
      <c r="K354" s="3" t="str">
        <f>VLOOKUP(Table2[[#This Row],[Konto]],Table5[[Konto]:[Konto nimetus]],2,FALSE)</f>
        <v>Sihtotstarbelised eraldised muudele residentidele</v>
      </c>
      <c r="L354">
        <v>4500</v>
      </c>
      <c r="M354" t="str">
        <f t="shared" si="11"/>
        <v>45</v>
      </c>
      <c r="N354" s="3" t="str">
        <f>VLOOKUP(Table2[[#This Row],[Tulu/kulu liik2]],Table5[[Tulu/kulu liik]:[Kontode koondnimetus]],4,FALSE)</f>
        <v>Antavad toetused tegevuskuludeks</v>
      </c>
      <c r="O354" s="34" t="str">
        <f>VLOOKUP(Table2[[#This Row],[Tulu/kulu liik2]],Table5[],6,FALSE)</f>
        <v>Sihtotstarbelised toetused tegevuskuludeks</v>
      </c>
      <c r="P354" s="3" t="str">
        <f>VLOOKUP(Table2[[#This Row],[Tulu/kulu liik2]],Table5[],5,FALSE)</f>
        <v>Põhitegevuse kulu</v>
      </c>
    </row>
    <row r="355" spans="1:16" x14ac:dyDescent="0.25">
      <c r="A355" t="str">
        <f t="shared" si="10"/>
        <v>08</v>
      </c>
      <c r="B355" t="s">
        <v>290</v>
      </c>
      <c r="C355" s="3" t="str">
        <f>VLOOKUP(Table2[[#This Row],[Tegevusala]],Table4[],2,FALSE)</f>
        <v xml:space="preserve"> Kergliiklusteed</v>
      </c>
      <c r="D355" s="3" t="str">
        <f>VLOOKUP(Table2[[#This Row],[Tegevusala]],Table4[[Tegevusala kood]:[Tegevusala alanimetus]],4,FALSE)</f>
        <v>Vaba aja üritused</v>
      </c>
      <c r="E355" s="3" t="str">
        <f>VLOOKUP(Table2[[#This Row],[Tegevusala nimetus2]],Table4[[Tegevusala nimetus]:[Tegevusala koondnimetus]],2,FALSE)</f>
        <v>Vabaaeg, kultuur ja religioon</v>
      </c>
      <c r="F355" t="s">
        <v>841</v>
      </c>
      <c r="G355" t="s">
        <v>550</v>
      </c>
      <c r="H355" s="40">
        <v>1500</v>
      </c>
      <c r="J355">
        <v>5511</v>
      </c>
      <c r="K355" s="3" t="str">
        <f>VLOOKUP(Table2[[#This Row],[Konto]],Table5[[Konto]:[Konto nimetus]],2,FALSE)</f>
        <v>Kinnistute, hoonete ja ruumide majandamiskulud</v>
      </c>
      <c r="L355">
        <v>55</v>
      </c>
      <c r="M355" t="str">
        <f t="shared" si="11"/>
        <v>55</v>
      </c>
      <c r="N355" s="3" t="str">
        <f>VLOOKUP(Table2[[#This Row],[Tulu/kulu liik2]],Table5[[Tulu/kulu liik]:[Kontode koondnimetus]],4,FALSE)</f>
        <v>Muud tegevuskulud</v>
      </c>
      <c r="O355" s="3" t="str">
        <f>VLOOKUP(Table2[[#This Row],[Tulu/kulu liik2]],Table5[],6,FALSE)</f>
        <v>Majandamiskulud</v>
      </c>
      <c r="P355" s="3" t="str">
        <f>VLOOKUP(Table2[[#This Row],[Tulu/kulu liik2]],Table5[],5,FALSE)</f>
        <v>Põhitegevuse kulu</v>
      </c>
    </row>
    <row r="356" spans="1:16" x14ac:dyDescent="0.25">
      <c r="A356" t="str">
        <f t="shared" si="10"/>
        <v>08</v>
      </c>
      <c r="B356" t="s">
        <v>290</v>
      </c>
      <c r="C356" s="3" t="str">
        <f>VLOOKUP(Table2[[#This Row],[Tegevusala]],Table4[],2,FALSE)</f>
        <v xml:space="preserve"> Kergliiklusteed</v>
      </c>
      <c r="D356" s="3" t="str">
        <f>VLOOKUP(Table2[[#This Row],[Tegevusala]],Table4[[Tegevusala kood]:[Tegevusala alanimetus]],4,FALSE)</f>
        <v>Vaba aja üritused</v>
      </c>
      <c r="E356" s="3" t="str">
        <f>VLOOKUP(Table2[[#This Row],[Tegevusala nimetus2]],Table4[[Tegevusala nimetus]:[Tegevusala koondnimetus]],2,FALSE)</f>
        <v>Vabaaeg, kultuur ja religioon</v>
      </c>
      <c r="F356" t="s">
        <v>841</v>
      </c>
      <c r="G356" t="s">
        <v>943</v>
      </c>
      <c r="H356" s="40">
        <v>3000</v>
      </c>
      <c r="J356">
        <v>5512</v>
      </c>
      <c r="K356" s="3" t="str">
        <f>VLOOKUP(Table2[[#This Row],[Konto]],Table5[[Konto]:[Konto nimetus]],2,FALSE)</f>
        <v>Rajatiste majandamiskulud</v>
      </c>
      <c r="L356">
        <v>55</v>
      </c>
      <c r="M356" t="str">
        <f t="shared" si="11"/>
        <v>55</v>
      </c>
      <c r="N356" s="3" t="str">
        <f>VLOOKUP(Table2[[#This Row],[Tulu/kulu liik2]],Table5[[Tulu/kulu liik]:[Kontode koondnimetus]],4,FALSE)</f>
        <v>Muud tegevuskulud</v>
      </c>
      <c r="O356" s="3" t="str">
        <f>VLOOKUP(Table2[[#This Row],[Tulu/kulu liik2]],Table5[],6,FALSE)</f>
        <v>Majandamiskulud</v>
      </c>
      <c r="P356" s="3" t="str">
        <f>VLOOKUP(Table2[[#This Row],[Tulu/kulu liik2]],Table5[],5,FALSE)</f>
        <v>Põhitegevuse kulu</v>
      </c>
    </row>
    <row r="357" spans="1:16" hidden="1" x14ac:dyDescent="0.25">
      <c r="A357" t="str">
        <f t="shared" si="10"/>
        <v>08</v>
      </c>
      <c r="B357" t="s">
        <v>290</v>
      </c>
      <c r="C357" s="3" t="str">
        <f>VLOOKUP(Table2[[#This Row],[Tegevusala]],Table4[],2,FALSE)</f>
        <v xml:space="preserve"> Kergliiklusteed</v>
      </c>
      <c r="D357" s="3" t="str">
        <f>VLOOKUP(Table2[[#This Row],[Tegevusala]],Table4[[Tegevusala kood]:[Tegevusala alanimetus]],4,FALSE)</f>
        <v>Vaba aja üritused</v>
      </c>
      <c r="E357" s="3" t="str">
        <f>VLOOKUP(Table2[[#This Row],[Tegevusala nimetus2]],Table4[[Tegevusala nimetus]:[Tegevusala koondnimetus]],2,FALSE)</f>
        <v>Vabaaeg, kultuur ja religioon</v>
      </c>
      <c r="F357" t="s">
        <v>841</v>
      </c>
      <c r="G357" t="s">
        <v>2057</v>
      </c>
      <c r="H357" s="40">
        <v>25000</v>
      </c>
      <c r="J357">
        <v>1551</v>
      </c>
      <c r="K357" s="3" t="str">
        <f>VLOOKUP(Table2[[#This Row],[Konto]],Table5[[Konto]:[Konto nimetus]],2,FALSE)</f>
        <v>Rajatiste ja hoonete soetamine ja renoveerimine</v>
      </c>
      <c r="L357">
        <v>15</v>
      </c>
      <c r="M357" t="str">
        <f t="shared" si="11"/>
        <v>15</v>
      </c>
      <c r="N357" s="3" t="str">
        <f>VLOOKUP(Table2[[#This Row],[Tulu/kulu liik2]],Table5[[Tulu/kulu liik]:[Kontode koondnimetus]],4,FALSE)</f>
        <v>Põhivara soetus (-)</v>
      </c>
      <c r="O357" s="34" t="str">
        <f>VLOOKUP(Table2[[#This Row],[Tulu/kulu liik2]],Table5[],6,FALSE)</f>
        <v>Põhivara soetus (-)</v>
      </c>
      <c r="P357" s="3" t="str">
        <f>VLOOKUP(Table2[[#This Row],[Tulu/kulu liik2]],Table5[],5,FALSE)</f>
        <v>Investeerimistegevus</v>
      </c>
    </row>
    <row r="358" spans="1:16" hidden="1" x14ac:dyDescent="0.25">
      <c r="A358" t="str">
        <f t="shared" si="10"/>
        <v>08</v>
      </c>
      <c r="B358" t="s">
        <v>290</v>
      </c>
      <c r="C358" s="3" t="str">
        <f>VLOOKUP(Table2[[#This Row],[Tegevusala]],Table4[],2,FALSE)</f>
        <v xml:space="preserve"> Kergliiklusteed</v>
      </c>
      <c r="D358" s="3" t="str">
        <f>VLOOKUP(Table2[[#This Row],[Tegevusala]],Table4[[Tegevusala kood]:[Tegevusala alanimetus]],4,FALSE)</f>
        <v>Vaba aja üritused</v>
      </c>
      <c r="E358" s="3" t="str">
        <f>VLOOKUP(Table2[[#This Row],[Tegevusala nimetus2]],Table4[[Tegevusala nimetus]:[Tegevusala koondnimetus]],2,FALSE)</f>
        <v>Vabaaeg, kultuur ja religioon</v>
      </c>
      <c r="F358" t="s">
        <v>841</v>
      </c>
      <c r="G358" t="s">
        <v>2058</v>
      </c>
      <c r="H358" s="40">
        <v>250000</v>
      </c>
      <c r="J358">
        <v>1551</v>
      </c>
      <c r="K358" s="3" t="str">
        <f>VLOOKUP(Table2[[#This Row],[Konto]],Table5[[Konto]:[Konto nimetus]],2,FALSE)</f>
        <v>Rajatiste ja hoonete soetamine ja renoveerimine</v>
      </c>
      <c r="L358">
        <v>15</v>
      </c>
      <c r="M358" t="str">
        <f t="shared" si="11"/>
        <v>15</v>
      </c>
      <c r="N358" s="3" t="str">
        <f>VLOOKUP(Table2[[#This Row],[Tulu/kulu liik2]],Table5[[Tulu/kulu liik]:[Kontode koondnimetus]],4,FALSE)</f>
        <v>Põhivara soetus (-)</v>
      </c>
      <c r="O358" s="34" t="str">
        <f>VLOOKUP(Table2[[#This Row],[Tulu/kulu liik2]],Table5[],6,FALSE)</f>
        <v>Põhivara soetus (-)</v>
      </c>
      <c r="P358" s="3" t="str">
        <f>VLOOKUP(Table2[[#This Row],[Tulu/kulu liik2]],Table5[],5,FALSE)</f>
        <v>Investeerimistegevus</v>
      </c>
    </row>
    <row r="359" spans="1:16" x14ac:dyDescent="0.25">
      <c r="A359" s="33" t="str">
        <f t="shared" si="10"/>
        <v>08</v>
      </c>
      <c r="B359" s="33" t="s">
        <v>294</v>
      </c>
      <c r="C359" s="34" t="str">
        <f>VLOOKUP(Table2[[#This Row],[Tegevusala]],Table4[],2,FALSE)</f>
        <v xml:space="preserve"> Vilde kirjanduspreemia</v>
      </c>
      <c r="D359" s="34" t="str">
        <f>VLOOKUP(Table2[[#This Row],[Tegevusala]],Table4[[Tegevusala kood]:[Tegevusala alanimetus]],4,FALSE)</f>
        <v>Vaba aja üritused</v>
      </c>
      <c r="E359" s="34" t="str">
        <f>VLOOKUP(Table2[[#This Row],[Tegevusala nimetus2]],Table4[[Tegevusala nimetus]:[Tegevusala koondnimetus]],2,FALSE)</f>
        <v>Vabaaeg, kultuur ja religioon</v>
      </c>
      <c r="F359" s="33" t="s">
        <v>1845</v>
      </c>
      <c r="G359" s="33" t="s">
        <v>1951</v>
      </c>
      <c r="H359" s="47">
        <v>1000</v>
      </c>
      <c r="I359" s="35"/>
      <c r="J359" s="33">
        <v>45008</v>
      </c>
      <c r="K359" s="34" t="str">
        <f>VLOOKUP(Table2[[#This Row],[Konto]],Table5[[Konto]:[Konto nimetus]],2,FALSE)</f>
        <v>Sihtotstarbelised eraldised muudele residentidele</v>
      </c>
      <c r="L359" s="33">
        <v>4500</v>
      </c>
      <c r="M359" s="33" t="str">
        <f t="shared" si="11"/>
        <v>45</v>
      </c>
      <c r="N359" s="34" t="str">
        <f>VLOOKUP(Table2[[#This Row],[Tulu/kulu liik2]],Table5[[Tulu/kulu liik]:[Kontode koondnimetus]],4,FALSE)</f>
        <v>Antavad toetused tegevuskuludeks</v>
      </c>
      <c r="O359" s="34" t="str">
        <f>VLOOKUP(Table2[[#This Row],[Tulu/kulu liik2]],Table5[],6,FALSE)</f>
        <v>Sihtotstarbelised toetused tegevuskuludeks</v>
      </c>
      <c r="P359" s="34" t="str">
        <f>VLOOKUP(Table2[[#This Row],[Tulu/kulu liik2]],Table5[],5,FALSE)</f>
        <v>Põhitegevuse kulu</v>
      </c>
    </row>
    <row r="360" spans="1:16" x14ac:dyDescent="0.25">
      <c r="A360" t="str">
        <f t="shared" si="10"/>
        <v>08</v>
      </c>
      <c r="B360" t="s">
        <v>294</v>
      </c>
      <c r="C360" s="3" t="str">
        <f>VLOOKUP(Table2[[#This Row],[Tegevusala]],Table4[],2,FALSE)</f>
        <v xml:space="preserve"> Vilde kirjanduspreemia</v>
      </c>
      <c r="D360" s="3" t="str">
        <f>VLOOKUP(Table2[[#This Row],[Tegevusala]],Table4[[Tegevusala kood]:[Tegevusala alanimetus]],4,FALSE)</f>
        <v>Vaba aja üritused</v>
      </c>
      <c r="E360" s="3" t="str">
        <f>VLOOKUP(Table2[[#This Row],[Tegevusala nimetus2]],Table4[[Tegevusala nimetus]:[Tegevusala koondnimetus]],2,FALSE)</f>
        <v>Vabaaeg, kultuur ja religioon</v>
      </c>
      <c r="F360" t="s">
        <v>1845</v>
      </c>
      <c r="G360" t="s">
        <v>1952</v>
      </c>
      <c r="H360" s="40">
        <v>1000</v>
      </c>
      <c r="J360">
        <v>5500</v>
      </c>
      <c r="K360" s="3" t="str">
        <f>VLOOKUP(Table2[[#This Row],[Konto]],Table5[[Konto]:[Konto nimetus]],2,FALSE)</f>
        <v>Administreerimiskulud</v>
      </c>
      <c r="L360">
        <v>55</v>
      </c>
      <c r="M360" t="str">
        <f t="shared" si="11"/>
        <v>55</v>
      </c>
      <c r="N360" s="3" t="str">
        <f>VLOOKUP(Table2[[#This Row],[Tulu/kulu liik2]],Table5[[Tulu/kulu liik]:[Kontode koondnimetus]],4,FALSE)</f>
        <v>Muud tegevuskulud</v>
      </c>
      <c r="O360" s="3" t="str">
        <f>VLOOKUP(Table2[[#This Row],[Tulu/kulu liik2]],Table5[],6,FALSE)</f>
        <v>Majandamiskulud</v>
      </c>
      <c r="P360" s="3" t="str">
        <f>VLOOKUP(Table2[[#This Row],[Tulu/kulu liik2]],Table5[],5,FALSE)</f>
        <v>Põhitegevuse kulu</v>
      </c>
    </row>
    <row r="361" spans="1:16" x14ac:dyDescent="0.25">
      <c r="A361" t="str">
        <f t="shared" si="10"/>
        <v>08</v>
      </c>
      <c r="B361" s="1" t="s">
        <v>2107</v>
      </c>
      <c r="C361" s="3" t="str">
        <f>VLOOKUP(Table2[[#This Row],[Tegevusala]],Table4[],2,FALSE)</f>
        <v>Kultuuri projektide kaasfinantseerimised</v>
      </c>
      <c r="D361" s="3" t="str">
        <f>VLOOKUP(Table2[[#This Row],[Tegevusala]],Table4[[Tegevusala kood]:[Tegevusala alanimetus]],4,FALSE)</f>
        <v>Vaba aja üritused</v>
      </c>
      <c r="E361" s="3" t="str">
        <f>VLOOKUP(Table2[[#This Row],[Tegevusala nimetus2]],Table4[[Tegevusala nimetus]:[Tegevusala koondnimetus]],2,FALSE)</f>
        <v>Vabaaeg, kultuur ja religioon</v>
      </c>
      <c r="F361" t="s">
        <v>2096</v>
      </c>
      <c r="G361" t="s">
        <v>2109</v>
      </c>
      <c r="H361" s="40">
        <v>8000</v>
      </c>
      <c r="J361">
        <v>45008</v>
      </c>
      <c r="K361" s="3" t="str">
        <f>VLOOKUP(Table2[[#This Row],[Konto]],Table5[[Konto]:[Konto nimetus]],2,FALSE)</f>
        <v>Sihtotstarbelised eraldised muudele residentidele</v>
      </c>
      <c r="L361">
        <v>4500</v>
      </c>
      <c r="M361" t="str">
        <f t="shared" si="11"/>
        <v>45</v>
      </c>
      <c r="N361" s="3" t="str">
        <f>VLOOKUP(Table2[[#This Row],[Tulu/kulu liik2]],Table5[[Tulu/kulu liik]:[Kontode koondnimetus]],4,FALSE)</f>
        <v>Antavad toetused tegevuskuludeks</v>
      </c>
      <c r="O361" s="34" t="str">
        <f>VLOOKUP(Table2[[#This Row],[Tulu/kulu liik2]],Table5[],6,FALSE)</f>
        <v>Sihtotstarbelised toetused tegevuskuludeks</v>
      </c>
      <c r="P361" s="3" t="str">
        <f>VLOOKUP(Table2[[#This Row],[Tulu/kulu liik2]],Table5[],5,FALSE)</f>
        <v>Põhitegevuse kulu</v>
      </c>
    </row>
    <row r="362" spans="1:16" x14ac:dyDescent="0.25">
      <c r="A362" t="str">
        <f t="shared" si="10"/>
        <v>08</v>
      </c>
      <c r="B362" t="s">
        <v>296</v>
      </c>
      <c r="C362" s="3" t="str">
        <f>VLOOKUP(Table2[[#This Row],[Tegevusala]],Table4[],2,FALSE)</f>
        <v xml:space="preserve"> Vinni Raamatukogu</v>
      </c>
      <c r="D362" s="3" t="str">
        <f>VLOOKUP(Table2[[#This Row],[Tegevusala]],Table4[[Tegevusala kood]:[Tegevusala alanimetus]],4,FALSE)</f>
        <v>Raamatukogud</v>
      </c>
      <c r="E362" s="3" t="str">
        <f>VLOOKUP(Table2[[#This Row],[Tegevusala nimetus2]],Table4[[Tegevusala nimetus]:[Tegevusala koondnimetus]],2,FALSE)</f>
        <v>Vabaaeg, kultuur ja religioon</v>
      </c>
      <c r="F362" t="s">
        <v>1055</v>
      </c>
      <c r="G362" t="s">
        <v>1056</v>
      </c>
      <c r="H362" s="40">
        <v>9000</v>
      </c>
      <c r="J362">
        <v>5511</v>
      </c>
      <c r="K362" s="3" t="str">
        <f>VLOOKUP(Table2[[#This Row],[Konto]],Table5[[Konto]:[Konto nimetus]],2,FALSE)</f>
        <v>Kinnistute, hoonete ja ruumide majandamiskulud</v>
      </c>
      <c r="L362">
        <v>55</v>
      </c>
      <c r="M362" t="str">
        <f t="shared" si="11"/>
        <v>55</v>
      </c>
      <c r="N362" s="3" t="str">
        <f>VLOOKUP(Table2[[#This Row],[Tulu/kulu liik2]],Table5[[Tulu/kulu liik]:[Kontode koondnimetus]],4,FALSE)</f>
        <v>Muud tegevuskulud</v>
      </c>
      <c r="O362" s="3" t="str">
        <f>VLOOKUP(Table2[[#This Row],[Tulu/kulu liik2]],Table5[],6,FALSE)</f>
        <v>Majandamiskulud</v>
      </c>
      <c r="P362" s="3" t="str">
        <f>VLOOKUP(Table2[[#This Row],[Tulu/kulu liik2]],Table5[],5,FALSE)</f>
        <v>Põhitegevuse kulu</v>
      </c>
    </row>
    <row r="363" spans="1:16" x14ac:dyDescent="0.25">
      <c r="A363" t="str">
        <f t="shared" si="10"/>
        <v>08</v>
      </c>
      <c r="B363" t="s">
        <v>296</v>
      </c>
      <c r="C363" s="3" t="str">
        <f>VLOOKUP(Table2[[#This Row],[Tegevusala]],Table4[],2,FALSE)</f>
        <v xml:space="preserve"> Vinni Raamatukogu</v>
      </c>
      <c r="D363" s="3" t="str">
        <f>VLOOKUP(Table2[[#This Row],[Tegevusala]],Table4[[Tegevusala kood]:[Tegevusala alanimetus]],4,FALSE)</f>
        <v>Raamatukogud</v>
      </c>
      <c r="E363" s="3" t="str">
        <f>VLOOKUP(Table2[[#This Row],[Tegevusala nimetus2]],Table4[[Tegevusala nimetus]:[Tegevusala koondnimetus]],2,FALSE)</f>
        <v>Vabaaeg, kultuur ja religioon</v>
      </c>
      <c r="F363" t="s">
        <v>1055</v>
      </c>
      <c r="G363" t="s">
        <v>943</v>
      </c>
      <c r="H363" s="40">
        <v>2000</v>
      </c>
      <c r="J363">
        <v>5511</v>
      </c>
      <c r="K363" s="3" t="str">
        <f>VLOOKUP(Table2[[#This Row],[Konto]],Table5[[Konto]:[Konto nimetus]],2,FALSE)</f>
        <v>Kinnistute, hoonete ja ruumide majandamiskulud</v>
      </c>
      <c r="L363">
        <v>55</v>
      </c>
      <c r="M363" t="str">
        <f t="shared" si="11"/>
        <v>55</v>
      </c>
      <c r="N363" s="3" t="str">
        <f>VLOOKUP(Table2[[#This Row],[Tulu/kulu liik2]],Table5[[Tulu/kulu liik]:[Kontode koondnimetus]],4,FALSE)</f>
        <v>Muud tegevuskulud</v>
      </c>
      <c r="O363" s="3" t="str">
        <f>VLOOKUP(Table2[[#This Row],[Tulu/kulu liik2]],Table5[],6,FALSE)</f>
        <v>Majandamiskulud</v>
      </c>
      <c r="P363" s="3" t="str">
        <f>VLOOKUP(Table2[[#This Row],[Tulu/kulu liik2]],Table5[],5,FALSE)</f>
        <v>Põhitegevuse kulu</v>
      </c>
    </row>
    <row r="364" spans="1:16" x14ac:dyDescent="0.25">
      <c r="A364" t="str">
        <f t="shared" si="10"/>
        <v>08</v>
      </c>
      <c r="B364" t="s">
        <v>296</v>
      </c>
      <c r="C364" s="3" t="str">
        <f>VLOOKUP(Table2[[#This Row],[Tegevusala]],Table4[],2,FALSE)</f>
        <v xml:space="preserve"> Vinni Raamatukogu</v>
      </c>
      <c r="D364" s="3" t="str">
        <f>VLOOKUP(Table2[[#This Row],[Tegevusala]],Table4[[Tegevusala kood]:[Tegevusala alanimetus]],4,FALSE)</f>
        <v>Raamatukogud</v>
      </c>
      <c r="E364" s="3" t="str">
        <f>VLOOKUP(Table2[[#This Row],[Tegevusala nimetus2]],Table4[[Tegevusala nimetus]:[Tegevusala koondnimetus]],2,FALSE)</f>
        <v>Vabaaeg, kultuur ja religioon</v>
      </c>
      <c r="F364" t="s">
        <v>1055</v>
      </c>
      <c r="G364" t="s">
        <v>1057</v>
      </c>
      <c r="H364" s="40">
        <v>120</v>
      </c>
      <c r="J364">
        <v>5511</v>
      </c>
      <c r="K364" s="3" t="str">
        <f>VLOOKUP(Table2[[#This Row],[Konto]],Table5[[Konto]:[Konto nimetus]],2,FALSE)</f>
        <v>Kinnistute, hoonete ja ruumide majandamiskulud</v>
      </c>
      <c r="L364">
        <v>55</v>
      </c>
      <c r="M364" t="str">
        <f t="shared" si="11"/>
        <v>55</v>
      </c>
      <c r="N364" s="3" t="str">
        <f>VLOOKUP(Table2[[#This Row],[Tulu/kulu liik2]],Table5[[Tulu/kulu liik]:[Kontode koondnimetus]],4,FALSE)</f>
        <v>Muud tegevuskulud</v>
      </c>
      <c r="O364" s="3" t="str">
        <f>VLOOKUP(Table2[[#This Row],[Tulu/kulu liik2]],Table5[],6,FALSE)</f>
        <v>Majandamiskulud</v>
      </c>
      <c r="P364" s="3" t="str">
        <f>VLOOKUP(Table2[[#This Row],[Tulu/kulu liik2]],Table5[],5,FALSE)</f>
        <v>Põhitegevuse kulu</v>
      </c>
    </row>
    <row r="365" spans="1:16" x14ac:dyDescent="0.25">
      <c r="A365" t="str">
        <f t="shared" si="10"/>
        <v>08</v>
      </c>
      <c r="B365" t="s">
        <v>296</v>
      </c>
      <c r="C365" s="3" t="str">
        <f>VLOOKUP(Table2[[#This Row],[Tegevusala]],Table4[],2,FALSE)</f>
        <v xml:space="preserve"> Vinni Raamatukogu</v>
      </c>
      <c r="D365" s="3" t="str">
        <f>VLOOKUP(Table2[[#This Row],[Tegevusala]],Table4[[Tegevusala kood]:[Tegevusala alanimetus]],4,FALSE)</f>
        <v>Raamatukogud</v>
      </c>
      <c r="E365" s="3" t="str">
        <f>VLOOKUP(Table2[[#This Row],[Tegevusala nimetus2]],Table4[[Tegevusala nimetus]:[Tegevusala koondnimetus]],2,FALSE)</f>
        <v>Vabaaeg, kultuur ja religioon</v>
      </c>
      <c r="F365" t="s">
        <v>1055</v>
      </c>
      <c r="G365" t="s">
        <v>1058</v>
      </c>
      <c r="H365" s="40">
        <v>200</v>
      </c>
      <c r="J365">
        <v>5511</v>
      </c>
      <c r="K365" s="3" t="str">
        <f>VLOOKUP(Table2[[#This Row],[Konto]],Table5[[Konto]:[Konto nimetus]],2,FALSE)</f>
        <v>Kinnistute, hoonete ja ruumide majandamiskulud</v>
      </c>
      <c r="L365">
        <v>55</v>
      </c>
      <c r="M365" t="str">
        <f t="shared" si="11"/>
        <v>55</v>
      </c>
      <c r="N365" s="3" t="str">
        <f>VLOOKUP(Table2[[#This Row],[Tulu/kulu liik2]],Table5[[Tulu/kulu liik]:[Kontode koondnimetus]],4,FALSE)</f>
        <v>Muud tegevuskulud</v>
      </c>
      <c r="O365" s="3" t="str">
        <f>VLOOKUP(Table2[[#This Row],[Tulu/kulu liik2]],Table5[],6,FALSE)</f>
        <v>Majandamiskulud</v>
      </c>
      <c r="P365" s="3" t="str">
        <f>VLOOKUP(Table2[[#This Row],[Tulu/kulu liik2]],Table5[],5,FALSE)</f>
        <v>Põhitegevuse kulu</v>
      </c>
    </row>
    <row r="366" spans="1:16" x14ac:dyDescent="0.25">
      <c r="A366" t="str">
        <f t="shared" si="10"/>
        <v>08</v>
      </c>
      <c r="B366" t="s">
        <v>296</v>
      </c>
      <c r="C366" s="3" t="str">
        <f>VLOOKUP(Table2[[#This Row],[Tegevusala]],Table4[],2,FALSE)</f>
        <v xml:space="preserve"> Vinni Raamatukogu</v>
      </c>
      <c r="D366" s="3" t="str">
        <f>VLOOKUP(Table2[[#This Row],[Tegevusala]],Table4[[Tegevusala kood]:[Tegevusala alanimetus]],4,FALSE)</f>
        <v>Raamatukogud</v>
      </c>
      <c r="E366" s="3" t="str">
        <f>VLOOKUP(Table2[[#This Row],[Tegevusala nimetus2]],Table4[[Tegevusala nimetus]:[Tegevusala koondnimetus]],2,FALSE)</f>
        <v>Vabaaeg, kultuur ja religioon</v>
      </c>
      <c r="F366" t="s">
        <v>1055</v>
      </c>
      <c r="G366" t="s">
        <v>1059</v>
      </c>
      <c r="H366" s="40">
        <v>100</v>
      </c>
      <c r="I366" s="2" t="s">
        <v>1064</v>
      </c>
      <c r="J366">
        <v>5511</v>
      </c>
      <c r="K366" s="3" t="str">
        <f>VLOOKUP(Table2[[#This Row],[Konto]],Table5[[Konto]:[Konto nimetus]],2,FALSE)</f>
        <v>Kinnistute, hoonete ja ruumide majandamiskulud</v>
      </c>
      <c r="L366">
        <v>55</v>
      </c>
      <c r="M366" t="str">
        <f t="shared" si="11"/>
        <v>55</v>
      </c>
      <c r="N366" s="3" t="str">
        <f>VLOOKUP(Table2[[#This Row],[Tulu/kulu liik2]],Table5[[Tulu/kulu liik]:[Kontode koondnimetus]],4,FALSE)</f>
        <v>Muud tegevuskulud</v>
      </c>
      <c r="O366" s="3" t="str">
        <f>VLOOKUP(Table2[[#This Row],[Tulu/kulu liik2]],Table5[],6,FALSE)</f>
        <v>Majandamiskulud</v>
      </c>
      <c r="P366" s="3" t="str">
        <f>VLOOKUP(Table2[[#This Row],[Tulu/kulu liik2]],Table5[],5,FALSE)</f>
        <v>Põhitegevuse kulu</v>
      </c>
    </row>
    <row r="367" spans="1:16" x14ac:dyDescent="0.25">
      <c r="A367" t="str">
        <f t="shared" si="10"/>
        <v>08</v>
      </c>
      <c r="B367" t="s">
        <v>296</v>
      </c>
      <c r="C367" s="3" t="str">
        <f>VLOOKUP(Table2[[#This Row],[Tegevusala]],Table4[],2,FALSE)</f>
        <v xml:space="preserve"> Vinni Raamatukogu</v>
      </c>
      <c r="D367" s="3" t="str">
        <f>VLOOKUP(Table2[[#This Row],[Tegevusala]],Table4[[Tegevusala kood]:[Tegevusala alanimetus]],4,FALSE)</f>
        <v>Raamatukogud</v>
      </c>
      <c r="E367" s="3" t="str">
        <f>VLOOKUP(Table2[[#This Row],[Tegevusala nimetus2]],Table4[[Tegevusala nimetus]:[Tegevusala koondnimetus]],2,FALSE)</f>
        <v>Vabaaeg, kultuur ja religioon</v>
      </c>
      <c r="F367" t="s">
        <v>1055</v>
      </c>
      <c r="G367" t="s">
        <v>1060</v>
      </c>
      <c r="H367" s="40">
        <v>100</v>
      </c>
      <c r="J367">
        <v>5511</v>
      </c>
      <c r="K367" s="3" t="str">
        <f>VLOOKUP(Table2[[#This Row],[Konto]],Table5[[Konto]:[Konto nimetus]],2,FALSE)</f>
        <v>Kinnistute, hoonete ja ruumide majandamiskulud</v>
      </c>
      <c r="L367">
        <v>55</v>
      </c>
      <c r="M367" t="str">
        <f t="shared" si="11"/>
        <v>55</v>
      </c>
      <c r="N367" s="3" t="str">
        <f>VLOOKUP(Table2[[#This Row],[Tulu/kulu liik2]],Table5[[Tulu/kulu liik]:[Kontode koondnimetus]],4,FALSE)</f>
        <v>Muud tegevuskulud</v>
      </c>
      <c r="O367" s="3" t="str">
        <f>VLOOKUP(Table2[[#This Row],[Tulu/kulu liik2]],Table5[],6,FALSE)</f>
        <v>Majandamiskulud</v>
      </c>
      <c r="P367" s="3" t="str">
        <f>VLOOKUP(Table2[[#This Row],[Tulu/kulu liik2]],Table5[],5,FALSE)</f>
        <v>Põhitegevuse kulu</v>
      </c>
    </row>
    <row r="368" spans="1:16" x14ac:dyDescent="0.25">
      <c r="A368" t="str">
        <f t="shared" si="10"/>
        <v>08</v>
      </c>
      <c r="B368" t="s">
        <v>296</v>
      </c>
      <c r="C368" s="3" t="str">
        <f>VLOOKUP(Table2[[#This Row],[Tegevusala]],Table4[],2,FALSE)</f>
        <v xml:space="preserve"> Vinni Raamatukogu</v>
      </c>
      <c r="D368" s="3" t="str">
        <f>VLOOKUP(Table2[[#This Row],[Tegevusala]],Table4[[Tegevusala kood]:[Tegevusala alanimetus]],4,FALSE)</f>
        <v>Raamatukogud</v>
      </c>
      <c r="E368" s="3" t="str">
        <f>VLOOKUP(Table2[[#This Row],[Tegevusala nimetus2]],Table4[[Tegevusala nimetus]:[Tegevusala koondnimetus]],2,FALSE)</f>
        <v>Vabaaeg, kultuur ja religioon</v>
      </c>
      <c r="F368" t="s">
        <v>1055</v>
      </c>
      <c r="G368" t="s">
        <v>1046</v>
      </c>
      <c r="H368" s="40">
        <v>100</v>
      </c>
      <c r="J368">
        <v>5500</v>
      </c>
      <c r="K368" s="3" t="str">
        <f>VLOOKUP(Table2[[#This Row],[Konto]],Table5[[Konto]:[Konto nimetus]],2,FALSE)</f>
        <v>Administreerimiskulud</v>
      </c>
      <c r="L368">
        <v>55</v>
      </c>
      <c r="M368" t="str">
        <f t="shared" si="11"/>
        <v>55</v>
      </c>
      <c r="N368" s="3" t="str">
        <f>VLOOKUP(Table2[[#This Row],[Tulu/kulu liik2]],Table5[[Tulu/kulu liik]:[Kontode koondnimetus]],4,FALSE)</f>
        <v>Muud tegevuskulud</v>
      </c>
      <c r="O368" s="3" t="str">
        <f>VLOOKUP(Table2[[#This Row],[Tulu/kulu liik2]],Table5[],6,FALSE)</f>
        <v>Majandamiskulud</v>
      </c>
      <c r="P368" s="3" t="str">
        <f>VLOOKUP(Table2[[#This Row],[Tulu/kulu liik2]],Table5[],5,FALSE)</f>
        <v>Põhitegevuse kulu</v>
      </c>
    </row>
    <row r="369" spans="1:16" x14ac:dyDescent="0.25">
      <c r="A369" t="str">
        <f t="shared" si="10"/>
        <v>08</v>
      </c>
      <c r="B369" t="s">
        <v>296</v>
      </c>
      <c r="C369" s="3" t="str">
        <f>VLOOKUP(Table2[[#This Row],[Tegevusala]],Table4[],2,FALSE)</f>
        <v xml:space="preserve"> Vinni Raamatukogu</v>
      </c>
      <c r="D369" s="3" t="str">
        <f>VLOOKUP(Table2[[#This Row],[Tegevusala]],Table4[[Tegevusala kood]:[Tegevusala alanimetus]],4,FALSE)</f>
        <v>Raamatukogud</v>
      </c>
      <c r="E369" s="3" t="str">
        <f>VLOOKUP(Table2[[#This Row],[Tegevusala nimetus2]],Table4[[Tegevusala nimetus]:[Tegevusala koondnimetus]],2,FALSE)</f>
        <v>Vabaaeg, kultuur ja religioon</v>
      </c>
      <c r="F369" t="s">
        <v>1055</v>
      </c>
      <c r="G369" t="s">
        <v>1047</v>
      </c>
      <c r="H369" s="40">
        <v>190</v>
      </c>
      <c r="J369">
        <v>5500</v>
      </c>
      <c r="K369" s="3" t="str">
        <f>VLOOKUP(Table2[[#This Row],[Konto]],Table5[[Konto]:[Konto nimetus]],2,FALSE)</f>
        <v>Administreerimiskulud</v>
      </c>
      <c r="L369">
        <v>55</v>
      </c>
      <c r="M369" t="str">
        <f t="shared" si="11"/>
        <v>55</v>
      </c>
      <c r="N369" s="3" t="str">
        <f>VLOOKUP(Table2[[#This Row],[Tulu/kulu liik2]],Table5[[Tulu/kulu liik]:[Kontode koondnimetus]],4,FALSE)</f>
        <v>Muud tegevuskulud</v>
      </c>
      <c r="O369" s="3" t="str">
        <f>VLOOKUP(Table2[[#This Row],[Tulu/kulu liik2]],Table5[],6,FALSE)</f>
        <v>Majandamiskulud</v>
      </c>
      <c r="P369" s="3" t="str">
        <f>VLOOKUP(Table2[[#This Row],[Tulu/kulu liik2]],Table5[],5,FALSE)</f>
        <v>Põhitegevuse kulu</v>
      </c>
    </row>
    <row r="370" spans="1:16" x14ac:dyDescent="0.25">
      <c r="A370" t="str">
        <f t="shared" si="10"/>
        <v>08</v>
      </c>
      <c r="B370" t="s">
        <v>296</v>
      </c>
      <c r="C370" s="3" t="str">
        <f>VLOOKUP(Table2[[#This Row],[Tegevusala]],Table4[],2,FALSE)</f>
        <v xml:space="preserve"> Vinni Raamatukogu</v>
      </c>
      <c r="D370" s="3" t="str">
        <f>VLOOKUP(Table2[[#This Row],[Tegevusala]],Table4[[Tegevusala kood]:[Tegevusala alanimetus]],4,FALSE)</f>
        <v>Raamatukogud</v>
      </c>
      <c r="E370" s="3" t="str">
        <f>VLOOKUP(Table2[[#This Row],[Tegevusala nimetus2]],Table4[[Tegevusala nimetus]:[Tegevusala koondnimetus]],2,FALSE)</f>
        <v>Vabaaeg, kultuur ja religioon</v>
      </c>
      <c r="F370" t="s">
        <v>1055</v>
      </c>
      <c r="G370" t="s">
        <v>1048</v>
      </c>
      <c r="H370" s="40">
        <v>120</v>
      </c>
      <c r="J370">
        <v>5500</v>
      </c>
      <c r="K370" s="3" t="str">
        <f>VLOOKUP(Table2[[#This Row],[Konto]],Table5[[Konto]:[Konto nimetus]],2,FALSE)</f>
        <v>Administreerimiskulud</v>
      </c>
      <c r="L370">
        <v>55</v>
      </c>
      <c r="M370" t="str">
        <f t="shared" si="11"/>
        <v>55</v>
      </c>
      <c r="N370" s="3" t="str">
        <f>VLOOKUP(Table2[[#This Row],[Tulu/kulu liik2]],Table5[[Tulu/kulu liik]:[Kontode koondnimetus]],4,FALSE)</f>
        <v>Muud tegevuskulud</v>
      </c>
      <c r="O370" s="3" t="str">
        <f>VLOOKUP(Table2[[#This Row],[Tulu/kulu liik2]],Table5[],6,FALSE)</f>
        <v>Majandamiskulud</v>
      </c>
      <c r="P370" s="3" t="str">
        <f>VLOOKUP(Table2[[#This Row],[Tulu/kulu liik2]],Table5[],5,FALSE)</f>
        <v>Põhitegevuse kulu</v>
      </c>
    </row>
    <row r="371" spans="1:16" x14ac:dyDescent="0.25">
      <c r="A371" t="str">
        <f t="shared" si="10"/>
        <v>08</v>
      </c>
      <c r="B371" t="s">
        <v>296</v>
      </c>
      <c r="C371" s="3" t="str">
        <f>VLOOKUP(Table2[[#This Row],[Tegevusala]],Table4[],2,FALSE)</f>
        <v xml:space="preserve"> Vinni Raamatukogu</v>
      </c>
      <c r="D371" s="3" t="str">
        <f>VLOOKUP(Table2[[#This Row],[Tegevusala]],Table4[[Tegevusala kood]:[Tegevusala alanimetus]],4,FALSE)</f>
        <v>Raamatukogud</v>
      </c>
      <c r="E371" s="3" t="str">
        <f>VLOOKUP(Table2[[#This Row],[Tegevusala nimetus2]],Table4[[Tegevusala nimetus]:[Tegevusala koondnimetus]],2,FALSE)</f>
        <v>Vabaaeg, kultuur ja religioon</v>
      </c>
      <c r="F371" t="s">
        <v>1055</v>
      </c>
      <c r="G371" t="s">
        <v>1049</v>
      </c>
      <c r="H371" s="40">
        <v>2000</v>
      </c>
      <c r="J371">
        <v>5500</v>
      </c>
      <c r="K371" s="3" t="str">
        <f>VLOOKUP(Table2[[#This Row],[Konto]],Table5[[Konto]:[Konto nimetus]],2,FALSE)</f>
        <v>Administreerimiskulud</v>
      </c>
      <c r="L371">
        <v>55</v>
      </c>
      <c r="M371" t="str">
        <f t="shared" si="11"/>
        <v>55</v>
      </c>
      <c r="N371" s="3" t="str">
        <f>VLOOKUP(Table2[[#This Row],[Tulu/kulu liik2]],Table5[[Tulu/kulu liik]:[Kontode koondnimetus]],4,FALSE)</f>
        <v>Muud tegevuskulud</v>
      </c>
      <c r="O371" s="3" t="str">
        <f>VLOOKUP(Table2[[#This Row],[Tulu/kulu liik2]],Table5[],6,FALSE)</f>
        <v>Majandamiskulud</v>
      </c>
      <c r="P371" s="3" t="str">
        <f>VLOOKUP(Table2[[#This Row],[Tulu/kulu liik2]],Table5[],5,FALSE)</f>
        <v>Põhitegevuse kulu</v>
      </c>
    </row>
    <row r="372" spans="1:16" x14ac:dyDescent="0.25">
      <c r="A372" t="str">
        <f t="shared" si="10"/>
        <v>08</v>
      </c>
      <c r="B372" t="s">
        <v>296</v>
      </c>
      <c r="C372" s="3" t="str">
        <f>VLOOKUP(Table2[[#This Row],[Tegevusala]],Table4[],2,FALSE)</f>
        <v xml:space="preserve"> Vinni Raamatukogu</v>
      </c>
      <c r="D372" s="3" t="str">
        <f>VLOOKUP(Table2[[#This Row],[Tegevusala]],Table4[[Tegevusala kood]:[Tegevusala alanimetus]],4,FALSE)</f>
        <v>Raamatukogud</v>
      </c>
      <c r="E372" s="3" t="str">
        <f>VLOOKUP(Table2[[#This Row],[Tegevusala nimetus2]],Table4[[Tegevusala nimetus]:[Tegevusala koondnimetus]],2,FALSE)</f>
        <v>Vabaaeg, kultuur ja religioon</v>
      </c>
      <c r="F372" t="s">
        <v>1055</v>
      </c>
      <c r="G372" t="s">
        <v>1050</v>
      </c>
      <c r="H372" s="40">
        <v>150</v>
      </c>
      <c r="J372">
        <v>5500</v>
      </c>
      <c r="K372" s="3" t="str">
        <f>VLOOKUP(Table2[[#This Row],[Konto]],Table5[[Konto]:[Konto nimetus]],2,FALSE)</f>
        <v>Administreerimiskulud</v>
      </c>
      <c r="L372">
        <v>55</v>
      </c>
      <c r="M372" t="str">
        <f t="shared" si="11"/>
        <v>55</v>
      </c>
      <c r="N372" s="3" t="str">
        <f>VLOOKUP(Table2[[#This Row],[Tulu/kulu liik2]],Table5[[Tulu/kulu liik]:[Kontode koondnimetus]],4,FALSE)</f>
        <v>Muud tegevuskulud</v>
      </c>
      <c r="O372" s="3" t="str">
        <f>VLOOKUP(Table2[[#This Row],[Tulu/kulu liik2]],Table5[],6,FALSE)</f>
        <v>Majandamiskulud</v>
      </c>
      <c r="P372" s="3" t="str">
        <f>VLOOKUP(Table2[[#This Row],[Tulu/kulu liik2]],Table5[],5,FALSE)</f>
        <v>Põhitegevuse kulu</v>
      </c>
    </row>
    <row r="373" spans="1:16" x14ac:dyDescent="0.25">
      <c r="A373" t="str">
        <f t="shared" si="10"/>
        <v>08</v>
      </c>
      <c r="B373" t="s">
        <v>296</v>
      </c>
      <c r="C373" s="3" t="str">
        <f>VLOOKUP(Table2[[#This Row],[Tegevusala]],Table4[],2,FALSE)</f>
        <v xml:space="preserve"> Vinni Raamatukogu</v>
      </c>
      <c r="D373" s="3" t="str">
        <f>VLOOKUP(Table2[[#This Row],[Tegevusala]],Table4[[Tegevusala kood]:[Tegevusala alanimetus]],4,FALSE)</f>
        <v>Raamatukogud</v>
      </c>
      <c r="E373" s="3" t="str">
        <f>VLOOKUP(Table2[[#This Row],[Tegevusala nimetus2]],Table4[[Tegevusala nimetus]:[Tegevusala koondnimetus]],2,FALSE)</f>
        <v>Vabaaeg, kultuur ja religioon</v>
      </c>
      <c r="F373" t="s">
        <v>1055</v>
      </c>
      <c r="G373" t="s">
        <v>1051</v>
      </c>
      <c r="H373" s="40">
        <v>800</v>
      </c>
      <c r="J373">
        <v>5500</v>
      </c>
      <c r="K373" s="3" t="str">
        <f>VLOOKUP(Table2[[#This Row],[Konto]],Table5[[Konto]:[Konto nimetus]],2,FALSE)</f>
        <v>Administreerimiskulud</v>
      </c>
      <c r="L373">
        <v>55</v>
      </c>
      <c r="M373" t="str">
        <f t="shared" si="11"/>
        <v>55</v>
      </c>
      <c r="N373" s="3" t="str">
        <f>VLOOKUP(Table2[[#This Row],[Tulu/kulu liik2]],Table5[[Tulu/kulu liik]:[Kontode koondnimetus]],4,FALSE)</f>
        <v>Muud tegevuskulud</v>
      </c>
      <c r="O373" s="3" t="str">
        <f>VLOOKUP(Table2[[#This Row],[Tulu/kulu liik2]],Table5[],6,FALSE)</f>
        <v>Majandamiskulud</v>
      </c>
      <c r="P373" s="3" t="str">
        <f>VLOOKUP(Table2[[#This Row],[Tulu/kulu liik2]],Table5[],5,FALSE)</f>
        <v>Põhitegevuse kulu</v>
      </c>
    </row>
    <row r="374" spans="1:16" x14ac:dyDescent="0.25">
      <c r="A374" t="str">
        <f t="shared" si="10"/>
        <v>08</v>
      </c>
      <c r="B374" t="s">
        <v>296</v>
      </c>
      <c r="C374" s="3" t="str">
        <f>VLOOKUP(Table2[[#This Row],[Tegevusala]],Table4[],2,FALSE)</f>
        <v xml:space="preserve"> Vinni Raamatukogu</v>
      </c>
      <c r="D374" s="3" t="str">
        <f>VLOOKUP(Table2[[#This Row],[Tegevusala]],Table4[[Tegevusala kood]:[Tegevusala alanimetus]],4,FALSE)</f>
        <v>Raamatukogud</v>
      </c>
      <c r="E374" s="3" t="str">
        <f>VLOOKUP(Table2[[#This Row],[Tegevusala nimetus2]],Table4[[Tegevusala nimetus]:[Tegevusala koondnimetus]],2,FALSE)</f>
        <v>Vabaaeg, kultuur ja religioon</v>
      </c>
      <c r="F374" t="s">
        <v>1055</v>
      </c>
      <c r="G374" t="s">
        <v>1052</v>
      </c>
      <c r="H374" s="40">
        <v>100</v>
      </c>
      <c r="J374">
        <v>5500</v>
      </c>
      <c r="K374" s="3" t="str">
        <f>VLOOKUP(Table2[[#This Row],[Konto]],Table5[[Konto]:[Konto nimetus]],2,FALSE)</f>
        <v>Administreerimiskulud</v>
      </c>
      <c r="L374">
        <v>55</v>
      </c>
      <c r="M374" t="str">
        <f t="shared" si="11"/>
        <v>55</v>
      </c>
      <c r="N374" s="3" t="str">
        <f>VLOOKUP(Table2[[#This Row],[Tulu/kulu liik2]],Table5[[Tulu/kulu liik]:[Kontode koondnimetus]],4,FALSE)</f>
        <v>Muud tegevuskulud</v>
      </c>
      <c r="O374" s="3" t="str">
        <f>VLOOKUP(Table2[[#This Row],[Tulu/kulu liik2]],Table5[],6,FALSE)</f>
        <v>Majandamiskulud</v>
      </c>
      <c r="P374" s="3" t="str">
        <f>VLOOKUP(Table2[[#This Row],[Tulu/kulu liik2]],Table5[],5,FALSE)</f>
        <v>Põhitegevuse kulu</v>
      </c>
    </row>
    <row r="375" spans="1:16" x14ac:dyDescent="0.25">
      <c r="A375" t="str">
        <f t="shared" si="10"/>
        <v>08</v>
      </c>
      <c r="B375" t="s">
        <v>296</v>
      </c>
      <c r="C375" s="3" t="str">
        <f>VLOOKUP(Table2[[#This Row],[Tegevusala]],Table4[],2,FALSE)</f>
        <v xml:space="preserve"> Vinni Raamatukogu</v>
      </c>
      <c r="D375" s="3" t="str">
        <f>VLOOKUP(Table2[[#This Row],[Tegevusala]],Table4[[Tegevusala kood]:[Tegevusala alanimetus]],4,FALSE)</f>
        <v>Raamatukogud</v>
      </c>
      <c r="E375" s="3" t="str">
        <f>VLOOKUP(Table2[[#This Row],[Tegevusala nimetus2]],Table4[[Tegevusala nimetus]:[Tegevusala koondnimetus]],2,FALSE)</f>
        <v>Vabaaeg, kultuur ja religioon</v>
      </c>
      <c r="F375" t="s">
        <v>1055</v>
      </c>
      <c r="G375" t="s">
        <v>102</v>
      </c>
      <c r="H375" s="40">
        <v>500</v>
      </c>
      <c r="I375" s="2" t="s">
        <v>1053</v>
      </c>
      <c r="J375">
        <v>5504</v>
      </c>
      <c r="K375" s="3" t="str">
        <f>VLOOKUP(Table2[[#This Row],[Konto]],Table5[[Konto]:[Konto nimetus]],2,FALSE)</f>
        <v>Koolituskulud</v>
      </c>
      <c r="L375">
        <v>55</v>
      </c>
      <c r="M375" t="str">
        <f t="shared" si="11"/>
        <v>55</v>
      </c>
      <c r="N375" s="3" t="str">
        <f>VLOOKUP(Table2[[#This Row],[Tulu/kulu liik2]],Table5[[Tulu/kulu liik]:[Kontode koondnimetus]],4,FALSE)</f>
        <v>Muud tegevuskulud</v>
      </c>
      <c r="O375" s="3" t="str">
        <f>VLOOKUP(Table2[[#This Row],[Tulu/kulu liik2]],Table5[],6,FALSE)</f>
        <v>Majandamiskulud</v>
      </c>
      <c r="P375" s="3" t="str">
        <f>VLOOKUP(Table2[[#This Row],[Tulu/kulu liik2]],Table5[],5,FALSE)</f>
        <v>Põhitegevuse kulu</v>
      </c>
    </row>
    <row r="376" spans="1:16" x14ac:dyDescent="0.25">
      <c r="A376" t="str">
        <f t="shared" si="10"/>
        <v>08</v>
      </c>
      <c r="B376" t="s">
        <v>296</v>
      </c>
      <c r="C376" s="3" t="str">
        <f>VLOOKUP(Table2[[#This Row],[Tegevusala]],Table4[],2,FALSE)</f>
        <v xml:space="preserve"> Vinni Raamatukogu</v>
      </c>
      <c r="D376" s="3" t="str">
        <f>VLOOKUP(Table2[[#This Row],[Tegevusala]],Table4[[Tegevusala kood]:[Tegevusala alanimetus]],4,FALSE)</f>
        <v>Raamatukogud</v>
      </c>
      <c r="E376" s="3" t="str">
        <f>VLOOKUP(Table2[[#This Row],[Tegevusala nimetus2]],Table4[[Tegevusala nimetus]:[Tegevusala koondnimetus]],2,FALSE)</f>
        <v>Vabaaeg, kultuur ja religioon</v>
      </c>
      <c r="F376" t="s">
        <v>1055</v>
      </c>
      <c r="G376" t="s">
        <v>101</v>
      </c>
      <c r="H376" s="40">
        <v>100</v>
      </c>
      <c r="I376" s="2" t="s">
        <v>1054</v>
      </c>
      <c r="J376">
        <v>5504</v>
      </c>
      <c r="K376" s="3" t="str">
        <f>VLOOKUP(Table2[[#This Row],[Konto]],Table5[[Konto]:[Konto nimetus]],2,FALSE)</f>
        <v>Koolituskulud</v>
      </c>
      <c r="L376">
        <v>55</v>
      </c>
      <c r="M376" t="str">
        <f t="shared" si="11"/>
        <v>55</v>
      </c>
      <c r="N376" s="3" t="str">
        <f>VLOOKUP(Table2[[#This Row],[Tulu/kulu liik2]],Table5[[Tulu/kulu liik]:[Kontode koondnimetus]],4,FALSE)</f>
        <v>Muud tegevuskulud</v>
      </c>
      <c r="O376" s="3" t="str">
        <f>VLOOKUP(Table2[[#This Row],[Tulu/kulu liik2]],Table5[],6,FALSE)</f>
        <v>Majandamiskulud</v>
      </c>
      <c r="P376" s="3" t="str">
        <f>VLOOKUP(Table2[[#This Row],[Tulu/kulu liik2]],Table5[],5,FALSE)</f>
        <v>Põhitegevuse kulu</v>
      </c>
    </row>
    <row r="377" spans="1:16" x14ac:dyDescent="0.25">
      <c r="A377" t="str">
        <f t="shared" si="10"/>
        <v>08</v>
      </c>
      <c r="B377" t="s">
        <v>296</v>
      </c>
      <c r="C377" s="3" t="str">
        <f>VLOOKUP(Table2[[#This Row],[Tegevusala]],Table4[],2,FALSE)</f>
        <v xml:space="preserve"> Vinni Raamatukogu</v>
      </c>
      <c r="D377" s="3" t="str">
        <f>VLOOKUP(Table2[[#This Row],[Tegevusala]],Table4[[Tegevusala kood]:[Tegevusala alanimetus]],4,FALSE)</f>
        <v>Raamatukogud</v>
      </c>
      <c r="E377" s="3" t="str">
        <f>VLOOKUP(Table2[[#This Row],[Tegevusala nimetus2]],Table4[[Tegevusala nimetus]:[Tegevusala koondnimetus]],2,FALSE)</f>
        <v>Vabaaeg, kultuur ja religioon</v>
      </c>
      <c r="F377" t="s">
        <v>1055</v>
      </c>
      <c r="G377" t="s">
        <v>1061</v>
      </c>
      <c r="H377" s="40">
        <v>450</v>
      </c>
      <c r="J377">
        <v>5511</v>
      </c>
      <c r="K377" s="3" t="str">
        <f>VLOOKUP(Table2[[#This Row],[Konto]],Table5[[Konto]:[Konto nimetus]],2,FALSE)</f>
        <v>Kinnistute, hoonete ja ruumide majandamiskulud</v>
      </c>
      <c r="L377">
        <v>55</v>
      </c>
      <c r="M377" t="str">
        <f t="shared" si="11"/>
        <v>55</v>
      </c>
      <c r="N377" s="3" t="str">
        <f>VLOOKUP(Table2[[#This Row],[Tulu/kulu liik2]],Table5[[Tulu/kulu liik]:[Kontode koondnimetus]],4,FALSE)</f>
        <v>Muud tegevuskulud</v>
      </c>
      <c r="O377" s="3" t="str">
        <f>VLOOKUP(Table2[[#This Row],[Tulu/kulu liik2]],Table5[],6,FALSE)</f>
        <v>Majandamiskulud</v>
      </c>
      <c r="P377" s="3" t="str">
        <f>VLOOKUP(Table2[[#This Row],[Tulu/kulu liik2]],Table5[],5,FALSE)</f>
        <v>Põhitegevuse kulu</v>
      </c>
    </row>
    <row r="378" spans="1:16" x14ac:dyDescent="0.25">
      <c r="A378" t="str">
        <f t="shared" si="10"/>
        <v>08</v>
      </c>
      <c r="B378" t="s">
        <v>296</v>
      </c>
      <c r="C378" s="3" t="str">
        <f>VLOOKUP(Table2[[#This Row],[Tegevusala]],Table4[],2,FALSE)</f>
        <v xml:space="preserve"> Vinni Raamatukogu</v>
      </c>
      <c r="D378" s="3" t="str">
        <f>VLOOKUP(Table2[[#This Row],[Tegevusala]],Table4[[Tegevusala kood]:[Tegevusala alanimetus]],4,FALSE)</f>
        <v>Raamatukogud</v>
      </c>
      <c r="E378" s="3" t="str">
        <f>VLOOKUP(Table2[[#This Row],[Tegevusala nimetus2]],Table4[[Tegevusala nimetus]:[Tegevusala koondnimetus]],2,FALSE)</f>
        <v>Vabaaeg, kultuur ja religioon</v>
      </c>
      <c r="F378" t="s">
        <v>1055</v>
      </c>
      <c r="G378" t="s">
        <v>1062</v>
      </c>
      <c r="H378" s="40">
        <v>125</v>
      </c>
      <c r="J378">
        <v>5511</v>
      </c>
      <c r="K378" s="3" t="str">
        <f>VLOOKUP(Table2[[#This Row],[Konto]],Table5[[Konto]:[Konto nimetus]],2,FALSE)</f>
        <v>Kinnistute, hoonete ja ruumide majandamiskulud</v>
      </c>
      <c r="L378">
        <v>55</v>
      </c>
      <c r="M378" t="str">
        <f t="shared" si="11"/>
        <v>55</v>
      </c>
      <c r="N378" s="3" t="str">
        <f>VLOOKUP(Table2[[#This Row],[Tulu/kulu liik2]],Table5[[Tulu/kulu liik]:[Kontode koondnimetus]],4,FALSE)</f>
        <v>Muud tegevuskulud</v>
      </c>
      <c r="O378" s="3" t="str">
        <f>VLOOKUP(Table2[[#This Row],[Tulu/kulu liik2]],Table5[],6,FALSE)</f>
        <v>Majandamiskulud</v>
      </c>
      <c r="P378" s="3" t="str">
        <f>VLOOKUP(Table2[[#This Row],[Tulu/kulu liik2]],Table5[],5,FALSE)</f>
        <v>Põhitegevuse kulu</v>
      </c>
    </row>
    <row r="379" spans="1:16" x14ac:dyDescent="0.25">
      <c r="A379" t="str">
        <f t="shared" si="10"/>
        <v>08</v>
      </c>
      <c r="B379" t="s">
        <v>296</v>
      </c>
      <c r="C379" s="3" t="str">
        <f>VLOOKUP(Table2[[#This Row],[Tegevusala]],Table4[],2,FALSE)</f>
        <v xml:space="preserve"> Vinni Raamatukogu</v>
      </c>
      <c r="D379" s="3" t="str">
        <f>VLOOKUP(Table2[[#This Row],[Tegevusala]],Table4[[Tegevusala kood]:[Tegevusala alanimetus]],4,FALSE)</f>
        <v>Raamatukogud</v>
      </c>
      <c r="E379" s="3" t="str">
        <f>VLOOKUP(Table2[[#This Row],[Tegevusala nimetus2]],Table4[[Tegevusala nimetus]:[Tegevusala koondnimetus]],2,FALSE)</f>
        <v>Vabaaeg, kultuur ja religioon</v>
      </c>
      <c r="F379" t="s">
        <v>1055</v>
      </c>
      <c r="G379" t="s">
        <v>1063</v>
      </c>
      <c r="H379" s="40">
        <v>200</v>
      </c>
      <c r="J379">
        <v>5511</v>
      </c>
      <c r="K379" s="3" t="str">
        <f>VLOOKUP(Table2[[#This Row],[Konto]],Table5[[Konto]:[Konto nimetus]],2,FALSE)</f>
        <v>Kinnistute, hoonete ja ruumide majandamiskulud</v>
      </c>
      <c r="L379">
        <v>55</v>
      </c>
      <c r="M379" t="str">
        <f t="shared" si="11"/>
        <v>55</v>
      </c>
      <c r="N379" s="3" t="str">
        <f>VLOOKUP(Table2[[#This Row],[Tulu/kulu liik2]],Table5[[Tulu/kulu liik]:[Kontode koondnimetus]],4,FALSE)</f>
        <v>Muud tegevuskulud</v>
      </c>
      <c r="O379" s="3" t="str">
        <f>VLOOKUP(Table2[[#This Row],[Tulu/kulu liik2]],Table5[],6,FALSE)</f>
        <v>Majandamiskulud</v>
      </c>
      <c r="P379" s="3" t="str">
        <f>VLOOKUP(Table2[[#This Row],[Tulu/kulu liik2]],Table5[],5,FALSE)</f>
        <v>Põhitegevuse kulu</v>
      </c>
    </row>
    <row r="380" spans="1:16" x14ac:dyDescent="0.25">
      <c r="A380" t="str">
        <f t="shared" si="10"/>
        <v>08</v>
      </c>
      <c r="B380" t="s">
        <v>296</v>
      </c>
      <c r="C380" s="3" t="str">
        <f>VLOOKUP(Table2[[#This Row],[Tegevusala]],Table4[],2,FALSE)</f>
        <v xml:space="preserve"> Vinni Raamatukogu</v>
      </c>
      <c r="D380" s="3" t="str">
        <f>VLOOKUP(Table2[[#This Row],[Tegevusala]],Table4[[Tegevusala kood]:[Tegevusala alanimetus]],4,FALSE)</f>
        <v>Raamatukogud</v>
      </c>
      <c r="E380" s="3" t="str">
        <f>VLOOKUP(Table2[[#This Row],[Tegevusala nimetus2]],Table4[[Tegevusala nimetus]:[Tegevusala koondnimetus]],2,FALSE)</f>
        <v>Vabaaeg, kultuur ja religioon</v>
      </c>
      <c r="F380" t="s">
        <v>1055</v>
      </c>
      <c r="G380" t="s">
        <v>1065</v>
      </c>
      <c r="H380" s="40">
        <v>400</v>
      </c>
      <c r="I380" s="2" t="s">
        <v>1066</v>
      </c>
      <c r="J380">
        <v>5513</v>
      </c>
      <c r="K380" s="3" t="str">
        <f>VLOOKUP(Table2[[#This Row],[Konto]],Table5[[Konto]:[Konto nimetus]],2,FALSE)</f>
        <v>Sõidukite ülalpidamise kulud</v>
      </c>
      <c r="L380">
        <v>55</v>
      </c>
      <c r="M380" t="str">
        <f t="shared" si="11"/>
        <v>55</v>
      </c>
      <c r="N380" s="3" t="str">
        <f>VLOOKUP(Table2[[#This Row],[Tulu/kulu liik2]],Table5[[Tulu/kulu liik]:[Kontode koondnimetus]],4,FALSE)</f>
        <v>Muud tegevuskulud</v>
      </c>
      <c r="O380" s="3" t="str">
        <f>VLOOKUP(Table2[[#This Row],[Tulu/kulu liik2]],Table5[],6,FALSE)</f>
        <v>Majandamiskulud</v>
      </c>
      <c r="P380" s="3" t="str">
        <f>VLOOKUP(Table2[[#This Row],[Tulu/kulu liik2]],Table5[],5,FALSE)</f>
        <v>Põhitegevuse kulu</v>
      </c>
    </row>
    <row r="381" spans="1:16" x14ac:dyDescent="0.25">
      <c r="A381" t="str">
        <f t="shared" si="10"/>
        <v>08</v>
      </c>
      <c r="B381" t="s">
        <v>296</v>
      </c>
      <c r="C381" s="3" t="str">
        <f>VLOOKUP(Table2[[#This Row],[Tegevusala]],Table4[],2,FALSE)</f>
        <v xml:space="preserve"> Vinni Raamatukogu</v>
      </c>
      <c r="D381" s="3" t="str">
        <f>VLOOKUP(Table2[[#This Row],[Tegevusala]],Table4[[Tegevusala kood]:[Tegevusala alanimetus]],4,FALSE)</f>
        <v>Raamatukogud</v>
      </c>
      <c r="E381" s="3" t="str">
        <f>VLOOKUP(Table2[[#This Row],[Tegevusala nimetus2]],Table4[[Tegevusala nimetus]:[Tegevusala koondnimetus]],2,FALSE)</f>
        <v>Vabaaeg, kultuur ja religioon</v>
      </c>
      <c r="F381" t="s">
        <v>1055</v>
      </c>
      <c r="G381" t="s">
        <v>1070</v>
      </c>
      <c r="H381" s="40">
        <v>200</v>
      </c>
      <c r="J381">
        <v>5522</v>
      </c>
      <c r="K381" s="3" t="str">
        <f>VLOOKUP(Table2[[#This Row],[Konto]],Table5[[Konto]:[Konto nimetus]],2,FALSE)</f>
        <v>Meditsiinikulud ja hügieenitarbed</v>
      </c>
      <c r="L381">
        <v>55</v>
      </c>
      <c r="M381" t="str">
        <f t="shared" si="11"/>
        <v>55</v>
      </c>
      <c r="N381" s="3" t="str">
        <f>VLOOKUP(Table2[[#This Row],[Tulu/kulu liik2]],Table5[[Tulu/kulu liik]:[Kontode koondnimetus]],4,FALSE)</f>
        <v>Muud tegevuskulud</v>
      </c>
      <c r="O381" s="3" t="str">
        <f>VLOOKUP(Table2[[#This Row],[Tulu/kulu liik2]],Table5[],6,FALSE)</f>
        <v>Majandamiskulud</v>
      </c>
      <c r="P381" s="3" t="str">
        <f>VLOOKUP(Table2[[#This Row],[Tulu/kulu liik2]],Table5[],5,FALSE)</f>
        <v>Põhitegevuse kulu</v>
      </c>
    </row>
    <row r="382" spans="1:16" x14ac:dyDescent="0.25">
      <c r="A382" t="str">
        <f t="shared" si="10"/>
        <v>08</v>
      </c>
      <c r="B382" t="s">
        <v>296</v>
      </c>
      <c r="C382" s="3" t="str">
        <f>VLOOKUP(Table2[[#This Row],[Tegevusala]],Table4[],2,FALSE)</f>
        <v xml:space="preserve"> Vinni Raamatukogu</v>
      </c>
      <c r="D382" s="3" t="str">
        <f>VLOOKUP(Table2[[#This Row],[Tegevusala]],Table4[[Tegevusala kood]:[Tegevusala alanimetus]],4,FALSE)</f>
        <v>Raamatukogud</v>
      </c>
      <c r="E382" s="3" t="str">
        <f>VLOOKUP(Table2[[#This Row],[Tegevusala nimetus2]],Table4[[Tegevusala nimetus]:[Tegevusala koondnimetus]],2,FALSE)</f>
        <v>Vabaaeg, kultuur ja religioon</v>
      </c>
      <c r="F382" t="s">
        <v>1055</v>
      </c>
      <c r="G382" t="s">
        <v>1071</v>
      </c>
      <c r="H382" s="40">
        <v>7200</v>
      </c>
      <c r="J382">
        <v>5523</v>
      </c>
      <c r="K382" s="3" t="str">
        <f>VLOOKUP(Table2[[#This Row],[Konto]],Table5[[Konto]:[Konto nimetus]],2,FALSE)</f>
        <v>Teavikud ja kunstiesemed</v>
      </c>
      <c r="L382">
        <v>55</v>
      </c>
      <c r="M382" t="str">
        <f t="shared" si="11"/>
        <v>55</v>
      </c>
      <c r="N382" s="3" t="str">
        <f>VLOOKUP(Table2[[#This Row],[Tulu/kulu liik2]],Table5[[Tulu/kulu liik]:[Kontode koondnimetus]],4,FALSE)</f>
        <v>Muud tegevuskulud</v>
      </c>
      <c r="O382" s="3" t="str">
        <f>VLOOKUP(Table2[[#This Row],[Tulu/kulu liik2]],Table5[],6,FALSE)</f>
        <v>Majandamiskulud</v>
      </c>
      <c r="P382" s="3" t="str">
        <f>VLOOKUP(Table2[[#This Row],[Tulu/kulu liik2]],Table5[],5,FALSE)</f>
        <v>Põhitegevuse kulu</v>
      </c>
    </row>
    <row r="383" spans="1:16" x14ac:dyDescent="0.25">
      <c r="A383" t="str">
        <f t="shared" si="10"/>
        <v>08</v>
      </c>
      <c r="B383" t="s">
        <v>296</v>
      </c>
      <c r="C383" s="3" t="str">
        <f>VLOOKUP(Table2[[#This Row],[Tegevusala]],Table4[],2,FALSE)</f>
        <v xml:space="preserve"> Vinni Raamatukogu</v>
      </c>
      <c r="D383" s="3" t="str">
        <f>VLOOKUP(Table2[[#This Row],[Tegevusala]],Table4[[Tegevusala kood]:[Tegevusala alanimetus]],4,FALSE)</f>
        <v>Raamatukogud</v>
      </c>
      <c r="E383" s="3" t="str">
        <f>VLOOKUP(Table2[[#This Row],[Tegevusala nimetus2]],Table4[[Tegevusala nimetus]:[Tegevusala koondnimetus]],2,FALSE)</f>
        <v>Vabaaeg, kultuur ja religioon</v>
      </c>
      <c r="F383" t="s">
        <v>1055</v>
      </c>
      <c r="G383" t="s">
        <v>1072</v>
      </c>
      <c r="H383" s="40">
        <v>600</v>
      </c>
      <c r="J383">
        <v>5525</v>
      </c>
      <c r="K383" s="3" t="str">
        <f>VLOOKUP(Table2[[#This Row],[Konto]],Table5[[Konto]:[Konto nimetus]],2,FALSE)</f>
        <v>Kommunikatsiooni-, kultuuri- ja vaba aja sisustamise kulud</v>
      </c>
      <c r="L383">
        <v>55</v>
      </c>
      <c r="M383" t="str">
        <f t="shared" si="11"/>
        <v>55</v>
      </c>
      <c r="N383" s="3" t="str">
        <f>VLOOKUP(Table2[[#This Row],[Tulu/kulu liik2]],Table5[[Tulu/kulu liik]:[Kontode koondnimetus]],4,FALSE)</f>
        <v>Muud tegevuskulud</v>
      </c>
      <c r="O383" s="3" t="str">
        <f>VLOOKUP(Table2[[#This Row],[Tulu/kulu liik2]],Table5[],6,FALSE)</f>
        <v>Majandamiskulud</v>
      </c>
      <c r="P383" s="3" t="str">
        <f>VLOOKUP(Table2[[#This Row],[Tulu/kulu liik2]],Table5[],5,FALSE)</f>
        <v>Põhitegevuse kulu</v>
      </c>
    </row>
    <row r="384" spans="1:16" x14ac:dyDescent="0.25">
      <c r="A384" t="str">
        <f t="shared" si="10"/>
        <v>08</v>
      </c>
      <c r="B384" t="s">
        <v>296</v>
      </c>
      <c r="C384" s="3" t="str">
        <f>VLOOKUP(Table2[[#This Row],[Tegevusala]],Table4[],2,FALSE)</f>
        <v xml:space="preserve"> Vinni Raamatukogu</v>
      </c>
      <c r="D384" s="3" t="str">
        <f>VLOOKUP(Table2[[#This Row],[Tegevusala]],Table4[[Tegevusala kood]:[Tegevusala alanimetus]],4,FALSE)</f>
        <v>Raamatukogud</v>
      </c>
      <c r="E384" s="3" t="str">
        <f>VLOOKUP(Table2[[#This Row],[Tegevusala nimetus2]],Table4[[Tegevusala nimetus]:[Tegevusala koondnimetus]],2,FALSE)</f>
        <v>Vabaaeg, kultuur ja religioon</v>
      </c>
      <c r="F384" t="s">
        <v>1055</v>
      </c>
      <c r="G384" t="s">
        <v>1073</v>
      </c>
      <c r="H384" s="40">
        <v>50</v>
      </c>
      <c r="J384">
        <v>5515</v>
      </c>
      <c r="K384" s="3" t="str">
        <f>VLOOKUP(Table2[[#This Row],[Konto]],Table5[[Konto]:[Konto nimetus]],2,FALSE)</f>
        <v>Inventari kulud, v.a infotehnoloogia ja kaitseotstarbelised kulud</v>
      </c>
      <c r="L384">
        <v>55</v>
      </c>
      <c r="M384" t="str">
        <f t="shared" si="11"/>
        <v>55</v>
      </c>
      <c r="N384" s="3" t="str">
        <f>VLOOKUP(Table2[[#This Row],[Tulu/kulu liik2]],Table5[[Tulu/kulu liik]:[Kontode koondnimetus]],4,FALSE)</f>
        <v>Muud tegevuskulud</v>
      </c>
      <c r="O384" s="3" t="str">
        <f>VLOOKUP(Table2[[#This Row],[Tulu/kulu liik2]],Table5[],6,FALSE)</f>
        <v>Majandamiskulud</v>
      </c>
      <c r="P384" s="3" t="str">
        <f>VLOOKUP(Table2[[#This Row],[Tulu/kulu liik2]],Table5[],5,FALSE)</f>
        <v>Põhitegevuse kulu</v>
      </c>
    </row>
    <row r="385" spans="1:16" x14ac:dyDescent="0.25">
      <c r="A385" t="str">
        <f t="shared" si="10"/>
        <v>08</v>
      </c>
      <c r="B385" t="s">
        <v>296</v>
      </c>
      <c r="C385" s="3" t="str">
        <f>VLOOKUP(Table2[[#This Row],[Tegevusala]],Table4[],2,FALSE)</f>
        <v xml:space="preserve"> Vinni Raamatukogu</v>
      </c>
      <c r="D385" s="3" t="str">
        <f>VLOOKUP(Table2[[#This Row],[Tegevusala]],Table4[[Tegevusala kood]:[Tegevusala alanimetus]],4,FALSE)</f>
        <v>Raamatukogud</v>
      </c>
      <c r="E385" s="3" t="str">
        <f>VLOOKUP(Table2[[#This Row],[Tegevusala nimetus2]],Table4[[Tegevusala nimetus]:[Tegevusala koondnimetus]],2,FALSE)</f>
        <v>Vabaaeg, kultuur ja religioon</v>
      </c>
      <c r="F385" t="s">
        <v>1055</v>
      </c>
      <c r="G385" t="s">
        <v>1074</v>
      </c>
      <c r="H385" s="40">
        <v>89.91</v>
      </c>
      <c r="J385">
        <v>5540</v>
      </c>
      <c r="K385" s="3" t="str">
        <f>VLOOKUP(Table2[[#This Row],[Konto]],Table5[[Konto]:[Konto nimetus]],2,FALSE)</f>
        <v>Mitmesugused majanduskulud</v>
      </c>
      <c r="L385">
        <v>55</v>
      </c>
      <c r="M385" t="str">
        <f t="shared" si="11"/>
        <v>55</v>
      </c>
      <c r="N385" s="3" t="str">
        <f>VLOOKUP(Table2[[#This Row],[Tulu/kulu liik2]],Table5[[Tulu/kulu liik]:[Kontode koondnimetus]],4,FALSE)</f>
        <v>Muud tegevuskulud</v>
      </c>
      <c r="O385" s="3" t="str">
        <f>VLOOKUP(Table2[[#This Row],[Tulu/kulu liik2]],Table5[],6,FALSE)</f>
        <v>Majandamiskulud</v>
      </c>
      <c r="P385" s="3" t="str">
        <f>VLOOKUP(Table2[[#This Row],[Tulu/kulu liik2]],Table5[],5,FALSE)</f>
        <v>Põhitegevuse kulu</v>
      </c>
    </row>
    <row r="386" spans="1:16" x14ac:dyDescent="0.25">
      <c r="A386" t="str">
        <f t="shared" ref="A386:A449" si="12">LEFT(B386,2)</f>
        <v>08</v>
      </c>
      <c r="B386" t="s">
        <v>296</v>
      </c>
      <c r="C386" s="3" t="str">
        <f>VLOOKUP(Table2[[#This Row],[Tegevusala]],Table4[],2,FALSE)</f>
        <v xml:space="preserve"> Vinni Raamatukogu</v>
      </c>
      <c r="D386" s="3" t="str">
        <f>VLOOKUP(Table2[[#This Row],[Tegevusala]],Table4[[Tegevusala kood]:[Tegevusala alanimetus]],4,FALSE)</f>
        <v>Raamatukogud</v>
      </c>
      <c r="E386" s="3" t="str">
        <f>VLOOKUP(Table2[[#This Row],[Tegevusala nimetus2]],Table4[[Tegevusala nimetus]:[Tegevusala koondnimetus]],2,FALSE)</f>
        <v>Vabaaeg, kultuur ja religioon</v>
      </c>
      <c r="F386" t="s">
        <v>1055</v>
      </c>
      <c r="G386" t="s">
        <v>1067</v>
      </c>
      <c r="H386" s="40">
        <v>480</v>
      </c>
      <c r="I386" s="2" t="s">
        <v>1068</v>
      </c>
      <c r="J386">
        <v>5514</v>
      </c>
      <c r="K386" s="3" t="str">
        <f>VLOOKUP(Table2[[#This Row],[Konto]],Table5[[Konto]:[Konto nimetus]],2,FALSE)</f>
        <v>Info- ja kommunikatsioonitehnoliigised kulud</v>
      </c>
      <c r="L386">
        <v>55</v>
      </c>
      <c r="M386" t="str">
        <f t="shared" ref="M386:M449" si="13">LEFT(J386,2)</f>
        <v>55</v>
      </c>
      <c r="N386" s="3" t="str">
        <f>VLOOKUP(Table2[[#This Row],[Tulu/kulu liik2]],Table5[[Tulu/kulu liik]:[Kontode koondnimetus]],4,FALSE)</f>
        <v>Muud tegevuskulud</v>
      </c>
      <c r="O386" s="3" t="str">
        <f>VLOOKUP(Table2[[#This Row],[Tulu/kulu liik2]],Table5[],6,FALSE)</f>
        <v>Majandamiskulud</v>
      </c>
      <c r="P386" s="3" t="str">
        <f>VLOOKUP(Table2[[#This Row],[Tulu/kulu liik2]],Table5[],5,FALSE)</f>
        <v>Põhitegevuse kulu</v>
      </c>
    </row>
    <row r="387" spans="1:16" x14ac:dyDescent="0.25">
      <c r="A387" t="str">
        <f t="shared" si="12"/>
        <v>08</v>
      </c>
      <c r="B387" t="s">
        <v>296</v>
      </c>
      <c r="C387" s="3" t="str">
        <f>VLOOKUP(Table2[[#This Row],[Tegevusala]],Table4[],2,FALSE)</f>
        <v xml:space="preserve"> Vinni Raamatukogu</v>
      </c>
      <c r="D387" s="3" t="str">
        <f>VLOOKUP(Table2[[#This Row],[Tegevusala]],Table4[[Tegevusala kood]:[Tegevusala alanimetus]],4,FALSE)</f>
        <v>Raamatukogud</v>
      </c>
      <c r="E387" s="3" t="str">
        <f>VLOOKUP(Table2[[#This Row],[Tegevusala nimetus2]],Table4[[Tegevusala nimetus]:[Tegevusala koondnimetus]],2,FALSE)</f>
        <v>Vabaaeg, kultuur ja religioon</v>
      </c>
      <c r="F387" t="s">
        <v>1055</v>
      </c>
      <c r="G387" t="s">
        <v>1069</v>
      </c>
      <c r="H387" s="40">
        <v>500</v>
      </c>
      <c r="J387">
        <v>5514</v>
      </c>
      <c r="K387" s="3" t="str">
        <f>VLOOKUP(Table2[[#This Row],[Konto]],Table5[[Konto]:[Konto nimetus]],2,FALSE)</f>
        <v>Info- ja kommunikatsioonitehnoliigised kulud</v>
      </c>
      <c r="L387">
        <v>55</v>
      </c>
      <c r="M387" t="str">
        <f t="shared" si="13"/>
        <v>55</v>
      </c>
      <c r="N387" s="3" t="str">
        <f>VLOOKUP(Table2[[#This Row],[Tulu/kulu liik2]],Table5[[Tulu/kulu liik]:[Kontode koondnimetus]],4,FALSE)</f>
        <v>Muud tegevuskulud</v>
      </c>
      <c r="O387" s="3" t="str">
        <f>VLOOKUP(Table2[[#This Row],[Tulu/kulu liik2]],Table5[],6,FALSE)</f>
        <v>Majandamiskulud</v>
      </c>
      <c r="P387" s="3" t="str">
        <f>VLOOKUP(Table2[[#This Row],[Tulu/kulu liik2]],Table5[],5,FALSE)</f>
        <v>Põhitegevuse kulu</v>
      </c>
    </row>
    <row r="388" spans="1:16" x14ac:dyDescent="0.25">
      <c r="A388" s="78" t="str">
        <f t="shared" si="12"/>
        <v>08</v>
      </c>
      <c r="B388" s="78" t="s">
        <v>296</v>
      </c>
      <c r="C388" s="80" t="str">
        <f>VLOOKUP(Table2[[#This Row],[Tegevusala]],Table4[],2,FALSE)</f>
        <v xml:space="preserve"> Vinni Raamatukogu</v>
      </c>
      <c r="D388" s="80" t="str">
        <f>VLOOKUP(Table2[[#This Row],[Tegevusala]],Table4[[Tegevusala kood]:[Tegevusala alanimetus]],4,FALSE)</f>
        <v>Raamatukogud</v>
      </c>
      <c r="E388" s="80" t="str">
        <f>VLOOKUP(Table2[[#This Row],[Tegevusala nimetus2]],Table4[[Tegevusala nimetus]:[Tegevusala koondnimetus]],2,FALSE)</f>
        <v>Vabaaeg, kultuur ja religioon</v>
      </c>
      <c r="F388" s="78" t="s">
        <v>1055</v>
      </c>
      <c r="G388" s="78" t="s">
        <v>2185</v>
      </c>
      <c r="H388" s="79">
        <v>5000</v>
      </c>
      <c r="I388" s="81" t="s">
        <v>2181</v>
      </c>
      <c r="J388" s="78">
        <v>5511</v>
      </c>
      <c r="K388" s="80" t="str">
        <f>VLOOKUP(Table2[[#This Row],[Konto]],Table5[[Konto]:[Konto nimetus]],2,FALSE)</f>
        <v>Kinnistute, hoonete ja ruumide majandamiskulud</v>
      </c>
      <c r="L388" s="78">
        <v>55</v>
      </c>
      <c r="M388" s="78" t="str">
        <f t="shared" si="13"/>
        <v>55</v>
      </c>
      <c r="N388" s="80" t="str">
        <f>VLOOKUP(Table2[[#This Row],[Tulu/kulu liik2]],Table5[[Tulu/kulu liik]:[Kontode koondnimetus]],4,FALSE)</f>
        <v>Muud tegevuskulud</v>
      </c>
      <c r="O388" s="80" t="str">
        <f>VLOOKUP(Table2[[#This Row],[Tulu/kulu liik2]],Table5[],6,FALSE)</f>
        <v>Majandamiskulud</v>
      </c>
      <c r="P388" s="80" t="str">
        <f>VLOOKUP(Table2[[#This Row],[Tulu/kulu liik2]],Table5[],5,FALSE)</f>
        <v>Põhitegevuse kulu</v>
      </c>
    </row>
    <row r="389" spans="1:16" x14ac:dyDescent="0.25">
      <c r="A389" s="78" t="str">
        <f t="shared" si="12"/>
        <v>08</v>
      </c>
      <c r="B389" s="78" t="s">
        <v>296</v>
      </c>
      <c r="C389" s="80" t="str">
        <f>VLOOKUP(Table2[[#This Row],[Tegevusala]],Table4[],2,FALSE)</f>
        <v xml:space="preserve"> Vinni Raamatukogu</v>
      </c>
      <c r="D389" s="80" t="str">
        <f>VLOOKUP(Table2[[#This Row],[Tegevusala]],Table4[[Tegevusala kood]:[Tegevusala alanimetus]],4,FALSE)</f>
        <v>Raamatukogud</v>
      </c>
      <c r="E389" s="80" t="str">
        <f>VLOOKUP(Table2[[#This Row],[Tegevusala nimetus2]],Table4[[Tegevusala nimetus]:[Tegevusala koondnimetus]],2,FALSE)</f>
        <v>Vabaaeg, kultuur ja religioon</v>
      </c>
      <c r="F389" s="78" t="s">
        <v>1055</v>
      </c>
      <c r="G389" s="78" t="s">
        <v>1081</v>
      </c>
      <c r="H389" s="79">
        <v>300</v>
      </c>
      <c r="I389" s="81"/>
      <c r="J389" s="78">
        <v>5515</v>
      </c>
      <c r="K389" s="80" t="str">
        <f>VLOOKUP(Table2[[#This Row],[Konto]],Table5[[Konto]:[Konto nimetus]],2,FALSE)</f>
        <v>Inventari kulud, v.a infotehnoloogia ja kaitseotstarbelised kulud</v>
      </c>
      <c r="L389" s="78">
        <v>55</v>
      </c>
      <c r="M389" s="78" t="str">
        <f t="shared" si="13"/>
        <v>55</v>
      </c>
      <c r="N389" s="80" t="str">
        <f>VLOOKUP(Table2[[#This Row],[Tulu/kulu liik2]],Table5[[Tulu/kulu liik]:[Kontode koondnimetus]],4,FALSE)</f>
        <v>Muud tegevuskulud</v>
      </c>
      <c r="O389" s="80" t="str">
        <f>VLOOKUP(Table2[[#This Row],[Tulu/kulu liik2]],Table5[],6,FALSE)</f>
        <v>Majandamiskulud</v>
      </c>
      <c r="P389" s="80" t="str">
        <f>VLOOKUP(Table2[[#This Row],[Tulu/kulu liik2]],Table5[],5,FALSE)</f>
        <v>Põhitegevuse kulu</v>
      </c>
    </row>
    <row r="390" spans="1:16" hidden="1" x14ac:dyDescent="0.25">
      <c r="A390" s="33" t="str">
        <f t="shared" si="12"/>
        <v>08</v>
      </c>
      <c r="B390" t="s">
        <v>298</v>
      </c>
      <c r="C390" s="34" t="str">
        <f>VLOOKUP(Table2[[#This Row],[Tegevusala]],Table4[],2,FALSE)</f>
        <v xml:space="preserve"> Viru-Jaagupi Raamatukogu</v>
      </c>
      <c r="D390" s="34" t="str">
        <f>VLOOKUP(Table2[[#This Row],[Tegevusala]],Table4[[Tegevusala kood]:[Tegevusala alanimetus]],4,FALSE)</f>
        <v>Raamatukogud</v>
      </c>
      <c r="E390" s="34" t="str">
        <f>VLOOKUP(Table2[[#This Row],[Tegevusala nimetus2]],Table4[[Tegevusala nimetus]:[Tegevusala koondnimetus]],2,FALSE)</f>
        <v>Vabaaeg, kultuur ja religioon</v>
      </c>
      <c r="F390" s="38" t="s">
        <v>841</v>
      </c>
      <c r="G390" s="33" t="s">
        <v>2239</v>
      </c>
      <c r="H390" s="47">
        <v>130000</v>
      </c>
      <c r="I390" s="35"/>
      <c r="J390" s="33">
        <v>1551</v>
      </c>
      <c r="K390" s="34" t="str">
        <f>VLOOKUP(Table2[[#This Row],[Konto]],Table5[[Konto]:[Konto nimetus]],2,FALSE)</f>
        <v>Rajatiste ja hoonete soetamine ja renoveerimine</v>
      </c>
      <c r="L390" s="33">
        <v>15</v>
      </c>
      <c r="M390" s="33" t="str">
        <f t="shared" si="13"/>
        <v>15</v>
      </c>
      <c r="N390" s="34" t="str">
        <f>VLOOKUP(Table2[[#This Row],[Tulu/kulu liik2]],Table5[[Tulu/kulu liik]:[Kontode koondnimetus]],4,FALSE)</f>
        <v>Põhivara soetus (-)</v>
      </c>
      <c r="O390" s="34" t="str">
        <f>VLOOKUP(Table2[[#This Row],[Tulu/kulu liik2]],Table5[],6,FALSE)</f>
        <v>Põhivara soetus (-)</v>
      </c>
      <c r="P390" s="34" t="str">
        <f>VLOOKUP(Table2[[#This Row],[Tulu/kulu liik2]],Table5[],5,FALSE)</f>
        <v>Investeerimistegevus</v>
      </c>
    </row>
    <row r="391" spans="1:16" x14ac:dyDescent="0.25">
      <c r="A391" t="str">
        <f t="shared" si="12"/>
        <v>08</v>
      </c>
      <c r="B391" t="s">
        <v>298</v>
      </c>
      <c r="C391" s="3" t="str">
        <f>VLOOKUP(Table2[[#This Row],[Tegevusala]],Table4[],2,FALSE)</f>
        <v xml:space="preserve"> Viru-Jaagupi Raamatukogu</v>
      </c>
      <c r="D391" s="3" t="str">
        <f>VLOOKUP(Table2[[#This Row],[Tegevusala]],Table4[[Tegevusala kood]:[Tegevusala alanimetus]],4,FALSE)</f>
        <v>Raamatukogud</v>
      </c>
      <c r="E391" s="3" t="str">
        <f>VLOOKUP(Table2[[#This Row],[Tegevusala nimetus2]],Table4[[Tegevusala nimetus]:[Tegevusala koondnimetus]],2,FALSE)</f>
        <v>Vabaaeg, kultuur ja religioon</v>
      </c>
      <c r="F391" t="s">
        <v>1083</v>
      </c>
      <c r="G391" t="s">
        <v>1579</v>
      </c>
      <c r="H391" s="40">
        <v>80</v>
      </c>
      <c r="J391">
        <v>5511</v>
      </c>
      <c r="K391" s="3" t="str">
        <f>VLOOKUP(Table2[[#This Row],[Konto]],Table5[[Konto]:[Konto nimetus]],2,FALSE)</f>
        <v>Kinnistute, hoonete ja ruumide majandamiskulud</v>
      </c>
      <c r="L391">
        <v>55</v>
      </c>
      <c r="M391" t="str">
        <f t="shared" si="13"/>
        <v>55</v>
      </c>
      <c r="N391" s="3" t="str">
        <f>VLOOKUP(Table2[[#This Row],[Tulu/kulu liik2]],Table5[[Tulu/kulu liik]:[Kontode koondnimetus]],4,FALSE)</f>
        <v>Muud tegevuskulud</v>
      </c>
      <c r="O391" s="3" t="str">
        <f>VLOOKUP(Table2[[#This Row],[Tulu/kulu liik2]],Table5[],6,FALSE)</f>
        <v>Majandamiskulud</v>
      </c>
      <c r="P391" s="3" t="str">
        <f>VLOOKUP(Table2[[#This Row],[Tulu/kulu liik2]],Table5[],5,FALSE)</f>
        <v>Põhitegevuse kulu</v>
      </c>
    </row>
    <row r="392" spans="1:16" x14ac:dyDescent="0.25">
      <c r="A392" t="str">
        <f t="shared" si="12"/>
        <v>08</v>
      </c>
      <c r="B392" t="s">
        <v>298</v>
      </c>
      <c r="C392" s="3" t="str">
        <f>VLOOKUP(Table2[[#This Row],[Tegevusala]],Table4[],2,FALSE)</f>
        <v xml:space="preserve"> Viru-Jaagupi Raamatukogu</v>
      </c>
      <c r="D392" s="3" t="str">
        <f>VLOOKUP(Table2[[#This Row],[Tegevusala]],Table4[[Tegevusala kood]:[Tegevusala alanimetus]],4,FALSE)</f>
        <v>Raamatukogud</v>
      </c>
      <c r="E392" s="3" t="str">
        <f>VLOOKUP(Table2[[#This Row],[Tegevusala nimetus2]],Table4[[Tegevusala nimetus]:[Tegevusala koondnimetus]],2,FALSE)</f>
        <v>Vabaaeg, kultuur ja religioon</v>
      </c>
      <c r="F392" t="s">
        <v>1083</v>
      </c>
      <c r="G392" t="s">
        <v>1578</v>
      </c>
      <c r="H392" s="40">
        <v>1380</v>
      </c>
      <c r="J392">
        <v>5500</v>
      </c>
      <c r="K392" s="3" t="str">
        <f>VLOOKUP(Table2[[#This Row],[Konto]],Table5[[Konto]:[Konto nimetus]],2,FALSE)</f>
        <v>Administreerimiskulud</v>
      </c>
      <c r="L392">
        <v>55</v>
      </c>
      <c r="M392" t="str">
        <f t="shared" si="13"/>
        <v>55</v>
      </c>
      <c r="N392" s="3" t="str">
        <f>VLOOKUP(Table2[[#This Row],[Tulu/kulu liik2]],Table5[[Tulu/kulu liik]:[Kontode koondnimetus]],4,FALSE)</f>
        <v>Muud tegevuskulud</v>
      </c>
      <c r="O392" s="3" t="str">
        <f>VLOOKUP(Table2[[#This Row],[Tulu/kulu liik2]],Table5[],6,FALSE)</f>
        <v>Majandamiskulud</v>
      </c>
      <c r="P392" s="3" t="str">
        <f>VLOOKUP(Table2[[#This Row],[Tulu/kulu liik2]],Table5[],5,FALSE)</f>
        <v>Põhitegevuse kulu</v>
      </c>
    </row>
    <row r="393" spans="1:16" x14ac:dyDescent="0.25">
      <c r="A393" t="str">
        <f t="shared" si="12"/>
        <v>08</v>
      </c>
      <c r="B393" t="s">
        <v>298</v>
      </c>
      <c r="C393" s="3" t="str">
        <f>VLOOKUP(Table2[[#This Row],[Tegevusala]],Table4[],2,FALSE)</f>
        <v xml:space="preserve"> Viru-Jaagupi Raamatukogu</v>
      </c>
      <c r="D393" s="3" t="str">
        <f>VLOOKUP(Table2[[#This Row],[Tegevusala]],Table4[[Tegevusala kood]:[Tegevusala alanimetus]],4,FALSE)</f>
        <v>Raamatukogud</v>
      </c>
      <c r="E393" s="3" t="str">
        <f>VLOOKUP(Table2[[#This Row],[Tegevusala nimetus2]],Table4[[Tegevusala nimetus]:[Tegevusala koondnimetus]],2,FALSE)</f>
        <v>Vabaaeg, kultuur ja religioon</v>
      </c>
      <c r="F393" t="s">
        <v>1083</v>
      </c>
      <c r="G393" t="s">
        <v>1521</v>
      </c>
      <c r="H393" s="40">
        <v>50</v>
      </c>
      <c r="J393">
        <v>5504</v>
      </c>
      <c r="K393" s="3" t="str">
        <f>VLOOKUP(Table2[[#This Row],[Konto]],Table5[[Konto]:[Konto nimetus]],2,FALSE)</f>
        <v>Koolituskulud</v>
      </c>
      <c r="L393">
        <v>55</v>
      </c>
      <c r="M393" t="str">
        <f t="shared" si="13"/>
        <v>55</v>
      </c>
      <c r="N393" s="3" t="str">
        <f>VLOOKUP(Table2[[#This Row],[Tulu/kulu liik2]],Table5[[Tulu/kulu liik]:[Kontode koondnimetus]],4,FALSE)</f>
        <v>Muud tegevuskulud</v>
      </c>
      <c r="O393" s="3" t="str">
        <f>VLOOKUP(Table2[[#This Row],[Tulu/kulu liik2]],Table5[],6,FALSE)</f>
        <v>Majandamiskulud</v>
      </c>
      <c r="P393" s="3" t="str">
        <f>VLOOKUP(Table2[[#This Row],[Tulu/kulu liik2]],Table5[],5,FALSE)</f>
        <v>Põhitegevuse kulu</v>
      </c>
    </row>
    <row r="394" spans="1:16" x14ac:dyDescent="0.25">
      <c r="A394" t="str">
        <f t="shared" si="12"/>
        <v>08</v>
      </c>
      <c r="B394" t="s">
        <v>298</v>
      </c>
      <c r="C394" s="3" t="str">
        <f>VLOOKUP(Table2[[#This Row],[Tegevusala]],Table4[],2,FALSE)</f>
        <v xml:space="preserve"> Viru-Jaagupi Raamatukogu</v>
      </c>
      <c r="D394" s="3" t="str">
        <f>VLOOKUP(Table2[[#This Row],[Tegevusala]],Table4[[Tegevusala kood]:[Tegevusala alanimetus]],4,FALSE)</f>
        <v>Raamatukogud</v>
      </c>
      <c r="E394" s="3" t="str">
        <f>VLOOKUP(Table2[[#This Row],[Tegevusala nimetus2]],Table4[[Tegevusala nimetus]:[Tegevusala koondnimetus]],2,FALSE)</f>
        <v>Vabaaeg, kultuur ja religioon</v>
      </c>
      <c r="F394" t="s">
        <v>1083</v>
      </c>
      <c r="G394" t="s">
        <v>1581</v>
      </c>
      <c r="H394" s="40">
        <v>2000</v>
      </c>
      <c r="J394">
        <v>5523</v>
      </c>
      <c r="K394" s="3" t="str">
        <f>VLOOKUP(Table2[[#This Row],[Konto]],Table5[[Konto]:[Konto nimetus]],2,FALSE)</f>
        <v>Teavikud ja kunstiesemed</v>
      </c>
      <c r="L394">
        <v>55</v>
      </c>
      <c r="M394" t="str">
        <f t="shared" si="13"/>
        <v>55</v>
      </c>
      <c r="N394" s="3" t="str">
        <f>VLOOKUP(Table2[[#This Row],[Tulu/kulu liik2]],Table5[[Tulu/kulu liik]:[Kontode koondnimetus]],4,FALSE)</f>
        <v>Muud tegevuskulud</v>
      </c>
      <c r="O394" s="3" t="str">
        <f>VLOOKUP(Table2[[#This Row],[Tulu/kulu liik2]],Table5[],6,FALSE)</f>
        <v>Majandamiskulud</v>
      </c>
      <c r="P394" s="3" t="str">
        <f>VLOOKUP(Table2[[#This Row],[Tulu/kulu liik2]],Table5[],5,FALSE)</f>
        <v>Põhitegevuse kulu</v>
      </c>
    </row>
    <row r="395" spans="1:16" x14ac:dyDescent="0.25">
      <c r="A395" t="str">
        <f t="shared" si="12"/>
        <v>08</v>
      </c>
      <c r="B395" t="s">
        <v>298</v>
      </c>
      <c r="C395" s="3" t="str">
        <f>VLOOKUP(Table2[[#This Row],[Tegevusala]],Table4[],2,FALSE)</f>
        <v xml:space="preserve"> Viru-Jaagupi Raamatukogu</v>
      </c>
      <c r="D395" s="3" t="str">
        <f>VLOOKUP(Table2[[#This Row],[Tegevusala]],Table4[[Tegevusala kood]:[Tegevusala alanimetus]],4,FALSE)</f>
        <v>Raamatukogud</v>
      </c>
      <c r="E395" s="3" t="str">
        <f>VLOOKUP(Table2[[#This Row],[Tegevusala nimetus2]],Table4[[Tegevusala nimetus]:[Tegevusala koondnimetus]],2,FALSE)</f>
        <v>Vabaaeg, kultuur ja religioon</v>
      </c>
      <c r="F395" t="s">
        <v>1083</v>
      </c>
      <c r="G395" t="s">
        <v>1582</v>
      </c>
      <c r="H395" s="40">
        <v>300</v>
      </c>
      <c r="J395">
        <v>5525</v>
      </c>
      <c r="K395" s="3" t="str">
        <f>VLOOKUP(Table2[[#This Row],[Konto]],Table5[[Konto]:[Konto nimetus]],2,FALSE)</f>
        <v>Kommunikatsiooni-, kultuuri- ja vaba aja sisustamise kulud</v>
      </c>
      <c r="L395">
        <v>55</v>
      </c>
      <c r="M395" t="str">
        <f t="shared" si="13"/>
        <v>55</v>
      </c>
      <c r="N395" s="3" t="str">
        <f>VLOOKUP(Table2[[#This Row],[Tulu/kulu liik2]],Table5[[Tulu/kulu liik]:[Kontode koondnimetus]],4,FALSE)</f>
        <v>Muud tegevuskulud</v>
      </c>
      <c r="O395" s="3" t="str">
        <f>VLOOKUP(Table2[[#This Row],[Tulu/kulu liik2]],Table5[],6,FALSE)</f>
        <v>Majandamiskulud</v>
      </c>
      <c r="P395" s="3" t="str">
        <f>VLOOKUP(Table2[[#This Row],[Tulu/kulu liik2]],Table5[],5,FALSE)</f>
        <v>Põhitegevuse kulu</v>
      </c>
    </row>
    <row r="396" spans="1:16" x14ac:dyDescent="0.25">
      <c r="A396" t="str">
        <f t="shared" si="12"/>
        <v>08</v>
      </c>
      <c r="B396" t="s">
        <v>298</v>
      </c>
      <c r="C396" s="3" t="str">
        <f>VLOOKUP(Table2[[#This Row],[Tegevusala]],Table4[],2,FALSE)</f>
        <v xml:space="preserve"> Viru-Jaagupi Raamatukogu</v>
      </c>
      <c r="D396" s="3" t="str">
        <f>VLOOKUP(Table2[[#This Row],[Tegevusala]],Table4[[Tegevusala kood]:[Tegevusala alanimetus]],4,FALSE)</f>
        <v>Raamatukogud</v>
      </c>
      <c r="E396" s="3" t="str">
        <f>VLOOKUP(Table2[[#This Row],[Tegevusala nimetus2]],Table4[[Tegevusala nimetus]:[Tegevusala koondnimetus]],2,FALSE)</f>
        <v>Vabaaeg, kultuur ja religioon</v>
      </c>
      <c r="F396" t="s">
        <v>1083</v>
      </c>
      <c r="G396" t="s">
        <v>1583</v>
      </c>
      <c r="H396" s="40">
        <v>100</v>
      </c>
      <c r="I396" s="2" t="s">
        <v>1584</v>
      </c>
      <c r="J396">
        <v>5500</v>
      </c>
      <c r="K396" s="3" t="str">
        <f>VLOOKUP(Table2[[#This Row],[Konto]],Table5[[Konto]:[Konto nimetus]],2,FALSE)</f>
        <v>Administreerimiskulud</v>
      </c>
      <c r="L396">
        <v>55</v>
      </c>
      <c r="M396" t="str">
        <f t="shared" si="13"/>
        <v>55</v>
      </c>
      <c r="N396" s="3" t="str">
        <f>VLOOKUP(Table2[[#This Row],[Tulu/kulu liik2]],Table5[[Tulu/kulu liik]:[Kontode koondnimetus]],4,FALSE)</f>
        <v>Muud tegevuskulud</v>
      </c>
      <c r="O396" s="3" t="str">
        <f>VLOOKUP(Table2[[#This Row],[Tulu/kulu liik2]],Table5[],6,FALSE)</f>
        <v>Majandamiskulud</v>
      </c>
      <c r="P396" s="3" t="str">
        <f>VLOOKUP(Table2[[#This Row],[Tulu/kulu liik2]],Table5[],5,FALSE)</f>
        <v>Põhitegevuse kulu</v>
      </c>
    </row>
    <row r="397" spans="1:16" x14ac:dyDescent="0.25">
      <c r="A397" t="str">
        <f t="shared" si="12"/>
        <v>08</v>
      </c>
      <c r="B397" t="s">
        <v>298</v>
      </c>
      <c r="C397" s="3" t="str">
        <f>VLOOKUP(Table2[[#This Row],[Tegevusala]],Table4[],2,FALSE)</f>
        <v xml:space="preserve"> Viru-Jaagupi Raamatukogu</v>
      </c>
      <c r="D397" s="3" t="str">
        <f>VLOOKUP(Table2[[#This Row],[Tegevusala]],Table4[[Tegevusala kood]:[Tegevusala alanimetus]],4,FALSE)</f>
        <v>Raamatukogud</v>
      </c>
      <c r="E397" s="3" t="str">
        <f>VLOOKUP(Table2[[#This Row],[Tegevusala nimetus2]],Table4[[Tegevusala nimetus]:[Tegevusala koondnimetus]],2,FALSE)</f>
        <v>Vabaaeg, kultuur ja religioon</v>
      </c>
      <c r="F397" t="s">
        <v>1083</v>
      </c>
      <c r="G397" t="s">
        <v>1580</v>
      </c>
      <c r="H397" s="40">
        <v>240</v>
      </c>
      <c r="J397">
        <v>5514</v>
      </c>
      <c r="K397" s="3" t="str">
        <f>VLOOKUP(Table2[[#This Row],[Konto]],Table5[[Konto]:[Konto nimetus]],2,FALSE)</f>
        <v>Info- ja kommunikatsioonitehnoliigised kulud</v>
      </c>
      <c r="L397">
        <v>55</v>
      </c>
      <c r="M397" t="str">
        <f t="shared" si="13"/>
        <v>55</v>
      </c>
      <c r="N397" s="3" t="str">
        <f>VLOOKUP(Table2[[#This Row],[Tulu/kulu liik2]],Table5[[Tulu/kulu liik]:[Kontode koondnimetus]],4,FALSE)</f>
        <v>Muud tegevuskulud</v>
      </c>
      <c r="O397" s="3" t="str">
        <f>VLOOKUP(Table2[[#This Row],[Tulu/kulu liik2]],Table5[],6,FALSE)</f>
        <v>Majandamiskulud</v>
      </c>
      <c r="P397" s="3" t="str">
        <f>VLOOKUP(Table2[[#This Row],[Tulu/kulu liik2]],Table5[],5,FALSE)</f>
        <v>Põhitegevuse kulu</v>
      </c>
    </row>
    <row r="398" spans="1:16" x14ac:dyDescent="0.25">
      <c r="A398" s="78" t="str">
        <f t="shared" si="12"/>
        <v>08</v>
      </c>
      <c r="B398" s="78" t="s">
        <v>298</v>
      </c>
      <c r="C398" s="80" t="str">
        <f>VLOOKUP(Table2[[#This Row],[Tegevusala]],Table4[],2,FALSE)</f>
        <v xml:space="preserve"> Viru-Jaagupi Raamatukogu</v>
      </c>
      <c r="D398" s="80" t="str">
        <f>VLOOKUP(Table2[[#This Row],[Tegevusala]],Table4[[Tegevusala kood]:[Tegevusala alanimetus]],4,FALSE)</f>
        <v>Raamatukogud</v>
      </c>
      <c r="E398" s="80" t="str">
        <f>VLOOKUP(Table2[[#This Row],[Tegevusala nimetus2]],Table4[[Tegevusala nimetus]:[Tegevusala koondnimetus]],2,FALSE)</f>
        <v>Vabaaeg, kultuur ja religioon</v>
      </c>
      <c r="F398" s="78" t="s">
        <v>1083</v>
      </c>
      <c r="G398" s="78" t="s">
        <v>1085</v>
      </c>
      <c r="H398" s="79">
        <v>400</v>
      </c>
      <c r="I398" s="81" t="s">
        <v>1086</v>
      </c>
      <c r="J398" s="78">
        <v>5514</v>
      </c>
      <c r="K398" s="80" t="str">
        <f>VLOOKUP(Table2[[#This Row],[Konto]],Table5[[Konto]:[Konto nimetus]],2,FALSE)</f>
        <v>Info- ja kommunikatsioonitehnoliigised kulud</v>
      </c>
      <c r="L398" s="78">
        <v>55</v>
      </c>
      <c r="M398" s="78" t="str">
        <f t="shared" si="13"/>
        <v>55</v>
      </c>
      <c r="N398" s="80" t="str">
        <f>VLOOKUP(Table2[[#This Row],[Tulu/kulu liik2]],Table5[[Tulu/kulu liik]:[Kontode koondnimetus]],4,FALSE)</f>
        <v>Muud tegevuskulud</v>
      </c>
      <c r="O398" s="80" t="str">
        <f>VLOOKUP(Table2[[#This Row],[Tulu/kulu liik2]],Table5[],6,FALSE)</f>
        <v>Majandamiskulud</v>
      </c>
      <c r="P398" s="80" t="str">
        <f>VLOOKUP(Table2[[#This Row],[Tulu/kulu liik2]],Table5[],5,FALSE)</f>
        <v>Põhitegevuse kulu</v>
      </c>
    </row>
    <row r="399" spans="1:16" x14ac:dyDescent="0.25">
      <c r="A399" t="str">
        <f t="shared" si="12"/>
        <v>08</v>
      </c>
      <c r="B399" t="s">
        <v>300</v>
      </c>
      <c r="C399" s="3" t="str">
        <f>VLOOKUP(Table2[[#This Row],[Tegevusala]],Table4[],2,FALSE)</f>
        <v xml:space="preserve"> Roela Raamatukogu</v>
      </c>
      <c r="D399" s="3" t="str">
        <f>VLOOKUP(Table2[[#This Row],[Tegevusala]],Table4[[Tegevusala kood]:[Tegevusala alanimetus]],4,FALSE)</f>
        <v>Raamatukogud</v>
      </c>
      <c r="E399" s="3" t="str">
        <f>VLOOKUP(Table2[[#This Row],[Tegevusala nimetus2]],Table4[[Tegevusala nimetus]:[Tegevusala koondnimetus]],2,FALSE)</f>
        <v>Vabaaeg, kultuur ja religioon</v>
      </c>
      <c r="F399" t="s">
        <v>450</v>
      </c>
      <c r="G399" t="s">
        <v>451</v>
      </c>
      <c r="H399" s="40">
        <v>120</v>
      </c>
      <c r="J399">
        <v>5500</v>
      </c>
      <c r="K399" s="3" t="str">
        <f>VLOOKUP(Table2[[#This Row],[Konto]],Table5[[Konto]:[Konto nimetus]],2,FALSE)</f>
        <v>Administreerimiskulud</v>
      </c>
      <c r="L399">
        <v>55</v>
      </c>
      <c r="M399" t="str">
        <f t="shared" si="13"/>
        <v>55</v>
      </c>
      <c r="N399" t="str">
        <f>VLOOKUP(Table2[[#This Row],[Tulu/kulu liik2]],Table5[[Tulu/kulu liik]:[Kontode koondnimetus]],4,FALSE)</f>
        <v>Muud tegevuskulud</v>
      </c>
      <c r="O399" t="str">
        <f>VLOOKUP(Table2[[#This Row],[Tulu/kulu liik2]],Table5[],6,FALSE)</f>
        <v>Majandamiskulud</v>
      </c>
      <c r="P399" s="3" t="str">
        <f>VLOOKUP(Table2[[#This Row],[Tulu/kulu liik2]],Table5[],5,FALSE)</f>
        <v>Põhitegevuse kulu</v>
      </c>
    </row>
    <row r="400" spans="1:16" x14ac:dyDescent="0.25">
      <c r="A400" t="str">
        <f t="shared" si="12"/>
        <v>08</v>
      </c>
      <c r="B400" t="s">
        <v>300</v>
      </c>
      <c r="C400" s="3" t="str">
        <f>VLOOKUP(Table2[[#This Row],[Tegevusala]],Table4[],2,FALSE)</f>
        <v xml:space="preserve"> Roela Raamatukogu</v>
      </c>
      <c r="D400" s="3" t="str">
        <f>VLOOKUP(Table2[[#This Row],[Tegevusala]],Table4[[Tegevusala kood]:[Tegevusala alanimetus]],4,FALSE)</f>
        <v>Raamatukogud</v>
      </c>
      <c r="E400" s="3" t="str">
        <f>VLOOKUP(Table2[[#This Row],[Tegevusala nimetus2]],Table4[[Tegevusala nimetus]:[Tegevusala koondnimetus]],2,FALSE)</f>
        <v>Vabaaeg, kultuur ja religioon</v>
      </c>
      <c r="F400" t="s">
        <v>450</v>
      </c>
      <c r="G400" t="s">
        <v>102</v>
      </c>
      <c r="H400" s="40">
        <v>350</v>
      </c>
      <c r="J400">
        <v>5504</v>
      </c>
      <c r="K400" s="3" t="str">
        <f>VLOOKUP(Table2[[#This Row],[Konto]],Table5[[Konto]:[Konto nimetus]],2,FALSE)</f>
        <v>Koolituskulud</v>
      </c>
      <c r="L400">
        <v>55</v>
      </c>
      <c r="M400" t="str">
        <f t="shared" si="13"/>
        <v>55</v>
      </c>
      <c r="N400" t="str">
        <f>VLOOKUP(Table2[[#This Row],[Tulu/kulu liik2]],Table5[[Tulu/kulu liik]:[Kontode koondnimetus]],4,FALSE)</f>
        <v>Muud tegevuskulud</v>
      </c>
      <c r="O400" t="str">
        <f>VLOOKUP(Table2[[#This Row],[Tulu/kulu liik2]],Table5[],6,FALSE)</f>
        <v>Majandamiskulud</v>
      </c>
      <c r="P400" s="3" t="str">
        <f>VLOOKUP(Table2[[#This Row],[Tulu/kulu liik2]],Table5[],5,FALSE)</f>
        <v>Põhitegevuse kulu</v>
      </c>
    </row>
    <row r="401" spans="1:16" x14ac:dyDescent="0.25">
      <c r="A401" t="str">
        <f t="shared" si="12"/>
        <v>08</v>
      </c>
      <c r="B401" t="s">
        <v>300</v>
      </c>
      <c r="C401" s="3" t="str">
        <f>VLOOKUP(Table2[[#This Row],[Tegevusala]],Table4[],2,FALSE)</f>
        <v xml:space="preserve"> Roela Raamatukogu</v>
      </c>
      <c r="D401" s="3" t="str">
        <f>VLOOKUP(Table2[[#This Row],[Tegevusala]],Table4[[Tegevusala kood]:[Tegevusala alanimetus]],4,FALSE)</f>
        <v>Raamatukogud</v>
      </c>
      <c r="E401" s="3" t="str">
        <f>VLOOKUP(Table2[[#This Row],[Tegevusala nimetus2]],Table4[[Tegevusala nimetus]:[Tegevusala koondnimetus]],2,FALSE)</f>
        <v>Vabaaeg, kultuur ja religioon</v>
      </c>
      <c r="F401" t="s">
        <v>450</v>
      </c>
      <c r="G401" t="s">
        <v>454</v>
      </c>
      <c r="H401" s="40">
        <v>150</v>
      </c>
      <c r="I401" s="2" t="s">
        <v>463</v>
      </c>
      <c r="J401">
        <v>5515</v>
      </c>
      <c r="K401" s="3" t="str">
        <f>VLOOKUP(Table2[[#This Row],[Konto]],Table5[[Konto]:[Konto nimetus]],2,FALSE)</f>
        <v>Inventari kulud, v.a infotehnoloogia ja kaitseotstarbelised kulud</v>
      </c>
      <c r="L401">
        <v>55</v>
      </c>
      <c r="M401" t="str">
        <f t="shared" si="13"/>
        <v>55</v>
      </c>
      <c r="N401" t="str">
        <f>VLOOKUP(Table2[[#This Row],[Tulu/kulu liik2]],Table5[[Tulu/kulu liik]:[Kontode koondnimetus]],4,FALSE)</f>
        <v>Muud tegevuskulud</v>
      </c>
      <c r="O401" t="str">
        <f>VLOOKUP(Table2[[#This Row],[Tulu/kulu liik2]],Table5[],6,FALSE)</f>
        <v>Majandamiskulud</v>
      </c>
      <c r="P401" s="3" t="str">
        <f>VLOOKUP(Table2[[#This Row],[Tulu/kulu liik2]],Table5[],5,FALSE)</f>
        <v>Põhitegevuse kulu</v>
      </c>
    </row>
    <row r="402" spans="1:16" x14ac:dyDescent="0.25">
      <c r="A402" t="str">
        <f t="shared" si="12"/>
        <v>08</v>
      </c>
      <c r="B402" t="s">
        <v>300</v>
      </c>
      <c r="C402" s="3" t="str">
        <f>VLOOKUP(Table2[[#This Row],[Tegevusala]],Table4[],2,FALSE)</f>
        <v xml:space="preserve"> Roela Raamatukogu</v>
      </c>
      <c r="D402" s="3" t="str">
        <f>VLOOKUP(Table2[[#This Row],[Tegevusala]],Table4[[Tegevusala kood]:[Tegevusala alanimetus]],4,FALSE)</f>
        <v>Raamatukogud</v>
      </c>
      <c r="E402" s="3" t="str">
        <f>VLOOKUP(Table2[[#This Row],[Tegevusala nimetus2]],Table4[[Tegevusala nimetus]:[Tegevusala koondnimetus]],2,FALSE)</f>
        <v>Vabaaeg, kultuur ja religioon</v>
      </c>
      <c r="F402" t="s">
        <v>450</v>
      </c>
      <c r="G402" t="s">
        <v>455</v>
      </c>
      <c r="H402" s="40">
        <v>200</v>
      </c>
      <c r="I402" s="2" t="s">
        <v>463</v>
      </c>
      <c r="J402">
        <v>5515</v>
      </c>
      <c r="K402" s="3" t="str">
        <f>VLOOKUP(Table2[[#This Row],[Konto]],Table5[[Konto]:[Konto nimetus]],2,FALSE)</f>
        <v>Inventari kulud, v.a infotehnoloogia ja kaitseotstarbelised kulud</v>
      </c>
      <c r="L402">
        <v>55</v>
      </c>
      <c r="M402" t="str">
        <f t="shared" si="13"/>
        <v>55</v>
      </c>
      <c r="N402" t="str">
        <f>VLOOKUP(Table2[[#This Row],[Tulu/kulu liik2]],Table5[[Tulu/kulu liik]:[Kontode koondnimetus]],4,FALSE)</f>
        <v>Muud tegevuskulud</v>
      </c>
      <c r="O402" t="str">
        <f>VLOOKUP(Table2[[#This Row],[Tulu/kulu liik2]],Table5[],6,FALSE)</f>
        <v>Majandamiskulud</v>
      </c>
      <c r="P402" s="3" t="str">
        <f>VLOOKUP(Table2[[#This Row],[Tulu/kulu liik2]],Table5[],5,FALSE)</f>
        <v>Põhitegevuse kulu</v>
      </c>
    </row>
    <row r="403" spans="1:16" x14ac:dyDescent="0.25">
      <c r="A403" t="str">
        <f t="shared" si="12"/>
        <v>08</v>
      </c>
      <c r="B403" t="s">
        <v>300</v>
      </c>
      <c r="C403" s="3" t="str">
        <f>VLOOKUP(Table2[[#This Row],[Tegevusala]],Table4[],2,FALSE)</f>
        <v xml:space="preserve"> Roela Raamatukogu</v>
      </c>
      <c r="D403" s="3" t="str">
        <f>VLOOKUP(Table2[[#This Row],[Tegevusala]],Table4[[Tegevusala kood]:[Tegevusala alanimetus]],4,FALSE)</f>
        <v>Raamatukogud</v>
      </c>
      <c r="E403" s="3" t="str">
        <f>VLOOKUP(Table2[[#This Row],[Tegevusala nimetus2]],Table4[[Tegevusala nimetus]:[Tegevusala koondnimetus]],2,FALSE)</f>
        <v>Vabaaeg, kultuur ja religioon</v>
      </c>
      <c r="F403" t="s">
        <v>450</v>
      </c>
      <c r="G403" t="s">
        <v>456</v>
      </c>
      <c r="H403" s="40">
        <v>4000</v>
      </c>
      <c r="J403">
        <v>5523</v>
      </c>
      <c r="K403" s="3" t="str">
        <f>VLOOKUP(Table2[[#This Row],[Konto]],Table5[[Konto]:[Konto nimetus]],2,FALSE)</f>
        <v>Teavikud ja kunstiesemed</v>
      </c>
      <c r="L403">
        <v>55</v>
      </c>
      <c r="M403" t="str">
        <f t="shared" si="13"/>
        <v>55</v>
      </c>
      <c r="N403" t="str">
        <f>VLOOKUP(Table2[[#This Row],[Tulu/kulu liik2]],Table5[[Tulu/kulu liik]:[Kontode koondnimetus]],4,FALSE)</f>
        <v>Muud tegevuskulud</v>
      </c>
      <c r="O403" t="str">
        <f>VLOOKUP(Table2[[#This Row],[Tulu/kulu liik2]],Table5[],6,FALSE)</f>
        <v>Majandamiskulud</v>
      </c>
      <c r="P403" s="3" t="str">
        <f>VLOOKUP(Table2[[#This Row],[Tulu/kulu liik2]],Table5[],5,FALSE)</f>
        <v>Põhitegevuse kulu</v>
      </c>
    </row>
    <row r="404" spans="1:16" x14ac:dyDescent="0.25">
      <c r="A404" t="str">
        <f t="shared" si="12"/>
        <v>08</v>
      </c>
      <c r="B404" t="s">
        <v>300</v>
      </c>
      <c r="C404" s="3" t="str">
        <f>VLOOKUP(Table2[[#This Row],[Tegevusala]],Table4[],2,FALSE)</f>
        <v xml:space="preserve"> Roela Raamatukogu</v>
      </c>
      <c r="D404" s="3" t="str">
        <f>VLOOKUP(Table2[[#This Row],[Tegevusala]],Table4[[Tegevusala kood]:[Tegevusala alanimetus]],4,FALSE)</f>
        <v>Raamatukogud</v>
      </c>
      <c r="E404" s="3" t="str">
        <f>VLOOKUP(Table2[[#This Row],[Tegevusala nimetus2]],Table4[[Tegevusala nimetus]:[Tegevusala koondnimetus]],2,FALSE)</f>
        <v>Vabaaeg, kultuur ja religioon</v>
      </c>
      <c r="F404" t="s">
        <v>450</v>
      </c>
      <c r="G404" t="s">
        <v>457</v>
      </c>
      <c r="H404" s="40">
        <v>1000</v>
      </c>
      <c r="J404">
        <v>5500</v>
      </c>
      <c r="K404" s="3" t="str">
        <f>VLOOKUP(Table2[[#This Row],[Konto]],Table5[[Konto]:[Konto nimetus]],2,FALSE)</f>
        <v>Administreerimiskulud</v>
      </c>
      <c r="L404">
        <v>55</v>
      </c>
      <c r="M404" t="str">
        <f t="shared" si="13"/>
        <v>55</v>
      </c>
      <c r="N404" t="str">
        <f>VLOOKUP(Table2[[#This Row],[Tulu/kulu liik2]],Table5[[Tulu/kulu liik]:[Kontode koondnimetus]],4,FALSE)</f>
        <v>Muud tegevuskulud</v>
      </c>
      <c r="O404" t="str">
        <f>VLOOKUP(Table2[[#This Row],[Tulu/kulu liik2]],Table5[],6,FALSE)</f>
        <v>Majandamiskulud</v>
      </c>
      <c r="P404" s="3" t="str">
        <f>VLOOKUP(Table2[[#This Row],[Tulu/kulu liik2]],Table5[],5,FALSE)</f>
        <v>Põhitegevuse kulu</v>
      </c>
    </row>
    <row r="405" spans="1:16" x14ac:dyDescent="0.25">
      <c r="A405" t="str">
        <f t="shared" si="12"/>
        <v>08</v>
      </c>
      <c r="B405" t="s">
        <v>300</v>
      </c>
      <c r="C405" s="3" t="str">
        <f>VLOOKUP(Table2[[#This Row],[Tegevusala]],Table4[],2,FALSE)</f>
        <v xml:space="preserve"> Roela Raamatukogu</v>
      </c>
      <c r="D405" s="3" t="str">
        <f>VLOOKUP(Table2[[#This Row],[Tegevusala]],Table4[[Tegevusala kood]:[Tegevusala alanimetus]],4,FALSE)</f>
        <v>Raamatukogud</v>
      </c>
      <c r="E405" s="3" t="str">
        <f>VLOOKUP(Table2[[#This Row],[Tegevusala nimetus2]],Table4[[Tegevusala nimetus]:[Tegevusala koondnimetus]],2,FALSE)</f>
        <v>Vabaaeg, kultuur ja religioon</v>
      </c>
      <c r="F405" t="s">
        <v>450</v>
      </c>
      <c r="G405" t="s">
        <v>458</v>
      </c>
      <c r="H405" s="40">
        <v>170</v>
      </c>
      <c r="J405">
        <v>5525</v>
      </c>
      <c r="K405" s="3" t="str">
        <f>VLOOKUP(Table2[[#This Row],[Konto]],Table5[[Konto]:[Konto nimetus]],2,FALSE)</f>
        <v>Kommunikatsiooni-, kultuuri- ja vaba aja sisustamise kulud</v>
      </c>
      <c r="L405">
        <v>55</v>
      </c>
      <c r="M405" t="str">
        <f t="shared" si="13"/>
        <v>55</v>
      </c>
      <c r="N405" t="str">
        <f>VLOOKUP(Table2[[#This Row],[Tulu/kulu liik2]],Table5[[Tulu/kulu liik]:[Kontode koondnimetus]],4,FALSE)</f>
        <v>Muud tegevuskulud</v>
      </c>
      <c r="O405" t="str">
        <f>VLOOKUP(Table2[[#This Row],[Tulu/kulu liik2]],Table5[],6,FALSE)</f>
        <v>Majandamiskulud</v>
      </c>
      <c r="P405" s="3" t="str">
        <f>VLOOKUP(Table2[[#This Row],[Tulu/kulu liik2]],Table5[],5,FALSE)</f>
        <v>Põhitegevuse kulu</v>
      </c>
    </row>
    <row r="406" spans="1:16" x14ac:dyDescent="0.25">
      <c r="A406" t="str">
        <f t="shared" si="12"/>
        <v>08</v>
      </c>
      <c r="B406" t="s">
        <v>300</v>
      </c>
      <c r="C406" s="3" t="str">
        <f>VLOOKUP(Table2[[#This Row],[Tegevusala]],Table4[],2,FALSE)</f>
        <v xml:space="preserve"> Roela Raamatukogu</v>
      </c>
      <c r="D406" s="3" t="str">
        <f>VLOOKUP(Table2[[#This Row],[Tegevusala]],Table4[[Tegevusala kood]:[Tegevusala alanimetus]],4,FALSE)</f>
        <v>Raamatukogud</v>
      </c>
      <c r="E406" s="3" t="str">
        <f>VLOOKUP(Table2[[#This Row],[Tegevusala nimetus2]],Table4[[Tegevusala nimetus]:[Tegevusala koondnimetus]],2,FALSE)</f>
        <v>Vabaaeg, kultuur ja religioon</v>
      </c>
      <c r="F406" t="s">
        <v>450</v>
      </c>
      <c r="G406" t="s">
        <v>459</v>
      </c>
      <c r="H406" s="40">
        <v>170</v>
      </c>
      <c r="J406">
        <v>5525</v>
      </c>
      <c r="K406" s="3" t="str">
        <f>VLOOKUP(Table2[[#This Row],[Konto]],Table5[[Konto]:[Konto nimetus]],2,FALSE)</f>
        <v>Kommunikatsiooni-, kultuuri- ja vaba aja sisustamise kulud</v>
      </c>
      <c r="L406">
        <v>55</v>
      </c>
      <c r="M406" t="str">
        <f t="shared" si="13"/>
        <v>55</v>
      </c>
      <c r="N406" t="str">
        <f>VLOOKUP(Table2[[#This Row],[Tulu/kulu liik2]],Table5[[Tulu/kulu liik]:[Kontode koondnimetus]],4,FALSE)</f>
        <v>Muud tegevuskulud</v>
      </c>
      <c r="O406" t="str">
        <f>VLOOKUP(Table2[[#This Row],[Tulu/kulu liik2]],Table5[],6,FALSE)</f>
        <v>Majandamiskulud</v>
      </c>
      <c r="P406" s="3" t="str">
        <f>VLOOKUP(Table2[[#This Row],[Tulu/kulu liik2]],Table5[],5,FALSE)</f>
        <v>Põhitegevuse kulu</v>
      </c>
    </row>
    <row r="407" spans="1:16" x14ac:dyDescent="0.25">
      <c r="A407" t="str">
        <f t="shared" si="12"/>
        <v>08</v>
      </c>
      <c r="B407" t="s">
        <v>300</v>
      </c>
      <c r="C407" s="3" t="str">
        <f>VLOOKUP(Table2[[#This Row],[Tegevusala]],Table4[],2,FALSE)</f>
        <v xml:space="preserve"> Roela Raamatukogu</v>
      </c>
      <c r="D407" s="3" t="str">
        <f>VLOOKUP(Table2[[#This Row],[Tegevusala]],Table4[[Tegevusala kood]:[Tegevusala alanimetus]],4,FALSE)</f>
        <v>Raamatukogud</v>
      </c>
      <c r="E407" s="3" t="str">
        <f>VLOOKUP(Table2[[#This Row],[Tegevusala nimetus2]],Table4[[Tegevusala nimetus]:[Tegevusala koondnimetus]],2,FALSE)</f>
        <v>Vabaaeg, kultuur ja religioon</v>
      </c>
      <c r="F407" t="s">
        <v>450</v>
      </c>
      <c r="G407" t="s">
        <v>452</v>
      </c>
      <c r="H407" s="40">
        <v>240</v>
      </c>
      <c r="J407">
        <v>5514</v>
      </c>
      <c r="K407" s="3" t="str">
        <f>VLOOKUP(Table2[[#This Row],[Konto]],Table5[[Konto]:[Konto nimetus]],2,FALSE)</f>
        <v>Info- ja kommunikatsioonitehnoliigised kulud</v>
      </c>
      <c r="L407">
        <v>55</v>
      </c>
      <c r="M407" t="str">
        <f t="shared" si="13"/>
        <v>55</v>
      </c>
      <c r="N407" t="str">
        <f>VLOOKUP(Table2[[#This Row],[Tulu/kulu liik2]],Table5[[Tulu/kulu liik]:[Kontode koondnimetus]],4,FALSE)</f>
        <v>Muud tegevuskulud</v>
      </c>
      <c r="O407" t="str">
        <f>VLOOKUP(Table2[[#This Row],[Tulu/kulu liik2]],Table5[],6,FALSE)</f>
        <v>Majandamiskulud</v>
      </c>
      <c r="P407" s="3" t="str">
        <f>VLOOKUP(Table2[[#This Row],[Tulu/kulu liik2]],Table5[],5,FALSE)</f>
        <v>Põhitegevuse kulu</v>
      </c>
    </row>
    <row r="408" spans="1:16" x14ac:dyDescent="0.25">
      <c r="A408" t="str">
        <f t="shared" si="12"/>
        <v>08</v>
      </c>
      <c r="B408" t="s">
        <v>300</v>
      </c>
      <c r="C408" s="3" t="str">
        <f>VLOOKUP(Table2[[#This Row],[Tegevusala]],Table4[],2,FALSE)</f>
        <v xml:space="preserve"> Roela Raamatukogu</v>
      </c>
      <c r="D408" s="3" t="str">
        <f>VLOOKUP(Table2[[#This Row],[Tegevusala]],Table4[[Tegevusala kood]:[Tegevusala alanimetus]],4,FALSE)</f>
        <v>Raamatukogud</v>
      </c>
      <c r="E408" s="3" t="str">
        <f>VLOOKUP(Table2[[#This Row],[Tegevusala nimetus2]],Table4[[Tegevusala nimetus]:[Tegevusala koondnimetus]],2,FALSE)</f>
        <v>Vabaaeg, kultuur ja religioon</v>
      </c>
      <c r="F408" t="s">
        <v>450</v>
      </c>
      <c r="G408" t="s">
        <v>453</v>
      </c>
      <c r="H408" s="40">
        <v>200</v>
      </c>
      <c r="I408" s="2" t="s">
        <v>463</v>
      </c>
      <c r="J408">
        <v>5514</v>
      </c>
      <c r="K408" s="3" t="str">
        <f>VLOOKUP(Table2[[#This Row],[Konto]],Table5[[Konto]:[Konto nimetus]],2,FALSE)</f>
        <v>Info- ja kommunikatsioonitehnoliigised kulud</v>
      </c>
      <c r="L408">
        <v>55</v>
      </c>
      <c r="M408" t="str">
        <f t="shared" si="13"/>
        <v>55</v>
      </c>
      <c r="N408" t="str">
        <f>VLOOKUP(Table2[[#This Row],[Tulu/kulu liik2]],Table5[[Tulu/kulu liik]:[Kontode koondnimetus]],4,FALSE)</f>
        <v>Muud tegevuskulud</v>
      </c>
      <c r="O408" t="str">
        <f>VLOOKUP(Table2[[#This Row],[Tulu/kulu liik2]],Table5[],6,FALSE)</f>
        <v>Majandamiskulud</v>
      </c>
      <c r="P408" s="3" t="str">
        <f>VLOOKUP(Table2[[#This Row],[Tulu/kulu liik2]],Table5[],5,FALSE)</f>
        <v>Põhitegevuse kulu</v>
      </c>
    </row>
    <row r="409" spans="1:16" x14ac:dyDescent="0.25">
      <c r="A409" t="str">
        <f t="shared" si="12"/>
        <v>08</v>
      </c>
      <c r="B409" t="s">
        <v>300</v>
      </c>
      <c r="C409" s="3" t="str">
        <f>VLOOKUP(Table2[[#This Row],[Tegevusala]],Table4[],2,FALSE)</f>
        <v xml:space="preserve"> Roela Raamatukogu</v>
      </c>
      <c r="D409" s="3" t="str">
        <f>VLOOKUP(Table2[[#This Row],[Tegevusala]],Table4[[Tegevusala kood]:[Tegevusala alanimetus]],4,FALSE)</f>
        <v>Raamatukogud</v>
      </c>
      <c r="E409" s="3" t="str">
        <f>VLOOKUP(Table2[[#This Row],[Tegevusala nimetus2]],Table4[[Tegevusala nimetus]:[Tegevusala koondnimetus]],2,FALSE)</f>
        <v>Vabaaeg, kultuur ja religioon</v>
      </c>
      <c r="F409" t="s">
        <v>450</v>
      </c>
      <c r="G409" t="s">
        <v>2152</v>
      </c>
      <c r="H409" s="40">
        <v>500</v>
      </c>
      <c r="J409">
        <v>5511</v>
      </c>
      <c r="K409" s="3" t="str">
        <f>VLOOKUP(Table2[[#This Row],[Konto]],Table5[[Konto]:[Konto nimetus]],2,FALSE)</f>
        <v>Kinnistute, hoonete ja ruumide majandamiskulud</v>
      </c>
      <c r="L409">
        <v>55</v>
      </c>
      <c r="M409" t="str">
        <f t="shared" si="13"/>
        <v>55</v>
      </c>
      <c r="N409" s="3" t="str">
        <f>VLOOKUP(Table2[[#This Row],[Tulu/kulu liik2]],Table5[[Tulu/kulu liik]:[Kontode koondnimetus]],4,FALSE)</f>
        <v>Muud tegevuskulud</v>
      </c>
      <c r="O409" s="34" t="str">
        <f>VLOOKUP(Table2[[#This Row],[Tulu/kulu liik2]],Table5[],6,FALSE)</f>
        <v>Majandamiskulud</v>
      </c>
      <c r="P409" s="3" t="str">
        <f>VLOOKUP(Table2[[#This Row],[Tulu/kulu liik2]],Table5[],5,FALSE)</f>
        <v>Põhitegevuse kulu</v>
      </c>
    </row>
    <row r="410" spans="1:16" x14ac:dyDescent="0.25">
      <c r="A410" t="str">
        <f t="shared" si="12"/>
        <v>08</v>
      </c>
      <c r="B410" t="s">
        <v>300</v>
      </c>
      <c r="C410" s="3" t="str">
        <f>VLOOKUP(Table2[[#This Row],[Tegevusala]],Table4[],2,FALSE)</f>
        <v xml:space="preserve"> Roela Raamatukogu</v>
      </c>
      <c r="D410" s="3" t="str">
        <f>VLOOKUP(Table2[[#This Row],[Tegevusala]],Table4[[Tegevusala kood]:[Tegevusala alanimetus]],4,FALSE)</f>
        <v>Raamatukogud</v>
      </c>
      <c r="E410" s="3" t="str">
        <f>VLOOKUP(Table2[[#This Row],[Tegevusala nimetus2]],Table4[[Tegevusala nimetus]:[Tegevusala koondnimetus]],2,FALSE)</f>
        <v>Vabaaeg, kultuur ja religioon</v>
      </c>
      <c r="F410" t="s">
        <v>450</v>
      </c>
      <c r="G410" t="s">
        <v>194</v>
      </c>
      <c r="H410" s="40">
        <v>100</v>
      </c>
      <c r="I410" s="2" t="s">
        <v>2153</v>
      </c>
      <c r="J410">
        <v>5511</v>
      </c>
      <c r="K410" s="3" t="str">
        <f>VLOOKUP(Table2[[#This Row],[Konto]],Table5[[Konto]:[Konto nimetus]],2,FALSE)</f>
        <v>Kinnistute, hoonete ja ruumide majandamiskulud</v>
      </c>
      <c r="L410">
        <v>55</v>
      </c>
      <c r="M410" t="str">
        <f t="shared" si="13"/>
        <v>55</v>
      </c>
      <c r="N410" s="3" t="str">
        <f>VLOOKUP(Table2[[#This Row],[Tulu/kulu liik2]],Table5[[Tulu/kulu liik]:[Kontode koondnimetus]],4,FALSE)</f>
        <v>Muud tegevuskulud</v>
      </c>
      <c r="O410" s="34" t="str">
        <f>VLOOKUP(Table2[[#This Row],[Tulu/kulu liik2]],Table5[],6,FALSE)</f>
        <v>Majandamiskulud</v>
      </c>
      <c r="P410" s="3" t="str">
        <f>VLOOKUP(Table2[[#This Row],[Tulu/kulu liik2]],Table5[],5,FALSE)</f>
        <v>Põhitegevuse kulu</v>
      </c>
    </row>
    <row r="411" spans="1:16" x14ac:dyDescent="0.25">
      <c r="A411" t="str">
        <f t="shared" si="12"/>
        <v>08</v>
      </c>
      <c r="B411" t="s">
        <v>302</v>
      </c>
      <c r="C411" s="3" t="str">
        <f>VLOOKUP(Table2[[#This Row],[Tegevusala]],Table4[],2,FALSE)</f>
        <v xml:space="preserve"> Tudu Raamatukogu</v>
      </c>
      <c r="D411" s="3" t="str">
        <f>VLOOKUP(Table2[[#This Row],[Tegevusala]],Table4[[Tegevusala kood]:[Tegevusala alanimetus]],4,FALSE)</f>
        <v>Raamatukogud</v>
      </c>
      <c r="E411" s="3" t="str">
        <f>VLOOKUP(Table2[[#This Row],[Tegevusala nimetus2]],Table4[[Tegevusala nimetus]:[Tegevusala koondnimetus]],2,FALSE)</f>
        <v>Vabaaeg, kultuur ja religioon</v>
      </c>
      <c r="F411" t="s">
        <v>1672</v>
      </c>
      <c r="G411" t="s">
        <v>1144</v>
      </c>
      <c r="H411" s="40">
        <v>660</v>
      </c>
      <c r="I411" s="2" t="s">
        <v>1674</v>
      </c>
      <c r="J411">
        <v>5500</v>
      </c>
      <c r="K411" s="3" t="str">
        <f>VLOOKUP(Table2[[#This Row],[Konto]],Table5[[Konto]:[Konto nimetus]],2,FALSE)</f>
        <v>Administreerimiskulud</v>
      </c>
      <c r="L411">
        <v>55</v>
      </c>
      <c r="M411" t="str">
        <f t="shared" si="13"/>
        <v>55</v>
      </c>
      <c r="N411" s="3" t="str">
        <f>VLOOKUP(Table2[[#This Row],[Tulu/kulu liik2]],Table5[[Tulu/kulu liik]:[Kontode koondnimetus]],4,FALSE)</f>
        <v>Muud tegevuskulud</v>
      </c>
      <c r="O411" s="3" t="str">
        <f>VLOOKUP(Table2[[#This Row],[Tulu/kulu liik2]],Table5[],6,FALSE)</f>
        <v>Majandamiskulud</v>
      </c>
      <c r="P411" s="3" t="str">
        <f>VLOOKUP(Table2[[#This Row],[Tulu/kulu liik2]],Table5[],5,FALSE)</f>
        <v>Põhitegevuse kulu</v>
      </c>
    </row>
    <row r="412" spans="1:16" x14ac:dyDescent="0.25">
      <c r="A412" t="str">
        <f t="shared" si="12"/>
        <v>08</v>
      </c>
      <c r="B412" t="s">
        <v>302</v>
      </c>
      <c r="C412" s="3" t="str">
        <f>VLOOKUP(Table2[[#This Row],[Tegevusala]],Table4[],2,FALSE)</f>
        <v xml:space="preserve"> Tudu Raamatukogu</v>
      </c>
      <c r="D412" s="3" t="str">
        <f>VLOOKUP(Table2[[#This Row],[Tegevusala]],Table4[[Tegevusala kood]:[Tegevusala alanimetus]],4,FALSE)</f>
        <v>Raamatukogud</v>
      </c>
      <c r="E412" s="3" t="str">
        <f>VLOOKUP(Table2[[#This Row],[Tegevusala nimetus2]],Table4[[Tegevusala nimetus]:[Tegevusala koondnimetus]],2,FALSE)</f>
        <v>Vabaaeg, kultuur ja religioon</v>
      </c>
      <c r="F412" t="s">
        <v>1672</v>
      </c>
      <c r="G412" t="s">
        <v>457</v>
      </c>
      <c r="H412" s="40">
        <v>500</v>
      </c>
      <c r="I412" s="2" t="s">
        <v>1675</v>
      </c>
      <c r="J412">
        <v>5500</v>
      </c>
      <c r="K412" s="3" t="str">
        <f>VLOOKUP(Table2[[#This Row],[Konto]],Table5[[Konto]:[Konto nimetus]],2,FALSE)</f>
        <v>Administreerimiskulud</v>
      </c>
      <c r="L412">
        <v>55</v>
      </c>
      <c r="M412" t="str">
        <f t="shared" si="13"/>
        <v>55</v>
      </c>
      <c r="N412" s="3" t="str">
        <f>VLOOKUP(Table2[[#This Row],[Tulu/kulu liik2]],Table5[[Tulu/kulu liik]:[Kontode koondnimetus]],4,FALSE)</f>
        <v>Muud tegevuskulud</v>
      </c>
      <c r="O412" s="3" t="str">
        <f>VLOOKUP(Table2[[#This Row],[Tulu/kulu liik2]],Table5[],6,FALSE)</f>
        <v>Majandamiskulud</v>
      </c>
      <c r="P412" s="3" t="str">
        <f>VLOOKUP(Table2[[#This Row],[Tulu/kulu liik2]],Table5[],5,FALSE)</f>
        <v>Põhitegevuse kulu</v>
      </c>
    </row>
    <row r="413" spans="1:16" x14ac:dyDescent="0.25">
      <c r="A413" t="str">
        <f t="shared" si="12"/>
        <v>08</v>
      </c>
      <c r="B413" t="s">
        <v>302</v>
      </c>
      <c r="C413" s="3" t="str">
        <f>VLOOKUP(Table2[[#This Row],[Tegevusala]],Table4[],2,FALSE)</f>
        <v xml:space="preserve"> Tudu Raamatukogu</v>
      </c>
      <c r="D413" s="3" t="str">
        <f>VLOOKUP(Table2[[#This Row],[Tegevusala]],Table4[[Tegevusala kood]:[Tegevusala alanimetus]],4,FALSE)</f>
        <v>Raamatukogud</v>
      </c>
      <c r="E413" s="3" t="str">
        <f>VLOOKUP(Table2[[#This Row],[Tegevusala nimetus2]],Table4[[Tegevusala nimetus]:[Tegevusala koondnimetus]],2,FALSE)</f>
        <v>Vabaaeg, kultuur ja religioon</v>
      </c>
      <c r="F413" t="s">
        <v>1672</v>
      </c>
      <c r="G413" t="s">
        <v>456</v>
      </c>
      <c r="H413" s="40">
        <v>1570</v>
      </c>
      <c r="J413">
        <v>5523</v>
      </c>
      <c r="K413" s="3" t="str">
        <f>VLOOKUP(Table2[[#This Row],[Konto]],Table5[[Konto]:[Konto nimetus]],2,FALSE)</f>
        <v>Teavikud ja kunstiesemed</v>
      </c>
      <c r="L413">
        <v>55</v>
      </c>
      <c r="M413" t="str">
        <f t="shared" si="13"/>
        <v>55</v>
      </c>
      <c r="N413" s="3" t="str">
        <f>VLOOKUP(Table2[[#This Row],[Tulu/kulu liik2]],Table5[[Tulu/kulu liik]:[Kontode koondnimetus]],4,FALSE)</f>
        <v>Muud tegevuskulud</v>
      </c>
      <c r="O413" s="3" t="str">
        <f>VLOOKUP(Table2[[#This Row],[Tulu/kulu liik2]],Table5[],6,FALSE)</f>
        <v>Majandamiskulud</v>
      </c>
      <c r="P413" s="3" t="str">
        <f>VLOOKUP(Table2[[#This Row],[Tulu/kulu liik2]],Table5[],5,FALSE)</f>
        <v>Põhitegevuse kulu</v>
      </c>
    </row>
    <row r="414" spans="1:16" x14ac:dyDescent="0.25">
      <c r="A414" t="str">
        <f t="shared" si="12"/>
        <v>08</v>
      </c>
      <c r="B414" t="s">
        <v>302</v>
      </c>
      <c r="C414" s="3" t="str">
        <f>VLOOKUP(Table2[[#This Row],[Tegevusala]],Table4[],2,FALSE)</f>
        <v xml:space="preserve"> Tudu Raamatukogu</v>
      </c>
      <c r="D414" s="3" t="str">
        <f>VLOOKUP(Table2[[#This Row],[Tegevusala]],Table4[[Tegevusala kood]:[Tegevusala alanimetus]],4,FALSE)</f>
        <v>Raamatukogud</v>
      </c>
      <c r="E414" s="3" t="str">
        <f>VLOOKUP(Table2[[#This Row],[Tegevusala nimetus2]],Table4[[Tegevusala nimetus]:[Tegevusala koondnimetus]],2,FALSE)</f>
        <v>Vabaaeg, kultuur ja religioon</v>
      </c>
      <c r="F414" t="s">
        <v>1672</v>
      </c>
      <c r="G414" t="s">
        <v>176</v>
      </c>
      <c r="H414" s="40">
        <v>30</v>
      </c>
      <c r="J414">
        <v>5504</v>
      </c>
      <c r="K414" s="3" t="str">
        <f>VLOOKUP(Table2[[#This Row],[Konto]],Table5[[Konto]:[Konto nimetus]],2,FALSE)</f>
        <v>Koolituskulud</v>
      </c>
      <c r="L414">
        <v>55</v>
      </c>
      <c r="M414" t="str">
        <f t="shared" si="13"/>
        <v>55</v>
      </c>
      <c r="N414" s="3" t="str">
        <f>VLOOKUP(Table2[[#This Row],[Tulu/kulu liik2]],Table5[[Tulu/kulu liik]:[Kontode koondnimetus]],4,FALSE)</f>
        <v>Muud tegevuskulud</v>
      </c>
      <c r="O414" s="3" t="str">
        <f>VLOOKUP(Table2[[#This Row],[Tulu/kulu liik2]],Table5[],6,FALSE)</f>
        <v>Majandamiskulud</v>
      </c>
      <c r="P414" s="3" t="str">
        <f>VLOOKUP(Table2[[#This Row],[Tulu/kulu liik2]],Table5[],5,FALSE)</f>
        <v>Põhitegevuse kulu</v>
      </c>
    </row>
    <row r="415" spans="1:16" x14ac:dyDescent="0.25">
      <c r="A415" t="str">
        <f t="shared" si="12"/>
        <v>08</v>
      </c>
      <c r="B415" t="s">
        <v>302</v>
      </c>
      <c r="C415" s="3" t="str">
        <f>VLOOKUP(Table2[[#This Row],[Tegevusala]],Table4[],2,FALSE)</f>
        <v xml:space="preserve"> Tudu Raamatukogu</v>
      </c>
      <c r="D415" s="3" t="str">
        <f>VLOOKUP(Table2[[#This Row],[Tegevusala]],Table4[[Tegevusala kood]:[Tegevusala alanimetus]],4,FALSE)</f>
        <v>Raamatukogud</v>
      </c>
      <c r="E415" s="3" t="str">
        <f>VLOOKUP(Table2[[#This Row],[Tegevusala nimetus2]],Table4[[Tegevusala nimetus]:[Tegevusala koondnimetus]],2,FALSE)</f>
        <v>Vabaaeg, kultuur ja religioon</v>
      </c>
      <c r="F415" t="s">
        <v>1672</v>
      </c>
      <c r="G415" t="s">
        <v>1676</v>
      </c>
      <c r="H415" s="40">
        <v>30</v>
      </c>
      <c r="J415">
        <v>5500</v>
      </c>
      <c r="K415" s="3" t="str">
        <f>VLOOKUP(Table2[[#This Row],[Konto]],Table5[[Konto]:[Konto nimetus]],2,FALSE)</f>
        <v>Administreerimiskulud</v>
      </c>
      <c r="L415">
        <v>55</v>
      </c>
      <c r="M415" t="str">
        <f t="shared" si="13"/>
        <v>55</v>
      </c>
      <c r="N415" s="3" t="str">
        <f>VLOOKUP(Table2[[#This Row],[Tulu/kulu liik2]],Table5[[Tulu/kulu liik]:[Kontode koondnimetus]],4,FALSE)</f>
        <v>Muud tegevuskulud</v>
      </c>
      <c r="O415" s="3" t="str">
        <f>VLOOKUP(Table2[[#This Row],[Tulu/kulu liik2]],Table5[],6,FALSE)</f>
        <v>Majandamiskulud</v>
      </c>
      <c r="P415" s="3" t="str">
        <f>VLOOKUP(Table2[[#This Row],[Tulu/kulu liik2]],Table5[],5,FALSE)</f>
        <v>Põhitegevuse kulu</v>
      </c>
    </row>
    <row r="416" spans="1:16" x14ac:dyDescent="0.25">
      <c r="A416" t="str">
        <f t="shared" si="12"/>
        <v>08</v>
      </c>
      <c r="B416" t="s">
        <v>302</v>
      </c>
      <c r="C416" s="3" t="str">
        <f>VLOOKUP(Table2[[#This Row],[Tegevusala]],Table4[],2,FALSE)</f>
        <v xml:space="preserve"> Tudu Raamatukogu</v>
      </c>
      <c r="D416" s="3" t="str">
        <f>VLOOKUP(Table2[[#This Row],[Tegevusala]],Table4[[Tegevusala kood]:[Tegevusala alanimetus]],4,FALSE)</f>
        <v>Raamatukogud</v>
      </c>
      <c r="E416" s="3" t="str">
        <f>VLOOKUP(Table2[[#This Row],[Tegevusala nimetus2]],Table4[[Tegevusala nimetus]:[Tegevusala koondnimetus]],2,FALSE)</f>
        <v>Vabaaeg, kultuur ja religioon</v>
      </c>
      <c r="F416" t="s">
        <v>1672</v>
      </c>
      <c r="G416" t="s">
        <v>1677</v>
      </c>
      <c r="H416" s="40">
        <v>240</v>
      </c>
      <c r="J416">
        <v>5514</v>
      </c>
      <c r="K416" s="3" t="str">
        <f>VLOOKUP(Table2[[#This Row],[Konto]],Table5[[Konto]:[Konto nimetus]],2,FALSE)</f>
        <v>Info- ja kommunikatsioonitehnoliigised kulud</v>
      </c>
      <c r="L416">
        <v>55</v>
      </c>
      <c r="M416" t="str">
        <f t="shared" si="13"/>
        <v>55</v>
      </c>
      <c r="N416" s="3" t="str">
        <f>VLOOKUP(Table2[[#This Row],[Tulu/kulu liik2]],Table5[[Tulu/kulu liik]:[Kontode koondnimetus]],4,FALSE)</f>
        <v>Muud tegevuskulud</v>
      </c>
      <c r="O416" s="3" t="str">
        <f>VLOOKUP(Table2[[#This Row],[Tulu/kulu liik2]],Table5[],6,FALSE)</f>
        <v>Majandamiskulud</v>
      </c>
      <c r="P416" s="3" t="str">
        <f>VLOOKUP(Table2[[#This Row],[Tulu/kulu liik2]],Table5[],5,FALSE)</f>
        <v>Põhitegevuse kulu</v>
      </c>
    </row>
    <row r="417" spans="1:16" x14ac:dyDescent="0.25">
      <c r="A417" t="str">
        <f t="shared" si="12"/>
        <v>08</v>
      </c>
      <c r="B417" t="s">
        <v>302</v>
      </c>
      <c r="C417" s="3" t="str">
        <f>VLOOKUP(Table2[[#This Row],[Tegevusala]],Table4[],2,FALSE)</f>
        <v xml:space="preserve"> Tudu Raamatukogu</v>
      </c>
      <c r="D417" s="3" t="str">
        <f>VLOOKUP(Table2[[#This Row],[Tegevusala]],Table4[[Tegevusala kood]:[Tegevusala alanimetus]],4,FALSE)</f>
        <v>Raamatukogud</v>
      </c>
      <c r="E417" s="3" t="str">
        <f>VLOOKUP(Table2[[#This Row],[Tegevusala nimetus2]],Table4[[Tegevusala nimetus]:[Tegevusala koondnimetus]],2,FALSE)</f>
        <v>Vabaaeg, kultuur ja religioon</v>
      </c>
      <c r="F417" t="s">
        <v>1672</v>
      </c>
      <c r="G417" t="s">
        <v>1978</v>
      </c>
      <c r="H417" s="40">
        <f>9*15</f>
        <v>135</v>
      </c>
      <c r="J417">
        <v>5511</v>
      </c>
      <c r="K417" s="3" t="str">
        <f>VLOOKUP(Table2[[#This Row],[Konto]],Table5[[Konto]:[Konto nimetus]],2,FALSE)</f>
        <v>Kinnistute, hoonete ja ruumide majandamiskulud</v>
      </c>
      <c r="L417">
        <v>55</v>
      </c>
      <c r="M417" t="str">
        <f t="shared" si="13"/>
        <v>55</v>
      </c>
      <c r="N417" s="3" t="str">
        <f>VLOOKUP(Table2[[#This Row],[Tulu/kulu liik2]],Table5[[Tulu/kulu liik]:[Kontode koondnimetus]],4,FALSE)</f>
        <v>Muud tegevuskulud</v>
      </c>
      <c r="O417" s="34" t="str">
        <f>VLOOKUP(Table2[[#This Row],[Tulu/kulu liik2]],Table5[],6,FALSE)</f>
        <v>Majandamiskulud</v>
      </c>
      <c r="P417" s="3" t="str">
        <f>VLOOKUP(Table2[[#This Row],[Tulu/kulu liik2]],Table5[],5,FALSE)</f>
        <v>Põhitegevuse kulu</v>
      </c>
    </row>
    <row r="418" spans="1:16" x14ac:dyDescent="0.25">
      <c r="A418" t="str">
        <f t="shared" si="12"/>
        <v>08</v>
      </c>
      <c r="B418" t="s">
        <v>302</v>
      </c>
      <c r="C418" s="3" t="str">
        <f>VLOOKUP(Table2[[#This Row],[Tegevusala]],Table4[],2,FALSE)</f>
        <v xml:space="preserve"> Tudu Raamatukogu</v>
      </c>
      <c r="D418" s="3" t="str">
        <f>VLOOKUP(Table2[[#This Row],[Tegevusala]],Table4[[Tegevusala kood]:[Tegevusala alanimetus]],4,FALSE)</f>
        <v>Raamatukogud</v>
      </c>
      <c r="E418" s="3" t="str">
        <f>VLOOKUP(Table2[[#This Row],[Tegevusala nimetus2]],Table4[[Tegevusala nimetus]:[Tegevusala koondnimetus]],2,FALSE)</f>
        <v>Vabaaeg, kultuur ja religioon</v>
      </c>
      <c r="F418" t="s">
        <v>1672</v>
      </c>
      <c r="G418" t="s">
        <v>1982</v>
      </c>
      <c r="H418" s="40">
        <v>150</v>
      </c>
      <c r="J418">
        <v>5511</v>
      </c>
      <c r="K418" s="3" t="str">
        <f>VLOOKUP(Table2[[#This Row],[Konto]],Table5[[Konto]:[Konto nimetus]],2,FALSE)</f>
        <v>Kinnistute, hoonete ja ruumide majandamiskulud</v>
      </c>
      <c r="L418">
        <v>55</v>
      </c>
      <c r="M418" t="str">
        <f t="shared" si="13"/>
        <v>55</v>
      </c>
      <c r="N418" s="3" t="str">
        <f>VLOOKUP(Table2[[#This Row],[Tulu/kulu liik2]],Table5[[Tulu/kulu liik]:[Kontode koondnimetus]],4,FALSE)</f>
        <v>Muud tegevuskulud</v>
      </c>
      <c r="O418" s="34" t="str">
        <f>VLOOKUP(Table2[[#This Row],[Tulu/kulu liik2]],Table5[],6,FALSE)</f>
        <v>Majandamiskulud</v>
      </c>
      <c r="P418" s="3" t="str">
        <f>VLOOKUP(Table2[[#This Row],[Tulu/kulu liik2]],Table5[],5,FALSE)</f>
        <v>Põhitegevuse kulu</v>
      </c>
    </row>
    <row r="419" spans="1:16" x14ac:dyDescent="0.25">
      <c r="A419" t="str">
        <f t="shared" si="12"/>
        <v>08</v>
      </c>
      <c r="B419" t="s">
        <v>302</v>
      </c>
      <c r="C419" s="3" t="str">
        <f>VLOOKUP(Table2[[#This Row],[Tegevusala]],Table4[],2,FALSE)</f>
        <v xml:space="preserve"> Tudu Raamatukogu</v>
      </c>
      <c r="D419" s="3" t="str">
        <f>VLOOKUP(Table2[[#This Row],[Tegevusala]],Table4[[Tegevusala kood]:[Tegevusala alanimetus]],4,FALSE)</f>
        <v>Raamatukogud</v>
      </c>
      <c r="E419" s="3" t="str">
        <f>VLOOKUP(Table2[[#This Row],[Tegevusala nimetus2]],Table4[[Tegevusala nimetus]:[Tegevusala koondnimetus]],2,FALSE)</f>
        <v>Vabaaeg, kultuur ja religioon</v>
      </c>
      <c r="F419" t="s">
        <v>1672</v>
      </c>
      <c r="G419" t="s">
        <v>2197</v>
      </c>
      <c r="H419" s="40">
        <v>850</v>
      </c>
      <c r="J419">
        <v>5511</v>
      </c>
      <c r="K419" s="3" t="str">
        <f>VLOOKUP(Table2[[#This Row],[Konto]],Table5[[Konto]:[Konto nimetus]],2,FALSE)</f>
        <v>Kinnistute, hoonete ja ruumide majandamiskulud</v>
      </c>
      <c r="L419">
        <v>55</v>
      </c>
      <c r="M419" t="str">
        <f t="shared" si="13"/>
        <v>55</v>
      </c>
      <c r="N419" s="3" t="str">
        <f>VLOOKUP(Table2[[#This Row],[Tulu/kulu liik2]],Table5[[Tulu/kulu liik]:[Kontode koondnimetus]],4,FALSE)</f>
        <v>Muud tegevuskulud</v>
      </c>
      <c r="O419" s="34" t="str">
        <f>VLOOKUP(Table2[[#This Row],[Tulu/kulu liik2]],Table5[],6,FALSE)</f>
        <v>Majandamiskulud</v>
      </c>
      <c r="P419" s="3" t="str">
        <f>VLOOKUP(Table2[[#This Row],[Tulu/kulu liik2]],Table5[],5,FALSE)</f>
        <v>Põhitegevuse kulu</v>
      </c>
    </row>
    <row r="420" spans="1:16" x14ac:dyDescent="0.25">
      <c r="A420" t="str">
        <f t="shared" si="12"/>
        <v>08</v>
      </c>
      <c r="B420" t="s">
        <v>304</v>
      </c>
      <c r="C420" s="3" t="str">
        <f>VLOOKUP(Table2[[#This Row],[Tegevusala]],Table4[],2,FALSE)</f>
        <v xml:space="preserve"> Ulvi Raamatukogu</v>
      </c>
      <c r="D420" s="3" t="str">
        <f>VLOOKUP(Table2[[#This Row],[Tegevusala]],Table4[[Tegevusala kood]:[Tegevusala alanimetus]],4,FALSE)</f>
        <v>Raamatukogud</v>
      </c>
      <c r="E420" s="3" t="str">
        <f>VLOOKUP(Table2[[#This Row],[Tegevusala nimetus2]],Table4[[Tegevusala nimetus]:[Tegevusala koondnimetus]],2,FALSE)</f>
        <v>Vabaaeg, kultuur ja religioon</v>
      </c>
      <c r="F420" t="s">
        <v>1088</v>
      </c>
      <c r="G420" t="s">
        <v>1095</v>
      </c>
      <c r="H420" s="40">
        <v>400</v>
      </c>
      <c r="J420">
        <v>5511</v>
      </c>
      <c r="K420" s="3" t="str">
        <f>VLOOKUP(Table2[[#This Row],[Konto]],Table5[[Konto]:[Konto nimetus]],2,FALSE)</f>
        <v>Kinnistute, hoonete ja ruumide majandamiskulud</v>
      </c>
      <c r="L420">
        <v>55</v>
      </c>
      <c r="M420" t="str">
        <f t="shared" si="13"/>
        <v>55</v>
      </c>
      <c r="N420" s="3" t="str">
        <f>VLOOKUP(Table2[[#This Row],[Tulu/kulu liik2]],Table5[[Tulu/kulu liik]:[Kontode koondnimetus]],4,FALSE)</f>
        <v>Muud tegevuskulud</v>
      </c>
      <c r="O420" s="3" t="str">
        <f>VLOOKUP(Table2[[#This Row],[Tulu/kulu liik2]],Table5[],6,FALSE)</f>
        <v>Majandamiskulud</v>
      </c>
      <c r="P420" s="3" t="str">
        <f>VLOOKUP(Table2[[#This Row],[Tulu/kulu liik2]],Table5[],5,FALSE)</f>
        <v>Põhitegevuse kulu</v>
      </c>
    </row>
    <row r="421" spans="1:16" x14ac:dyDescent="0.25">
      <c r="A421" t="str">
        <f t="shared" si="12"/>
        <v>08</v>
      </c>
      <c r="B421" t="s">
        <v>304</v>
      </c>
      <c r="C421" s="3" t="str">
        <f>VLOOKUP(Table2[[#This Row],[Tegevusala]],Table4[],2,FALSE)</f>
        <v xml:space="preserve"> Ulvi Raamatukogu</v>
      </c>
      <c r="D421" s="3" t="str">
        <f>VLOOKUP(Table2[[#This Row],[Tegevusala]],Table4[[Tegevusala kood]:[Tegevusala alanimetus]],4,FALSE)</f>
        <v>Raamatukogud</v>
      </c>
      <c r="E421" s="3" t="str">
        <f>VLOOKUP(Table2[[#This Row],[Tegevusala nimetus2]],Table4[[Tegevusala nimetus]:[Tegevusala koondnimetus]],2,FALSE)</f>
        <v>Vabaaeg, kultuur ja religioon</v>
      </c>
      <c r="F421" t="s">
        <v>1088</v>
      </c>
      <c r="G421" t="s">
        <v>1089</v>
      </c>
      <c r="H421" s="40">
        <v>320</v>
      </c>
      <c r="I421" s="2" t="s">
        <v>1090</v>
      </c>
      <c r="J421">
        <v>5500</v>
      </c>
      <c r="K421" s="3" t="str">
        <f>VLOOKUP(Table2[[#This Row],[Konto]],Table5[[Konto]:[Konto nimetus]],2,FALSE)</f>
        <v>Administreerimiskulud</v>
      </c>
      <c r="L421">
        <v>55</v>
      </c>
      <c r="M421" t="str">
        <f t="shared" si="13"/>
        <v>55</v>
      </c>
      <c r="N421" s="3" t="str">
        <f>VLOOKUP(Table2[[#This Row],[Tulu/kulu liik2]],Table5[[Tulu/kulu liik]:[Kontode koondnimetus]],4,FALSE)</f>
        <v>Muud tegevuskulud</v>
      </c>
      <c r="O421" s="3" t="str">
        <f>VLOOKUP(Table2[[#This Row],[Tulu/kulu liik2]],Table5[],6,FALSE)</f>
        <v>Majandamiskulud</v>
      </c>
      <c r="P421" s="3" t="str">
        <f>VLOOKUP(Table2[[#This Row],[Tulu/kulu liik2]],Table5[],5,FALSE)</f>
        <v>Põhitegevuse kulu</v>
      </c>
    </row>
    <row r="422" spans="1:16" x14ac:dyDescent="0.25">
      <c r="A422" t="str">
        <f t="shared" si="12"/>
        <v>08</v>
      </c>
      <c r="B422" t="s">
        <v>304</v>
      </c>
      <c r="C422" s="3" t="str">
        <f>VLOOKUP(Table2[[#This Row],[Tegevusala]],Table4[],2,FALSE)</f>
        <v xml:space="preserve"> Ulvi Raamatukogu</v>
      </c>
      <c r="D422" s="3" t="str">
        <f>VLOOKUP(Table2[[#This Row],[Tegevusala]],Table4[[Tegevusala kood]:[Tegevusala alanimetus]],4,FALSE)</f>
        <v>Raamatukogud</v>
      </c>
      <c r="E422" s="3" t="str">
        <f>VLOOKUP(Table2[[#This Row],[Tegevusala nimetus2]],Table4[[Tegevusala nimetus]:[Tegevusala koondnimetus]],2,FALSE)</f>
        <v>Vabaaeg, kultuur ja religioon</v>
      </c>
      <c r="F422" t="s">
        <v>1088</v>
      </c>
      <c r="G422" t="s">
        <v>1091</v>
      </c>
      <c r="H422" s="40">
        <v>500</v>
      </c>
      <c r="I422" s="2" t="s">
        <v>1092</v>
      </c>
      <c r="J422">
        <v>5500</v>
      </c>
      <c r="K422" s="3" t="str">
        <f>VLOOKUP(Table2[[#This Row],[Konto]],Table5[[Konto]:[Konto nimetus]],2,FALSE)</f>
        <v>Administreerimiskulud</v>
      </c>
      <c r="L422">
        <v>55</v>
      </c>
      <c r="M422" t="str">
        <f t="shared" si="13"/>
        <v>55</v>
      </c>
      <c r="N422" s="3" t="str">
        <f>VLOOKUP(Table2[[#This Row],[Tulu/kulu liik2]],Table5[[Tulu/kulu liik]:[Kontode koondnimetus]],4,FALSE)</f>
        <v>Muud tegevuskulud</v>
      </c>
      <c r="O422" s="3" t="str">
        <f>VLOOKUP(Table2[[#This Row],[Tulu/kulu liik2]],Table5[],6,FALSE)</f>
        <v>Majandamiskulud</v>
      </c>
      <c r="P422" s="3" t="str">
        <f>VLOOKUP(Table2[[#This Row],[Tulu/kulu liik2]],Table5[],5,FALSE)</f>
        <v>Põhitegevuse kulu</v>
      </c>
    </row>
    <row r="423" spans="1:16" x14ac:dyDescent="0.25">
      <c r="A423" t="str">
        <f t="shared" si="12"/>
        <v>08</v>
      </c>
      <c r="B423" t="s">
        <v>304</v>
      </c>
      <c r="C423" s="3" t="str">
        <f>VLOOKUP(Table2[[#This Row],[Tegevusala]],Table4[],2,FALSE)</f>
        <v xml:space="preserve"> Ulvi Raamatukogu</v>
      </c>
      <c r="D423" s="3" t="str">
        <f>VLOOKUP(Table2[[#This Row],[Tegevusala]],Table4[[Tegevusala kood]:[Tegevusala alanimetus]],4,FALSE)</f>
        <v>Raamatukogud</v>
      </c>
      <c r="E423" s="3" t="str">
        <f>VLOOKUP(Table2[[#This Row],[Tegevusala nimetus2]],Table4[[Tegevusala nimetus]:[Tegevusala koondnimetus]],2,FALSE)</f>
        <v>Vabaaeg, kultuur ja religioon</v>
      </c>
      <c r="F423" t="s">
        <v>1088</v>
      </c>
      <c r="G423" t="s">
        <v>457</v>
      </c>
      <c r="H423" s="40">
        <v>1200</v>
      </c>
      <c r="I423" s="2" t="s">
        <v>1093</v>
      </c>
      <c r="J423">
        <v>5500</v>
      </c>
      <c r="K423" s="3" t="str">
        <f>VLOOKUP(Table2[[#This Row],[Konto]],Table5[[Konto]:[Konto nimetus]],2,FALSE)</f>
        <v>Administreerimiskulud</v>
      </c>
      <c r="L423">
        <v>55</v>
      </c>
      <c r="M423" t="str">
        <f t="shared" si="13"/>
        <v>55</v>
      </c>
      <c r="N423" s="3" t="str">
        <f>VLOOKUP(Table2[[#This Row],[Tulu/kulu liik2]],Table5[[Tulu/kulu liik]:[Kontode koondnimetus]],4,FALSE)</f>
        <v>Muud tegevuskulud</v>
      </c>
      <c r="O423" s="3" t="str">
        <f>VLOOKUP(Table2[[#This Row],[Tulu/kulu liik2]],Table5[],6,FALSE)</f>
        <v>Majandamiskulud</v>
      </c>
      <c r="P423" s="3" t="str">
        <f>VLOOKUP(Table2[[#This Row],[Tulu/kulu liik2]],Table5[],5,FALSE)</f>
        <v>Põhitegevuse kulu</v>
      </c>
    </row>
    <row r="424" spans="1:16" x14ac:dyDescent="0.25">
      <c r="A424" t="str">
        <f t="shared" si="12"/>
        <v>08</v>
      </c>
      <c r="B424" t="s">
        <v>304</v>
      </c>
      <c r="C424" s="3" t="str">
        <f>VLOOKUP(Table2[[#This Row],[Tegevusala]],Table4[],2,FALSE)</f>
        <v xml:space="preserve"> Ulvi Raamatukogu</v>
      </c>
      <c r="D424" s="3" t="str">
        <f>VLOOKUP(Table2[[#This Row],[Tegevusala]],Table4[[Tegevusala kood]:[Tegevusala alanimetus]],4,FALSE)</f>
        <v>Raamatukogud</v>
      </c>
      <c r="E424" s="3" t="str">
        <f>VLOOKUP(Table2[[#This Row],[Tegevusala nimetus2]],Table4[[Tegevusala nimetus]:[Tegevusala koondnimetus]],2,FALSE)</f>
        <v>Vabaaeg, kultuur ja religioon</v>
      </c>
      <c r="F424" t="s">
        <v>1088</v>
      </c>
      <c r="G424" t="s">
        <v>409</v>
      </c>
      <c r="H424" s="40">
        <v>350</v>
      </c>
      <c r="I424" s="2" t="s">
        <v>1094</v>
      </c>
      <c r="J424">
        <v>5504</v>
      </c>
      <c r="K424" s="3" t="str">
        <f>VLOOKUP(Table2[[#This Row],[Konto]],Table5[[Konto]:[Konto nimetus]],2,FALSE)</f>
        <v>Koolituskulud</v>
      </c>
      <c r="L424">
        <v>55</v>
      </c>
      <c r="M424" t="str">
        <f t="shared" si="13"/>
        <v>55</v>
      </c>
      <c r="N424" s="3" t="str">
        <f>VLOOKUP(Table2[[#This Row],[Tulu/kulu liik2]],Table5[[Tulu/kulu liik]:[Kontode koondnimetus]],4,FALSE)</f>
        <v>Muud tegevuskulud</v>
      </c>
      <c r="O424" s="3" t="str">
        <f>VLOOKUP(Table2[[#This Row],[Tulu/kulu liik2]],Table5[],6,FALSE)</f>
        <v>Majandamiskulud</v>
      </c>
      <c r="P424" s="3" t="str">
        <f>VLOOKUP(Table2[[#This Row],[Tulu/kulu liik2]],Table5[],5,FALSE)</f>
        <v>Põhitegevuse kulu</v>
      </c>
    </row>
    <row r="425" spans="1:16" x14ac:dyDescent="0.25">
      <c r="A425" t="str">
        <f t="shared" si="12"/>
        <v>08</v>
      </c>
      <c r="B425" t="s">
        <v>304</v>
      </c>
      <c r="C425" s="3" t="str">
        <f>VLOOKUP(Table2[[#This Row],[Tegevusala]],Table4[],2,FALSE)</f>
        <v xml:space="preserve"> Ulvi Raamatukogu</v>
      </c>
      <c r="D425" s="3" t="str">
        <f>VLOOKUP(Table2[[#This Row],[Tegevusala]],Table4[[Tegevusala kood]:[Tegevusala alanimetus]],4,FALSE)</f>
        <v>Raamatukogud</v>
      </c>
      <c r="E425" s="3" t="str">
        <f>VLOOKUP(Table2[[#This Row],[Tegevusala nimetus2]],Table4[[Tegevusala nimetus]:[Tegevusala koondnimetus]],2,FALSE)</f>
        <v>Vabaaeg, kultuur ja religioon</v>
      </c>
      <c r="F425" t="s">
        <v>1088</v>
      </c>
      <c r="G425" t="s">
        <v>442</v>
      </c>
      <c r="H425" s="40">
        <v>220</v>
      </c>
      <c r="I425" s="2" t="s">
        <v>1096</v>
      </c>
      <c r="J425">
        <v>5513</v>
      </c>
      <c r="K425" s="3" t="str">
        <f>VLOOKUP(Table2[[#This Row],[Konto]],Table5[[Konto]:[Konto nimetus]],2,FALSE)</f>
        <v>Sõidukite ülalpidamise kulud</v>
      </c>
      <c r="L425">
        <v>55</v>
      </c>
      <c r="M425" t="str">
        <f t="shared" si="13"/>
        <v>55</v>
      </c>
      <c r="N425" s="3" t="str">
        <f>VLOOKUP(Table2[[#This Row],[Tulu/kulu liik2]],Table5[[Tulu/kulu liik]:[Kontode koondnimetus]],4,FALSE)</f>
        <v>Muud tegevuskulud</v>
      </c>
      <c r="O425" s="3" t="str">
        <f>VLOOKUP(Table2[[#This Row],[Tulu/kulu liik2]],Table5[],6,FALSE)</f>
        <v>Majandamiskulud</v>
      </c>
      <c r="P425" s="3" t="str">
        <f>VLOOKUP(Table2[[#This Row],[Tulu/kulu liik2]],Table5[],5,FALSE)</f>
        <v>Põhitegevuse kulu</v>
      </c>
    </row>
    <row r="426" spans="1:16" x14ac:dyDescent="0.25">
      <c r="A426" t="str">
        <f t="shared" si="12"/>
        <v>08</v>
      </c>
      <c r="B426" t="s">
        <v>304</v>
      </c>
      <c r="C426" s="3" t="str">
        <f>VLOOKUP(Table2[[#This Row],[Tegevusala]],Table4[],2,FALSE)</f>
        <v xml:space="preserve"> Ulvi Raamatukogu</v>
      </c>
      <c r="D426" s="3" t="str">
        <f>VLOOKUP(Table2[[#This Row],[Tegevusala]],Table4[[Tegevusala kood]:[Tegevusala alanimetus]],4,FALSE)</f>
        <v>Raamatukogud</v>
      </c>
      <c r="E426" s="3" t="str">
        <f>VLOOKUP(Table2[[#This Row],[Tegevusala nimetus2]],Table4[[Tegevusala nimetus]:[Tegevusala koondnimetus]],2,FALSE)</f>
        <v>Vabaaeg, kultuur ja religioon</v>
      </c>
      <c r="F426" t="s">
        <v>1088</v>
      </c>
      <c r="G426" t="s">
        <v>427</v>
      </c>
      <c r="H426" s="40">
        <v>100</v>
      </c>
      <c r="J426">
        <v>5522</v>
      </c>
      <c r="K426" s="3" t="str">
        <f>VLOOKUP(Table2[[#This Row],[Konto]],Table5[[Konto]:[Konto nimetus]],2,FALSE)</f>
        <v>Meditsiinikulud ja hügieenitarbed</v>
      </c>
      <c r="L426">
        <v>55</v>
      </c>
      <c r="M426" t="str">
        <f t="shared" si="13"/>
        <v>55</v>
      </c>
      <c r="N426" s="3" t="str">
        <f>VLOOKUP(Table2[[#This Row],[Tulu/kulu liik2]],Table5[[Tulu/kulu liik]:[Kontode koondnimetus]],4,FALSE)</f>
        <v>Muud tegevuskulud</v>
      </c>
      <c r="O426" s="3" t="str">
        <f>VLOOKUP(Table2[[#This Row],[Tulu/kulu liik2]],Table5[],6,FALSE)</f>
        <v>Majandamiskulud</v>
      </c>
      <c r="P426" s="3" t="str">
        <f>VLOOKUP(Table2[[#This Row],[Tulu/kulu liik2]],Table5[],5,FALSE)</f>
        <v>Põhitegevuse kulu</v>
      </c>
    </row>
    <row r="427" spans="1:16" x14ac:dyDescent="0.25">
      <c r="A427" t="str">
        <f t="shared" si="12"/>
        <v>08</v>
      </c>
      <c r="B427" t="s">
        <v>304</v>
      </c>
      <c r="C427" s="3" t="str">
        <f>VLOOKUP(Table2[[#This Row],[Tegevusala]],Table4[],2,FALSE)</f>
        <v xml:space="preserve"> Ulvi Raamatukogu</v>
      </c>
      <c r="D427" s="3" t="str">
        <f>VLOOKUP(Table2[[#This Row],[Tegevusala]],Table4[[Tegevusala kood]:[Tegevusala alanimetus]],4,FALSE)</f>
        <v>Raamatukogud</v>
      </c>
      <c r="E427" s="3" t="str">
        <f>VLOOKUP(Table2[[#This Row],[Tegevusala nimetus2]],Table4[[Tegevusala nimetus]:[Tegevusala koondnimetus]],2,FALSE)</f>
        <v>Vabaaeg, kultuur ja religioon</v>
      </c>
      <c r="F427" t="s">
        <v>1088</v>
      </c>
      <c r="G427" t="s">
        <v>761</v>
      </c>
      <c r="H427" s="40">
        <v>3200</v>
      </c>
      <c r="J427">
        <v>5523</v>
      </c>
      <c r="K427" s="3" t="str">
        <f>VLOOKUP(Table2[[#This Row],[Konto]],Table5[[Konto]:[Konto nimetus]],2,FALSE)</f>
        <v>Teavikud ja kunstiesemed</v>
      </c>
      <c r="L427">
        <v>55</v>
      </c>
      <c r="M427" t="str">
        <f t="shared" si="13"/>
        <v>55</v>
      </c>
      <c r="N427" s="3" t="str">
        <f>VLOOKUP(Table2[[#This Row],[Tulu/kulu liik2]],Table5[[Tulu/kulu liik]:[Kontode koondnimetus]],4,FALSE)</f>
        <v>Muud tegevuskulud</v>
      </c>
      <c r="O427" s="3" t="str">
        <f>VLOOKUP(Table2[[#This Row],[Tulu/kulu liik2]],Table5[],6,FALSE)</f>
        <v>Majandamiskulud</v>
      </c>
      <c r="P427" s="3" t="str">
        <f>VLOOKUP(Table2[[#This Row],[Tulu/kulu liik2]],Table5[],5,FALSE)</f>
        <v>Põhitegevuse kulu</v>
      </c>
    </row>
    <row r="428" spans="1:16" x14ac:dyDescent="0.25">
      <c r="A428" t="str">
        <f t="shared" si="12"/>
        <v>08</v>
      </c>
      <c r="B428" t="s">
        <v>304</v>
      </c>
      <c r="C428" s="3" t="str">
        <f>VLOOKUP(Table2[[#This Row],[Tegevusala]],Table4[],2,FALSE)</f>
        <v xml:space="preserve"> Ulvi Raamatukogu</v>
      </c>
      <c r="D428" s="3" t="str">
        <f>VLOOKUP(Table2[[#This Row],[Tegevusala]],Table4[[Tegevusala kood]:[Tegevusala alanimetus]],4,FALSE)</f>
        <v>Raamatukogud</v>
      </c>
      <c r="E428" s="3" t="str">
        <f>VLOOKUP(Table2[[#This Row],[Tegevusala nimetus2]],Table4[[Tegevusala nimetus]:[Tegevusala koondnimetus]],2,FALSE)</f>
        <v>Vabaaeg, kultuur ja religioon</v>
      </c>
      <c r="F428" t="s">
        <v>1088</v>
      </c>
      <c r="G428" t="s">
        <v>1101</v>
      </c>
      <c r="H428" s="40">
        <v>500</v>
      </c>
      <c r="J428">
        <v>5525</v>
      </c>
      <c r="K428" s="3" t="str">
        <f>VLOOKUP(Table2[[#This Row],[Konto]],Table5[[Konto]:[Konto nimetus]],2,FALSE)</f>
        <v>Kommunikatsiooni-, kultuuri- ja vaba aja sisustamise kulud</v>
      </c>
      <c r="L428">
        <v>55</v>
      </c>
      <c r="M428" t="str">
        <f t="shared" si="13"/>
        <v>55</v>
      </c>
      <c r="N428" s="3" t="str">
        <f>VLOOKUP(Table2[[#This Row],[Tulu/kulu liik2]],Table5[[Tulu/kulu liik]:[Kontode koondnimetus]],4,FALSE)</f>
        <v>Muud tegevuskulud</v>
      </c>
      <c r="O428" s="3" t="str">
        <f>VLOOKUP(Table2[[#This Row],[Tulu/kulu liik2]],Table5[],6,FALSE)</f>
        <v>Majandamiskulud</v>
      </c>
      <c r="P428" s="3" t="str">
        <f>VLOOKUP(Table2[[#This Row],[Tulu/kulu liik2]],Table5[],5,FALSE)</f>
        <v>Põhitegevuse kulu</v>
      </c>
    </row>
    <row r="429" spans="1:16" x14ac:dyDescent="0.25">
      <c r="A429" t="str">
        <f t="shared" si="12"/>
        <v>08</v>
      </c>
      <c r="B429" t="s">
        <v>304</v>
      </c>
      <c r="C429" s="3" t="str">
        <f>VLOOKUP(Table2[[#This Row],[Tegevusala]],Table4[],2,FALSE)</f>
        <v xml:space="preserve"> Ulvi Raamatukogu</v>
      </c>
      <c r="D429" s="3" t="str">
        <f>VLOOKUP(Table2[[#This Row],[Tegevusala]],Table4[[Tegevusala kood]:[Tegevusala alanimetus]],4,FALSE)</f>
        <v>Raamatukogud</v>
      </c>
      <c r="E429" s="3" t="str">
        <f>VLOOKUP(Table2[[#This Row],[Tegevusala nimetus2]],Table4[[Tegevusala nimetus]:[Tegevusala koondnimetus]],2,FALSE)</f>
        <v>Vabaaeg, kultuur ja religioon</v>
      </c>
      <c r="F429" t="s">
        <v>1088</v>
      </c>
      <c r="G429" t="s">
        <v>1097</v>
      </c>
      <c r="H429" s="40">
        <f>20*12</f>
        <v>240</v>
      </c>
      <c r="I429" s="2" t="s">
        <v>1098</v>
      </c>
      <c r="J429">
        <v>5514</v>
      </c>
      <c r="K429" s="3" t="str">
        <f>VLOOKUP(Table2[[#This Row],[Konto]],Table5[[Konto]:[Konto nimetus]],2,FALSE)</f>
        <v>Info- ja kommunikatsioonitehnoliigised kulud</v>
      </c>
      <c r="L429">
        <v>55</v>
      </c>
      <c r="M429" t="str">
        <f t="shared" si="13"/>
        <v>55</v>
      </c>
      <c r="N429" s="3" t="str">
        <f>VLOOKUP(Table2[[#This Row],[Tulu/kulu liik2]],Table5[[Tulu/kulu liik]:[Kontode koondnimetus]],4,FALSE)</f>
        <v>Muud tegevuskulud</v>
      </c>
      <c r="O429" s="3" t="str">
        <f>VLOOKUP(Table2[[#This Row],[Tulu/kulu liik2]],Table5[],6,FALSE)</f>
        <v>Majandamiskulud</v>
      </c>
      <c r="P429" s="3" t="str">
        <f>VLOOKUP(Table2[[#This Row],[Tulu/kulu liik2]],Table5[],5,FALSE)</f>
        <v>Põhitegevuse kulu</v>
      </c>
    </row>
    <row r="430" spans="1:16" x14ac:dyDescent="0.25">
      <c r="A430" s="33" t="str">
        <f t="shared" si="12"/>
        <v>08</v>
      </c>
      <c r="B430" s="33" t="s">
        <v>304</v>
      </c>
      <c r="C430" s="34" t="str">
        <f>VLOOKUP(Table2[[#This Row],[Tegevusala]],Table4[],2,FALSE)</f>
        <v xml:space="preserve"> Ulvi Raamatukogu</v>
      </c>
      <c r="D430" s="34" t="str">
        <f>VLOOKUP(Table2[[#This Row],[Tegevusala]],Table4[[Tegevusala kood]:[Tegevusala alanimetus]],4,FALSE)</f>
        <v>Raamatukogud</v>
      </c>
      <c r="E430" s="34" t="str">
        <f>VLOOKUP(Table2[[#This Row],[Tegevusala nimetus2]],Table4[[Tegevusala nimetus]:[Tegevusala koondnimetus]],2,FALSE)</f>
        <v>Vabaaeg, kultuur ja religioon</v>
      </c>
      <c r="F430" s="33" t="s">
        <v>1088</v>
      </c>
      <c r="G430" s="33" t="s">
        <v>1099</v>
      </c>
      <c r="H430" s="47">
        <v>850</v>
      </c>
      <c r="I430" s="35" t="s">
        <v>1100</v>
      </c>
      <c r="J430" s="33">
        <v>5514</v>
      </c>
      <c r="K430" s="34" t="str">
        <f>VLOOKUP(Table2[[#This Row],[Konto]],Table5[[Konto]:[Konto nimetus]],2,FALSE)</f>
        <v>Info- ja kommunikatsioonitehnoliigised kulud</v>
      </c>
      <c r="L430" s="33">
        <v>55</v>
      </c>
      <c r="M430" s="33" t="str">
        <f t="shared" si="13"/>
        <v>55</v>
      </c>
      <c r="N430" s="34" t="str">
        <f>VLOOKUP(Table2[[#This Row],[Tulu/kulu liik2]],Table5[[Tulu/kulu liik]:[Kontode koondnimetus]],4,FALSE)</f>
        <v>Muud tegevuskulud</v>
      </c>
      <c r="O430" s="34" t="str">
        <f>VLOOKUP(Table2[[#This Row],[Tulu/kulu liik2]],Table5[],6,FALSE)</f>
        <v>Majandamiskulud</v>
      </c>
      <c r="P430" s="34" t="str">
        <f>VLOOKUP(Table2[[#This Row],[Tulu/kulu liik2]],Table5[],5,FALSE)</f>
        <v>Põhitegevuse kulu</v>
      </c>
    </row>
    <row r="431" spans="1:16" x14ac:dyDescent="0.25">
      <c r="A431" t="str">
        <f t="shared" si="12"/>
        <v>08</v>
      </c>
      <c r="B431" t="s">
        <v>306</v>
      </c>
      <c r="C431" s="3" t="str">
        <f>VLOOKUP(Table2[[#This Row],[Tegevusala]],Table4[],2,FALSE)</f>
        <v xml:space="preserve"> Laekvere Raamatukogu</v>
      </c>
      <c r="D431" s="3" t="str">
        <f>VLOOKUP(Table2[[#This Row],[Tegevusala]],Table4[[Tegevusala kood]:[Tegevusala alanimetus]],4,FALSE)</f>
        <v>Raamatukogud</v>
      </c>
      <c r="E431" s="3" t="str">
        <f>VLOOKUP(Table2[[#This Row],[Tegevusala nimetus2]],Table4[[Tegevusala nimetus]:[Tegevusala koondnimetus]],2,FALSE)</f>
        <v>Vabaaeg, kultuur ja religioon</v>
      </c>
      <c r="F431" t="s">
        <v>529</v>
      </c>
      <c r="G431" t="s">
        <v>751</v>
      </c>
      <c r="H431" s="40">
        <v>500</v>
      </c>
      <c r="J431">
        <v>5500</v>
      </c>
      <c r="K431" s="3" t="str">
        <f>VLOOKUP(Table2[[#This Row],[Konto]],Table5[[Konto]:[Konto nimetus]],2,FALSE)</f>
        <v>Administreerimiskulud</v>
      </c>
      <c r="L431">
        <v>55</v>
      </c>
      <c r="M431" t="str">
        <f t="shared" si="13"/>
        <v>55</v>
      </c>
      <c r="N431" s="3" t="str">
        <f>VLOOKUP(Table2[[#This Row],[Tulu/kulu liik2]],Table5[[Tulu/kulu liik]:[Kontode koondnimetus]],4,FALSE)</f>
        <v>Muud tegevuskulud</v>
      </c>
      <c r="O431" s="3" t="str">
        <f>VLOOKUP(Table2[[#This Row],[Tulu/kulu liik2]],Table5[],6,FALSE)</f>
        <v>Majandamiskulud</v>
      </c>
      <c r="P431" s="3" t="str">
        <f>VLOOKUP(Table2[[#This Row],[Tulu/kulu liik2]],Table5[],5,FALSE)</f>
        <v>Põhitegevuse kulu</v>
      </c>
    </row>
    <row r="432" spans="1:16" x14ac:dyDescent="0.25">
      <c r="A432" t="str">
        <f t="shared" si="12"/>
        <v>08</v>
      </c>
      <c r="B432" t="s">
        <v>306</v>
      </c>
      <c r="C432" s="3" t="str">
        <f>VLOOKUP(Table2[[#This Row],[Tegevusala]],Table4[],2,FALSE)</f>
        <v xml:space="preserve"> Laekvere Raamatukogu</v>
      </c>
      <c r="D432" s="3" t="str">
        <f>VLOOKUP(Table2[[#This Row],[Tegevusala]],Table4[[Tegevusala kood]:[Tegevusala alanimetus]],4,FALSE)</f>
        <v>Raamatukogud</v>
      </c>
      <c r="E432" s="3" t="str">
        <f>VLOOKUP(Table2[[#This Row],[Tegevusala nimetus2]],Table4[[Tegevusala nimetus]:[Tegevusala koondnimetus]],2,FALSE)</f>
        <v>Vabaaeg, kultuur ja religioon</v>
      </c>
      <c r="F432" t="s">
        <v>529</v>
      </c>
      <c r="G432" t="s">
        <v>752</v>
      </c>
      <c r="H432" s="40">
        <v>2000</v>
      </c>
      <c r="J432">
        <v>5500</v>
      </c>
      <c r="K432" s="3" t="str">
        <f>VLOOKUP(Table2[[#This Row],[Konto]],Table5[[Konto]:[Konto nimetus]],2,FALSE)</f>
        <v>Administreerimiskulud</v>
      </c>
      <c r="L432">
        <v>55</v>
      </c>
      <c r="M432" t="str">
        <f t="shared" si="13"/>
        <v>55</v>
      </c>
      <c r="N432" s="3" t="str">
        <f>VLOOKUP(Table2[[#This Row],[Tulu/kulu liik2]],Table5[[Tulu/kulu liik]:[Kontode koondnimetus]],4,FALSE)</f>
        <v>Muud tegevuskulud</v>
      </c>
      <c r="O432" s="3" t="str">
        <f>VLOOKUP(Table2[[#This Row],[Tulu/kulu liik2]],Table5[],6,FALSE)</f>
        <v>Majandamiskulud</v>
      </c>
      <c r="P432" s="3" t="str">
        <f>VLOOKUP(Table2[[#This Row],[Tulu/kulu liik2]],Table5[],5,FALSE)</f>
        <v>Põhitegevuse kulu</v>
      </c>
    </row>
    <row r="433" spans="1:16" x14ac:dyDescent="0.25">
      <c r="A433" t="str">
        <f t="shared" si="12"/>
        <v>08</v>
      </c>
      <c r="B433" t="s">
        <v>306</v>
      </c>
      <c r="C433" s="3" t="str">
        <f>VLOOKUP(Table2[[#This Row],[Tegevusala]],Table4[],2,FALSE)</f>
        <v xml:space="preserve"> Laekvere Raamatukogu</v>
      </c>
      <c r="D433" s="3" t="str">
        <f>VLOOKUP(Table2[[#This Row],[Tegevusala]],Table4[[Tegevusala kood]:[Tegevusala alanimetus]],4,FALSE)</f>
        <v>Raamatukogud</v>
      </c>
      <c r="E433" s="3" t="str">
        <f>VLOOKUP(Table2[[#This Row],[Tegevusala nimetus2]],Table4[[Tegevusala nimetus]:[Tegevusala koondnimetus]],2,FALSE)</f>
        <v>Vabaaeg, kultuur ja religioon</v>
      </c>
      <c r="F433" t="s">
        <v>529</v>
      </c>
      <c r="G433" t="s">
        <v>409</v>
      </c>
      <c r="H433" s="40">
        <v>1000</v>
      </c>
      <c r="J433">
        <v>5504</v>
      </c>
      <c r="K433" s="3" t="str">
        <f>VLOOKUP(Table2[[#This Row],[Konto]],Table5[[Konto]:[Konto nimetus]],2,FALSE)</f>
        <v>Koolituskulud</v>
      </c>
      <c r="L433">
        <v>55</v>
      </c>
      <c r="M433" t="str">
        <f t="shared" si="13"/>
        <v>55</v>
      </c>
      <c r="N433" s="3" t="str">
        <f>VLOOKUP(Table2[[#This Row],[Tulu/kulu liik2]],Table5[[Tulu/kulu liik]:[Kontode koondnimetus]],4,FALSE)</f>
        <v>Muud tegevuskulud</v>
      </c>
      <c r="O433" s="3" t="str">
        <f>VLOOKUP(Table2[[#This Row],[Tulu/kulu liik2]],Table5[],6,FALSE)</f>
        <v>Majandamiskulud</v>
      </c>
      <c r="P433" s="3" t="str">
        <f>VLOOKUP(Table2[[#This Row],[Tulu/kulu liik2]],Table5[],5,FALSE)</f>
        <v>Põhitegevuse kulu</v>
      </c>
    </row>
    <row r="434" spans="1:16" x14ac:dyDescent="0.25">
      <c r="A434" t="str">
        <f t="shared" si="12"/>
        <v>08</v>
      </c>
      <c r="B434" t="s">
        <v>306</v>
      </c>
      <c r="C434" s="3" t="str">
        <f>VLOOKUP(Table2[[#This Row],[Tegevusala]],Table4[],2,FALSE)</f>
        <v xml:space="preserve"> Laekvere Raamatukogu</v>
      </c>
      <c r="D434" s="3" t="str">
        <f>VLOOKUP(Table2[[#This Row],[Tegevusala]],Table4[[Tegevusala kood]:[Tegevusala alanimetus]],4,FALSE)</f>
        <v>Raamatukogud</v>
      </c>
      <c r="E434" s="3" t="str">
        <f>VLOOKUP(Table2[[#This Row],[Tegevusala nimetus2]],Table4[[Tegevusala nimetus]:[Tegevusala koondnimetus]],2,FALSE)</f>
        <v>Vabaaeg, kultuur ja religioon</v>
      </c>
      <c r="F434" t="s">
        <v>529</v>
      </c>
      <c r="G434" t="s">
        <v>755</v>
      </c>
      <c r="H434" s="40">
        <v>1000</v>
      </c>
      <c r="J434">
        <v>5513</v>
      </c>
      <c r="K434" s="3" t="str">
        <f>VLOOKUP(Table2[[#This Row],[Konto]],Table5[[Konto]:[Konto nimetus]],2,FALSE)</f>
        <v>Sõidukite ülalpidamise kulud</v>
      </c>
      <c r="L434">
        <v>55</v>
      </c>
      <c r="M434" t="str">
        <f t="shared" si="13"/>
        <v>55</v>
      </c>
      <c r="N434" s="3" t="str">
        <f>VLOOKUP(Table2[[#This Row],[Tulu/kulu liik2]],Table5[[Tulu/kulu liik]:[Kontode koondnimetus]],4,FALSE)</f>
        <v>Muud tegevuskulud</v>
      </c>
      <c r="O434" s="3" t="str">
        <f>VLOOKUP(Table2[[#This Row],[Tulu/kulu liik2]],Table5[],6,FALSE)</f>
        <v>Majandamiskulud</v>
      </c>
      <c r="P434" s="3" t="str">
        <f>VLOOKUP(Table2[[#This Row],[Tulu/kulu liik2]],Table5[],5,FALSE)</f>
        <v>Põhitegevuse kulu</v>
      </c>
    </row>
    <row r="435" spans="1:16" x14ac:dyDescent="0.25">
      <c r="A435" t="str">
        <f t="shared" si="12"/>
        <v>08</v>
      </c>
      <c r="B435" t="s">
        <v>306</v>
      </c>
      <c r="C435" s="3" t="str">
        <f>VLOOKUP(Table2[[#This Row],[Tegevusala]],Table4[],2,FALSE)</f>
        <v xml:space="preserve"> Laekvere Raamatukogu</v>
      </c>
      <c r="D435" s="3" t="str">
        <f>VLOOKUP(Table2[[#This Row],[Tegevusala]],Table4[[Tegevusala kood]:[Tegevusala alanimetus]],4,FALSE)</f>
        <v>Raamatukogud</v>
      </c>
      <c r="E435" s="3" t="str">
        <f>VLOOKUP(Table2[[#This Row],[Tegevusala nimetus2]],Table4[[Tegevusala nimetus]:[Tegevusala koondnimetus]],2,FALSE)</f>
        <v>Vabaaeg, kultuur ja religioon</v>
      </c>
      <c r="F435" t="s">
        <v>529</v>
      </c>
      <c r="G435" t="s">
        <v>729</v>
      </c>
      <c r="H435" s="40">
        <v>1019</v>
      </c>
      <c r="I435" s="2" t="s">
        <v>759</v>
      </c>
      <c r="J435">
        <v>5515</v>
      </c>
      <c r="K435" s="3" t="str">
        <f>VLOOKUP(Table2[[#This Row],[Konto]],Table5[[Konto]:[Konto nimetus]],2,FALSE)</f>
        <v>Inventari kulud, v.a infotehnoloogia ja kaitseotstarbelised kulud</v>
      </c>
      <c r="L435">
        <v>55</v>
      </c>
      <c r="M435" t="str">
        <f t="shared" si="13"/>
        <v>55</v>
      </c>
      <c r="N435" s="3" t="str">
        <f>VLOOKUP(Table2[[#This Row],[Tulu/kulu liik2]],Table5[[Tulu/kulu liik]:[Kontode koondnimetus]],4,FALSE)</f>
        <v>Muud tegevuskulud</v>
      </c>
      <c r="O435" s="3" t="str">
        <f>VLOOKUP(Table2[[#This Row],[Tulu/kulu liik2]],Table5[],6,FALSE)</f>
        <v>Majandamiskulud</v>
      </c>
      <c r="P435" s="3" t="str">
        <f>VLOOKUP(Table2[[#This Row],[Tulu/kulu liik2]],Table5[],5,FALSE)</f>
        <v>Põhitegevuse kulu</v>
      </c>
    </row>
    <row r="436" spans="1:16" x14ac:dyDescent="0.25">
      <c r="A436" t="str">
        <f t="shared" si="12"/>
        <v>08</v>
      </c>
      <c r="B436" t="s">
        <v>306</v>
      </c>
      <c r="C436" s="3" t="str">
        <f>VLOOKUP(Table2[[#This Row],[Tegevusala]],Table4[],2,FALSE)</f>
        <v xml:space="preserve"> Laekvere Raamatukogu</v>
      </c>
      <c r="D436" s="3" t="str">
        <f>VLOOKUP(Table2[[#This Row],[Tegevusala]],Table4[[Tegevusala kood]:[Tegevusala alanimetus]],4,FALSE)</f>
        <v>Raamatukogud</v>
      </c>
      <c r="E436" s="3" t="str">
        <f>VLOOKUP(Table2[[#This Row],[Tegevusala nimetus2]],Table4[[Tegevusala nimetus]:[Tegevusala koondnimetus]],2,FALSE)</f>
        <v>Vabaaeg, kultuur ja religioon</v>
      </c>
      <c r="F436" t="s">
        <v>529</v>
      </c>
      <c r="G436" t="s">
        <v>760</v>
      </c>
      <c r="H436" s="40">
        <v>500</v>
      </c>
      <c r="J436">
        <v>5522</v>
      </c>
      <c r="K436" s="3" t="str">
        <f>VLOOKUP(Table2[[#This Row],[Konto]],Table5[[Konto]:[Konto nimetus]],2,FALSE)</f>
        <v>Meditsiinikulud ja hügieenitarbed</v>
      </c>
      <c r="L436">
        <v>55</v>
      </c>
      <c r="M436" t="str">
        <f t="shared" si="13"/>
        <v>55</v>
      </c>
      <c r="N436" s="3" t="str">
        <f>VLOOKUP(Table2[[#This Row],[Tulu/kulu liik2]],Table5[[Tulu/kulu liik]:[Kontode koondnimetus]],4,FALSE)</f>
        <v>Muud tegevuskulud</v>
      </c>
      <c r="O436" s="3" t="str">
        <f>VLOOKUP(Table2[[#This Row],[Tulu/kulu liik2]],Table5[],6,FALSE)</f>
        <v>Majandamiskulud</v>
      </c>
      <c r="P436" s="3" t="str">
        <f>VLOOKUP(Table2[[#This Row],[Tulu/kulu liik2]],Table5[],5,FALSE)</f>
        <v>Põhitegevuse kulu</v>
      </c>
    </row>
    <row r="437" spans="1:16" x14ac:dyDescent="0.25">
      <c r="A437" t="str">
        <f t="shared" si="12"/>
        <v>08</v>
      </c>
      <c r="B437" t="s">
        <v>306</v>
      </c>
      <c r="C437" s="3" t="str">
        <f>VLOOKUP(Table2[[#This Row],[Tegevusala]],Table4[],2,FALSE)</f>
        <v xml:space="preserve"> Laekvere Raamatukogu</v>
      </c>
      <c r="D437" s="3" t="str">
        <f>VLOOKUP(Table2[[#This Row],[Tegevusala]],Table4[[Tegevusala kood]:[Tegevusala alanimetus]],4,FALSE)</f>
        <v>Raamatukogud</v>
      </c>
      <c r="E437" s="3" t="str">
        <f>VLOOKUP(Table2[[#This Row],[Tegevusala nimetus2]],Table4[[Tegevusala nimetus]:[Tegevusala koondnimetus]],2,FALSE)</f>
        <v>Vabaaeg, kultuur ja religioon</v>
      </c>
      <c r="F437" t="s">
        <v>529</v>
      </c>
      <c r="G437" t="s">
        <v>761</v>
      </c>
      <c r="H437" s="40">
        <v>6500</v>
      </c>
      <c r="J437">
        <v>5523</v>
      </c>
      <c r="K437" s="3" t="str">
        <f>VLOOKUP(Table2[[#This Row],[Konto]],Table5[[Konto]:[Konto nimetus]],2,FALSE)</f>
        <v>Teavikud ja kunstiesemed</v>
      </c>
      <c r="L437">
        <v>55</v>
      </c>
      <c r="M437" t="str">
        <f t="shared" si="13"/>
        <v>55</v>
      </c>
      <c r="N437" s="3" t="str">
        <f>VLOOKUP(Table2[[#This Row],[Tulu/kulu liik2]],Table5[[Tulu/kulu liik]:[Kontode koondnimetus]],4,FALSE)</f>
        <v>Muud tegevuskulud</v>
      </c>
      <c r="O437" s="3" t="str">
        <f>VLOOKUP(Table2[[#This Row],[Tulu/kulu liik2]],Table5[],6,FALSE)</f>
        <v>Majandamiskulud</v>
      </c>
      <c r="P437" s="3" t="str">
        <f>VLOOKUP(Table2[[#This Row],[Tulu/kulu liik2]],Table5[],5,FALSE)</f>
        <v>Põhitegevuse kulu</v>
      </c>
    </row>
    <row r="438" spans="1:16" x14ac:dyDescent="0.25">
      <c r="A438" t="str">
        <f t="shared" si="12"/>
        <v>08</v>
      </c>
      <c r="B438" t="s">
        <v>306</v>
      </c>
      <c r="C438" s="3" t="str">
        <f>VLOOKUP(Table2[[#This Row],[Tegevusala]],Table4[],2,FALSE)</f>
        <v xml:space="preserve"> Laekvere Raamatukogu</v>
      </c>
      <c r="D438" s="3" t="str">
        <f>VLOOKUP(Table2[[#This Row],[Tegevusala]],Table4[[Tegevusala kood]:[Tegevusala alanimetus]],4,FALSE)</f>
        <v>Raamatukogud</v>
      </c>
      <c r="E438" s="3" t="str">
        <f>VLOOKUP(Table2[[#This Row],[Tegevusala nimetus2]],Table4[[Tegevusala nimetus]:[Tegevusala koondnimetus]],2,FALSE)</f>
        <v>Vabaaeg, kultuur ja religioon</v>
      </c>
      <c r="F438" t="s">
        <v>529</v>
      </c>
      <c r="G438" t="s">
        <v>762</v>
      </c>
      <c r="H438" s="40">
        <v>250</v>
      </c>
      <c r="J438">
        <v>5525</v>
      </c>
      <c r="K438" s="3" t="str">
        <f>VLOOKUP(Table2[[#This Row],[Konto]],Table5[[Konto]:[Konto nimetus]],2,FALSE)</f>
        <v>Kommunikatsiooni-, kultuuri- ja vaba aja sisustamise kulud</v>
      </c>
      <c r="L438">
        <v>55</v>
      </c>
      <c r="M438" t="str">
        <f t="shared" si="13"/>
        <v>55</v>
      </c>
      <c r="N438" s="3" t="str">
        <f>VLOOKUP(Table2[[#This Row],[Tulu/kulu liik2]],Table5[[Tulu/kulu liik]:[Kontode koondnimetus]],4,FALSE)</f>
        <v>Muud tegevuskulud</v>
      </c>
      <c r="O438" s="3" t="str">
        <f>VLOOKUP(Table2[[#This Row],[Tulu/kulu liik2]],Table5[],6,FALSE)</f>
        <v>Majandamiskulud</v>
      </c>
      <c r="P438" s="3" t="str">
        <f>VLOOKUP(Table2[[#This Row],[Tulu/kulu liik2]],Table5[],5,FALSE)</f>
        <v>Põhitegevuse kulu</v>
      </c>
    </row>
    <row r="439" spans="1:16" x14ac:dyDescent="0.25">
      <c r="A439" t="str">
        <f t="shared" si="12"/>
        <v>08</v>
      </c>
      <c r="B439" t="s">
        <v>306</v>
      </c>
      <c r="C439" s="3" t="str">
        <f>VLOOKUP(Table2[[#This Row],[Tegevusala]],Table4[],2,FALSE)</f>
        <v xml:space="preserve"> Laekvere Raamatukogu</v>
      </c>
      <c r="D439" s="3" t="str">
        <f>VLOOKUP(Table2[[#This Row],[Tegevusala]],Table4[[Tegevusala kood]:[Tegevusala alanimetus]],4,FALSE)</f>
        <v>Raamatukogud</v>
      </c>
      <c r="E439" s="3" t="str">
        <f>VLOOKUP(Table2[[#This Row],[Tegevusala nimetus2]],Table4[[Tegevusala nimetus]:[Tegevusala koondnimetus]],2,FALSE)</f>
        <v>Vabaaeg, kultuur ja religioon</v>
      </c>
      <c r="F439" t="s">
        <v>529</v>
      </c>
      <c r="G439" t="s">
        <v>764</v>
      </c>
      <c r="H439" s="40">
        <v>400</v>
      </c>
      <c r="J439">
        <v>5525</v>
      </c>
      <c r="K439" s="3" t="str">
        <f>VLOOKUP(Table2[[#This Row],[Konto]],Table5[[Konto]:[Konto nimetus]],2,FALSE)</f>
        <v>Kommunikatsiooni-, kultuuri- ja vaba aja sisustamise kulud</v>
      </c>
      <c r="L439">
        <v>55</v>
      </c>
      <c r="M439" t="str">
        <f t="shared" si="13"/>
        <v>55</v>
      </c>
      <c r="N439" s="3" t="str">
        <f>VLOOKUP(Table2[[#This Row],[Tulu/kulu liik2]],Table5[[Tulu/kulu liik]:[Kontode koondnimetus]],4,FALSE)</f>
        <v>Muud tegevuskulud</v>
      </c>
      <c r="O439" s="3" t="str">
        <f>VLOOKUP(Table2[[#This Row],[Tulu/kulu liik2]],Table5[],6,FALSE)</f>
        <v>Majandamiskulud</v>
      </c>
      <c r="P439" s="3" t="str">
        <f>VLOOKUP(Table2[[#This Row],[Tulu/kulu liik2]],Table5[],5,FALSE)</f>
        <v>Põhitegevuse kulu</v>
      </c>
    </row>
    <row r="440" spans="1:16" x14ac:dyDescent="0.25">
      <c r="A440" t="str">
        <f t="shared" si="12"/>
        <v>08</v>
      </c>
      <c r="B440" t="s">
        <v>306</v>
      </c>
      <c r="C440" s="3" t="str">
        <f>VLOOKUP(Table2[[#This Row],[Tegevusala]],Table4[],2,FALSE)</f>
        <v xml:space="preserve"> Laekvere Raamatukogu</v>
      </c>
      <c r="D440" s="3" t="str">
        <f>VLOOKUP(Table2[[#This Row],[Tegevusala]],Table4[[Tegevusala kood]:[Tegevusala alanimetus]],4,FALSE)</f>
        <v>Raamatukogud</v>
      </c>
      <c r="E440" s="3" t="str">
        <f>VLOOKUP(Table2[[#This Row],[Tegevusala nimetus2]],Table4[[Tegevusala nimetus]:[Tegevusala koondnimetus]],2,FALSE)</f>
        <v>Vabaaeg, kultuur ja religioon</v>
      </c>
      <c r="F440" t="s">
        <v>529</v>
      </c>
      <c r="G440" t="s">
        <v>765</v>
      </c>
      <c r="H440" s="40">
        <v>150</v>
      </c>
      <c r="J440">
        <v>5525</v>
      </c>
      <c r="K440" s="3" t="str">
        <f>VLOOKUP(Table2[[#This Row],[Konto]],Table5[[Konto]:[Konto nimetus]],2,FALSE)</f>
        <v>Kommunikatsiooni-, kultuuri- ja vaba aja sisustamise kulud</v>
      </c>
      <c r="L440">
        <v>55</v>
      </c>
      <c r="M440" t="str">
        <f t="shared" si="13"/>
        <v>55</v>
      </c>
      <c r="N440" s="3" t="str">
        <f>VLOOKUP(Table2[[#This Row],[Tulu/kulu liik2]],Table5[[Tulu/kulu liik]:[Kontode koondnimetus]],4,FALSE)</f>
        <v>Muud tegevuskulud</v>
      </c>
      <c r="O440" s="3" t="str">
        <f>VLOOKUP(Table2[[#This Row],[Tulu/kulu liik2]],Table5[],6,FALSE)</f>
        <v>Majandamiskulud</v>
      </c>
      <c r="P440" s="3" t="str">
        <f>VLOOKUP(Table2[[#This Row],[Tulu/kulu liik2]],Table5[],5,FALSE)</f>
        <v>Põhitegevuse kulu</v>
      </c>
    </row>
    <row r="441" spans="1:16" x14ac:dyDescent="0.25">
      <c r="A441" t="str">
        <f t="shared" si="12"/>
        <v>08</v>
      </c>
      <c r="B441" t="s">
        <v>306</v>
      </c>
      <c r="C441" s="3" t="str">
        <f>VLOOKUP(Table2[[#This Row],[Tegevusala]],Table4[],2,FALSE)</f>
        <v xml:space="preserve"> Laekvere Raamatukogu</v>
      </c>
      <c r="D441" s="3" t="str">
        <f>VLOOKUP(Table2[[#This Row],[Tegevusala]],Table4[[Tegevusala kood]:[Tegevusala alanimetus]],4,FALSE)</f>
        <v>Raamatukogud</v>
      </c>
      <c r="E441" s="3" t="str">
        <f>VLOOKUP(Table2[[#This Row],[Tegevusala nimetus2]],Table4[[Tegevusala nimetus]:[Tegevusala koondnimetus]],2,FALSE)</f>
        <v>Vabaaeg, kultuur ja religioon</v>
      </c>
      <c r="F441" t="s">
        <v>529</v>
      </c>
      <c r="G441" t="s">
        <v>766</v>
      </c>
      <c r="H441" s="40">
        <v>150</v>
      </c>
      <c r="J441">
        <v>5525</v>
      </c>
      <c r="K441" s="3" t="str">
        <f>VLOOKUP(Table2[[#This Row],[Konto]],Table5[[Konto]:[Konto nimetus]],2,FALSE)</f>
        <v>Kommunikatsiooni-, kultuuri- ja vaba aja sisustamise kulud</v>
      </c>
      <c r="L441">
        <v>55</v>
      </c>
      <c r="M441" t="str">
        <f t="shared" si="13"/>
        <v>55</v>
      </c>
      <c r="N441" s="3" t="str">
        <f>VLOOKUP(Table2[[#This Row],[Tulu/kulu liik2]],Table5[[Tulu/kulu liik]:[Kontode koondnimetus]],4,FALSE)</f>
        <v>Muud tegevuskulud</v>
      </c>
      <c r="O441" s="3" t="str">
        <f>VLOOKUP(Table2[[#This Row],[Tulu/kulu liik2]],Table5[],6,FALSE)</f>
        <v>Majandamiskulud</v>
      </c>
      <c r="P441" s="3" t="str">
        <f>VLOOKUP(Table2[[#This Row],[Tulu/kulu liik2]],Table5[],5,FALSE)</f>
        <v>Põhitegevuse kulu</v>
      </c>
    </row>
    <row r="442" spans="1:16" x14ac:dyDescent="0.25">
      <c r="A442" t="str">
        <f t="shared" si="12"/>
        <v>08</v>
      </c>
      <c r="B442" t="s">
        <v>306</v>
      </c>
      <c r="C442" s="3" t="str">
        <f>VLOOKUP(Table2[[#This Row],[Tegevusala]],Table4[],2,FALSE)</f>
        <v xml:space="preserve"> Laekvere Raamatukogu</v>
      </c>
      <c r="D442" s="3" t="str">
        <f>VLOOKUP(Table2[[#This Row],[Tegevusala]],Table4[[Tegevusala kood]:[Tegevusala alanimetus]],4,FALSE)</f>
        <v>Raamatukogud</v>
      </c>
      <c r="E442" s="3" t="str">
        <f>VLOOKUP(Table2[[#This Row],[Tegevusala nimetus2]],Table4[[Tegevusala nimetus]:[Tegevusala koondnimetus]],2,FALSE)</f>
        <v>Vabaaeg, kultuur ja religioon</v>
      </c>
      <c r="F442" t="s">
        <v>529</v>
      </c>
      <c r="G442" t="s">
        <v>767</v>
      </c>
      <c r="H442" s="40">
        <v>200</v>
      </c>
      <c r="J442">
        <v>5525</v>
      </c>
      <c r="K442" s="3" t="str">
        <f>VLOOKUP(Table2[[#This Row],[Konto]],Table5[[Konto]:[Konto nimetus]],2,FALSE)</f>
        <v>Kommunikatsiooni-, kultuuri- ja vaba aja sisustamise kulud</v>
      </c>
      <c r="L442">
        <v>55</v>
      </c>
      <c r="M442" t="str">
        <f t="shared" si="13"/>
        <v>55</v>
      </c>
      <c r="N442" s="3" t="str">
        <f>VLOOKUP(Table2[[#This Row],[Tulu/kulu liik2]],Table5[[Tulu/kulu liik]:[Kontode koondnimetus]],4,FALSE)</f>
        <v>Muud tegevuskulud</v>
      </c>
      <c r="O442" s="3" t="str">
        <f>VLOOKUP(Table2[[#This Row],[Tulu/kulu liik2]],Table5[],6,FALSE)</f>
        <v>Majandamiskulud</v>
      </c>
      <c r="P442" s="3" t="str">
        <f>VLOOKUP(Table2[[#This Row],[Tulu/kulu liik2]],Table5[],5,FALSE)</f>
        <v>Põhitegevuse kulu</v>
      </c>
    </row>
    <row r="443" spans="1:16" x14ac:dyDescent="0.25">
      <c r="A443" t="str">
        <f t="shared" si="12"/>
        <v>08</v>
      </c>
      <c r="B443" t="s">
        <v>306</v>
      </c>
      <c r="C443" s="3" t="str">
        <f>VLOOKUP(Table2[[#This Row],[Tegevusala]],Table4[],2,FALSE)</f>
        <v xml:space="preserve"> Laekvere Raamatukogu</v>
      </c>
      <c r="D443" s="3" t="str">
        <f>VLOOKUP(Table2[[#This Row],[Tegevusala]],Table4[[Tegevusala kood]:[Tegevusala alanimetus]],4,FALSE)</f>
        <v>Raamatukogud</v>
      </c>
      <c r="E443" s="3" t="str">
        <f>VLOOKUP(Table2[[#This Row],[Tegevusala nimetus2]],Table4[[Tegevusala nimetus]:[Tegevusala koondnimetus]],2,FALSE)</f>
        <v>Vabaaeg, kultuur ja religioon</v>
      </c>
      <c r="F443" t="s">
        <v>529</v>
      </c>
      <c r="G443" t="s">
        <v>753</v>
      </c>
      <c r="H443" s="40">
        <v>250</v>
      </c>
      <c r="J443">
        <v>5511</v>
      </c>
      <c r="K443" s="3" t="str">
        <f>VLOOKUP(Table2[[#This Row],[Konto]],Table5[[Konto]:[Konto nimetus]],2,FALSE)</f>
        <v>Kinnistute, hoonete ja ruumide majandamiskulud</v>
      </c>
      <c r="L443">
        <v>55</v>
      </c>
      <c r="M443" t="str">
        <f t="shared" si="13"/>
        <v>55</v>
      </c>
      <c r="N443" s="3" t="str">
        <f>VLOOKUP(Table2[[#This Row],[Tulu/kulu liik2]],Table5[[Tulu/kulu liik]:[Kontode koondnimetus]],4,FALSE)</f>
        <v>Muud tegevuskulud</v>
      </c>
      <c r="O443" s="3" t="str">
        <f>VLOOKUP(Table2[[#This Row],[Tulu/kulu liik2]],Table5[],6,FALSE)</f>
        <v>Majandamiskulud</v>
      </c>
      <c r="P443" s="3" t="str">
        <f>VLOOKUP(Table2[[#This Row],[Tulu/kulu liik2]],Table5[],5,FALSE)</f>
        <v>Põhitegevuse kulu</v>
      </c>
    </row>
    <row r="444" spans="1:16" x14ac:dyDescent="0.25">
      <c r="A444" t="str">
        <f t="shared" si="12"/>
        <v>08</v>
      </c>
      <c r="B444" t="s">
        <v>306</v>
      </c>
      <c r="C444" s="3" t="str">
        <f>VLOOKUP(Table2[[#This Row],[Tegevusala]],Table4[],2,FALSE)</f>
        <v xml:space="preserve"> Laekvere Raamatukogu</v>
      </c>
      <c r="D444" s="3" t="str">
        <f>VLOOKUP(Table2[[#This Row],[Tegevusala]],Table4[[Tegevusala kood]:[Tegevusala alanimetus]],4,FALSE)</f>
        <v>Raamatukogud</v>
      </c>
      <c r="E444" s="3" t="str">
        <f>VLOOKUP(Table2[[#This Row],[Tegevusala nimetus2]],Table4[[Tegevusala nimetus]:[Tegevusala koondnimetus]],2,FALSE)</f>
        <v>Vabaaeg, kultuur ja religioon</v>
      </c>
      <c r="F444" t="s">
        <v>529</v>
      </c>
      <c r="G444" t="s">
        <v>756</v>
      </c>
      <c r="H444" s="40">
        <v>250</v>
      </c>
      <c r="J444">
        <v>5514</v>
      </c>
      <c r="K444" s="3" t="str">
        <f>VLOOKUP(Table2[[#This Row],[Konto]],Table5[[Konto]:[Konto nimetus]],2,FALSE)</f>
        <v>Info- ja kommunikatsioonitehnoliigised kulud</v>
      </c>
      <c r="L444">
        <v>55</v>
      </c>
      <c r="M444" t="str">
        <f t="shared" si="13"/>
        <v>55</v>
      </c>
      <c r="N444" s="3" t="str">
        <f>VLOOKUP(Table2[[#This Row],[Tulu/kulu liik2]],Table5[[Tulu/kulu liik]:[Kontode koondnimetus]],4,FALSE)</f>
        <v>Muud tegevuskulud</v>
      </c>
      <c r="O444" s="3" t="str">
        <f>VLOOKUP(Table2[[#This Row],[Tulu/kulu liik2]],Table5[],6,FALSE)</f>
        <v>Majandamiskulud</v>
      </c>
      <c r="P444" s="3" t="str">
        <f>VLOOKUP(Table2[[#This Row],[Tulu/kulu liik2]],Table5[],5,FALSE)</f>
        <v>Põhitegevuse kulu</v>
      </c>
    </row>
    <row r="445" spans="1:16" x14ac:dyDescent="0.25">
      <c r="A445" t="str">
        <f t="shared" si="12"/>
        <v>08</v>
      </c>
      <c r="B445" t="s">
        <v>306</v>
      </c>
      <c r="C445" s="3" t="str">
        <f>VLOOKUP(Table2[[#This Row],[Tegevusala]],Table4[],2,FALSE)</f>
        <v xml:space="preserve"> Laekvere Raamatukogu</v>
      </c>
      <c r="D445" s="3" t="str">
        <f>VLOOKUP(Table2[[#This Row],[Tegevusala]],Table4[[Tegevusala kood]:[Tegevusala alanimetus]],4,FALSE)</f>
        <v>Raamatukogud</v>
      </c>
      <c r="E445" s="3" t="str">
        <f>VLOOKUP(Table2[[#This Row],[Tegevusala nimetus2]],Table4[[Tegevusala nimetus]:[Tegevusala koondnimetus]],2,FALSE)</f>
        <v>Vabaaeg, kultuur ja religioon</v>
      </c>
      <c r="F445" t="s">
        <v>529</v>
      </c>
      <c r="G445" t="s">
        <v>757</v>
      </c>
      <c r="H445" s="40">
        <v>1050</v>
      </c>
      <c r="J445">
        <v>5514</v>
      </c>
      <c r="K445" s="3" t="str">
        <f>VLOOKUP(Table2[[#This Row],[Konto]],Table5[[Konto]:[Konto nimetus]],2,FALSE)</f>
        <v>Info- ja kommunikatsioonitehnoliigised kulud</v>
      </c>
      <c r="L445">
        <v>55</v>
      </c>
      <c r="M445" t="str">
        <f t="shared" si="13"/>
        <v>55</v>
      </c>
      <c r="N445" s="3" t="str">
        <f>VLOOKUP(Table2[[#This Row],[Tulu/kulu liik2]],Table5[[Tulu/kulu liik]:[Kontode koondnimetus]],4,FALSE)</f>
        <v>Muud tegevuskulud</v>
      </c>
      <c r="O445" s="3" t="str">
        <f>VLOOKUP(Table2[[#This Row],[Tulu/kulu liik2]],Table5[],6,FALSE)</f>
        <v>Majandamiskulud</v>
      </c>
      <c r="P445" s="3" t="str">
        <f>VLOOKUP(Table2[[#This Row],[Tulu/kulu liik2]],Table5[],5,FALSE)</f>
        <v>Põhitegevuse kulu</v>
      </c>
    </row>
    <row r="446" spans="1:16" x14ac:dyDescent="0.25">
      <c r="A446" t="str">
        <f t="shared" si="12"/>
        <v>08</v>
      </c>
      <c r="B446" t="s">
        <v>308</v>
      </c>
      <c r="C446" s="3" t="str">
        <f>VLOOKUP(Table2[[#This Row],[Tegevusala]],Table4[],2,FALSE)</f>
        <v xml:space="preserve"> Muuga Raamatukogu</v>
      </c>
      <c r="D446" s="3" t="str">
        <f>VLOOKUP(Table2[[#This Row],[Tegevusala]],Table4[[Tegevusala kood]:[Tegevusala alanimetus]],4,FALSE)</f>
        <v>Raamatukogud</v>
      </c>
      <c r="E446" s="3" t="str">
        <f>VLOOKUP(Table2[[#This Row],[Tegevusala nimetus2]],Table4[[Tegevusala nimetus]:[Tegevusala koondnimetus]],2,FALSE)</f>
        <v>Vabaaeg, kultuur ja religioon</v>
      </c>
      <c r="F446" t="s">
        <v>529</v>
      </c>
      <c r="G446" t="s">
        <v>752</v>
      </c>
      <c r="H446" s="40">
        <v>1700</v>
      </c>
      <c r="J446">
        <v>5500</v>
      </c>
      <c r="K446" s="3" t="str">
        <f>VLOOKUP(Table2[[#This Row],[Konto]],Table5[[Konto]:[Konto nimetus]],2,FALSE)</f>
        <v>Administreerimiskulud</v>
      </c>
      <c r="L446">
        <v>55</v>
      </c>
      <c r="M446" t="str">
        <f t="shared" si="13"/>
        <v>55</v>
      </c>
      <c r="N446" s="3" t="str">
        <f>VLOOKUP(Table2[[#This Row],[Tulu/kulu liik2]],Table5[[Tulu/kulu liik]:[Kontode koondnimetus]],4,FALSE)</f>
        <v>Muud tegevuskulud</v>
      </c>
      <c r="O446" s="3" t="str">
        <f>VLOOKUP(Table2[[#This Row],[Tulu/kulu liik2]],Table5[],6,FALSE)</f>
        <v>Majandamiskulud</v>
      </c>
      <c r="P446" s="3" t="str">
        <f>VLOOKUP(Table2[[#This Row],[Tulu/kulu liik2]],Table5[],5,FALSE)</f>
        <v>Põhitegevuse kulu</v>
      </c>
    </row>
    <row r="447" spans="1:16" x14ac:dyDescent="0.25">
      <c r="A447" t="str">
        <f t="shared" si="12"/>
        <v>08</v>
      </c>
      <c r="B447" t="s">
        <v>308</v>
      </c>
      <c r="C447" s="3" t="str">
        <f>VLOOKUP(Table2[[#This Row],[Tegevusala]],Table4[],2,FALSE)</f>
        <v xml:space="preserve"> Muuga Raamatukogu</v>
      </c>
      <c r="D447" s="3" t="str">
        <f>VLOOKUP(Table2[[#This Row],[Tegevusala]],Table4[[Tegevusala kood]:[Tegevusala alanimetus]],4,FALSE)</f>
        <v>Raamatukogud</v>
      </c>
      <c r="E447" s="3" t="str">
        <f>VLOOKUP(Table2[[#This Row],[Tegevusala nimetus2]],Table4[[Tegevusala nimetus]:[Tegevusala koondnimetus]],2,FALSE)</f>
        <v>Vabaaeg, kultuur ja religioon</v>
      </c>
      <c r="F447" t="s">
        <v>529</v>
      </c>
      <c r="G447" t="s">
        <v>761</v>
      </c>
      <c r="H447" s="40">
        <v>4500</v>
      </c>
      <c r="J447">
        <v>5523</v>
      </c>
      <c r="K447" s="3" t="str">
        <f>VLOOKUP(Table2[[#This Row],[Konto]],Table5[[Konto]:[Konto nimetus]],2,FALSE)</f>
        <v>Teavikud ja kunstiesemed</v>
      </c>
      <c r="L447">
        <v>55</v>
      </c>
      <c r="M447" t="str">
        <f t="shared" si="13"/>
        <v>55</v>
      </c>
      <c r="N447" s="3" t="str">
        <f>VLOOKUP(Table2[[#This Row],[Tulu/kulu liik2]],Table5[[Tulu/kulu liik]:[Kontode koondnimetus]],4,FALSE)</f>
        <v>Muud tegevuskulud</v>
      </c>
      <c r="O447" s="3" t="str">
        <f>VLOOKUP(Table2[[#This Row],[Tulu/kulu liik2]],Table5[],6,FALSE)</f>
        <v>Majandamiskulud</v>
      </c>
      <c r="P447" s="3" t="str">
        <f>VLOOKUP(Table2[[#This Row],[Tulu/kulu liik2]],Table5[],5,FALSE)</f>
        <v>Põhitegevuse kulu</v>
      </c>
    </row>
    <row r="448" spans="1:16" x14ac:dyDescent="0.25">
      <c r="A448" t="str">
        <f t="shared" si="12"/>
        <v>08</v>
      </c>
      <c r="B448" t="s">
        <v>308</v>
      </c>
      <c r="C448" s="3" t="str">
        <f>VLOOKUP(Table2[[#This Row],[Tegevusala]],Table4[],2,FALSE)</f>
        <v xml:space="preserve"> Muuga Raamatukogu</v>
      </c>
      <c r="D448" s="3" t="str">
        <f>VLOOKUP(Table2[[#This Row],[Tegevusala]],Table4[[Tegevusala kood]:[Tegevusala alanimetus]],4,FALSE)</f>
        <v>Raamatukogud</v>
      </c>
      <c r="E448" s="3" t="str">
        <f>VLOOKUP(Table2[[#This Row],[Tegevusala nimetus2]],Table4[[Tegevusala nimetus]:[Tegevusala koondnimetus]],2,FALSE)</f>
        <v>Vabaaeg, kultuur ja religioon</v>
      </c>
      <c r="F448" t="s">
        <v>529</v>
      </c>
      <c r="G448" t="s">
        <v>762</v>
      </c>
      <c r="H448" s="40">
        <v>250</v>
      </c>
      <c r="J448">
        <v>5525</v>
      </c>
      <c r="K448" s="3" t="str">
        <f>VLOOKUP(Table2[[#This Row],[Konto]],Table5[[Konto]:[Konto nimetus]],2,FALSE)</f>
        <v>Kommunikatsiooni-, kultuuri- ja vaba aja sisustamise kulud</v>
      </c>
      <c r="L448">
        <v>55</v>
      </c>
      <c r="M448" t="str">
        <f t="shared" si="13"/>
        <v>55</v>
      </c>
      <c r="N448" s="3" t="str">
        <f>VLOOKUP(Table2[[#This Row],[Tulu/kulu liik2]],Table5[[Tulu/kulu liik]:[Kontode koondnimetus]],4,FALSE)</f>
        <v>Muud tegevuskulud</v>
      </c>
      <c r="O448" s="3" t="str">
        <f>VLOOKUP(Table2[[#This Row],[Tulu/kulu liik2]],Table5[],6,FALSE)</f>
        <v>Majandamiskulud</v>
      </c>
      <c r="P448" s="3" t="str">
        <f>VLOOKUP(Table2[[#This Row],[Tulu/kulu liik2]],Table5[],5,FALSE)</f>
        <v>Põhitegevuse kulu</v>
      </c>
    </row>
    <row r="449" spans="1:16" x14ac:dyDescent="0.25">
      <c r="A449" t="str">
        <f t="shared" si="12"/>
        <v>08</v>
      </c>
      <c r="B449" t="s">
        <v>308</v>
      </c>
      <c r="C449" s="3" t="str">
        <f>VLOOKUP(Table2[[#This Row],[Tegevusala]],Table4[],2,FALSE)</f>
        <v xml:space="preserve"> Muuga Raamatukogu</v>
      </c>
      <c r="D449" s="3" t="str">
        <f>VLOOKUP(Table2[[#This Row],[Tegevusala]],Table4[[Tegevusala kood]:[Tegevusala alanimetus]],4,FALSE)</f>
        <v>Raamatukogud</v>
      </c>
      <c r="E449" s="3" t="str">
        <f>VLOOKUP(Table2[[#This Row],[Tegevusala nimetus2]],Table4[[Tegevusala nimetus]:[Tegevusala koondnimetus]],2,FALSE)</f>
        <v>Vabaaeg, kultuur ja religioon</v>
      </c>
      <c r="F449" t="s">
        <v>529</v>
      </c>
      <c r="G449" t="s">
        <v>763</v>
      </c>
      <c r="H449" s="40">
        <v>250</v>
      </c>
      <c r="J449">
        <v>5525</v>
      </c>
      <c r="K449" s="3" t="str">
        <f>VLOOKUP(Table2[[#This Row],[Konto]],Table5[[Konto]:[Konto nimetus]],2,FALSE)</f>
        <v>Kommunikatsiooni-, kultuuri- ja vaba aja sisustamise kulud</v>
      </c>
      <c r="L449">
        <v>55</v>
      </c>
      <c r="M449" t="str">
        <f t="shared" si="13"/>
        <v>55</v>
      </c>
      <c r="N449" s="3" t="str">
        <f>VLOOKUP(Table2[[#This Row],[Tulu/kulu liik2]],Table5[[Tulu/kulu liik]:[Kontode koondnimetus]],4,FALSE)</f>
        <v>Muud tegevuskulud</v>
      </c>
      <c r="O449" s="3" t="str">
        <f>VLOOKUP(Table2[[#This Row],[Tulu/kulu liik2]],Table5[],6,FALSE)</f>
        <v>Majandamiskulud</v>
      </c>
      <c r="P449" s="3" t="str">
        <f>VLOOKUP(Table2[[#This Row],[Tulu/kulu liik2]],Table5[],5,FALSE)</f>
        <v>Põhitegevuse kulu</v>
      </c>
    </row>
    <row r="450" spans="1:16" x14ac:dyDescent="0.25">
      <c r="A450" t="str">
        <f t="shared" ref="A450:A513" si="14">LEFT(B450,2)</f>
        <v>08</v>
      </c>
      <c r="B450" t="s">
        <v>308</v>
      </c>
      <c r="C450" s="3" t="str">
        <f>VLOOKUP(Table2[[#This Row],[Tegevusala]],Table4[],2,FALSE)</f>
        <v xml:space="preserve"> Muuga Raamatukogu</v>
      </c>
      <c r="D450" s="3" t="str">
        <f>VLOOKUP(Table2[[#This Row],[Tegevusala]],Table4[[Tegevusala kood]:[Tegevusala alanimetus]],4,FALSE)</f>
        <v>Raamatukogud</v>
      </c>
      <c r="E450" s="3" t="str">
        <f>VLOOKUP(Table2[[#This Row],[Tegevusala nimetus2]],Table4[[Tegevusala nimetus]:[Tegevusala koondnimetus]],2,FALSE)</f>
        <v>Vabaaeg, kultuur ja religioon</v>
      </c>
      <c r="F450" t="s">
        <v>529</v>
      </c>
      <c r="G450" t="s">
        <v>765</v>
      </c>
      <c r="H450" s="40">
        <v>150</v>
      </c>
      <c r="J450">
        <v>5525</v>
      </c>
      <c r="K450" s="3" t="str">
        <f>VLOOKUP(Table2[[#This Row],[Konto]],Table5[[Konto]:[Konto nimetus]],2,FALSE)</f>
        <v>Kommunikatsiooni-, kultuuri- ja vaba aja sisustamise kulud</v>
      </c>
      <c r="L450">
        <v>55</v>
      </c>
      <c r="M450" t="str">
        <f t="shared" ref="M450:M513" si="15">LEFT(J450,2)</f>
        <v>55</v>
      </c>
      <c r="N450" s="3" t="str">
        <f>VLOOKUP(Table2[[#This Row],[Tulu/kulu liik2]],Table5[[Tulu/kulu liik]:[Kontode koondnimetus]],4,FALSE)</f>
        <v>Muud tegevuskulud</v>
      </c>
      <c r="O450" s="3" t="str">
        <f>VLOOKUP(Table2[[#This Row],[Tulu/kulu liik2]],Table5[],6,FALSE)</f>
        <v>Majandamiskulud</v>
      </c>
      <c r="P450" s="3" t="str">
        <f>VLOOKUP(Table2[[#This Row],[Tulu/kulu liik2]],Table5[],5,FALSE)</f>
        <v>Põhitegevuse kulu</v>
      </c>
    </row>
    <row r="451" spans="1:16" x14ac:dyDescent="0.25">
      <c r="A451" t="str">
        <f t="shared" si="14"/>
        <v>08</v>
      </c>
      <c r="B451" t="s">
        <v>308</v>
      </c>
      <c r="C451" s="3" t="str">
        <f>VLOOKUP(Table2[[#This Row],[Tegevusala]],Table4[],2,FALSE)</f>
        <v xml:space="preserve"> Muuga Raamatukogu</v>
      </c>
      <c r="D451" s="3" t="str">
        <f>VLOOKUP(Table2[[#This Row],[Tegevusala]],Table4[[Tegevusala kood]:[Tegevusala alanimetus]],4,FALSE)</f>
        <v>Raamatukogud</v>
      </c>
      <c r="E451" s="3" t="str">
        <f>VLOOKUP(Table2[[#This Row],[Tegevusala nimetus2]],Table4[[Tegevusala nimetus]:[Tegevusala koondnimetus]],2,FALSE)</f>
        <v>Vabaaeg, kultuur ja religioon</v>
      </c>
      <c r="F451" t="s">
        <v>529</v>
      </c>
      <c r="G451" t="s">
        <v>753</v>
      </c>
      <c r="H451" s="40">
        <v>250</v>
      </c>
      <c r="J451">
        <v>5511</v>
      </c>
      <c r="K451" s="3" t="str">
        <f>VLOOKUP(Table2[[#This Row],[Konto]],Table5[[Konto]:[Konto nimetus]],2,FALSE)</f>
        <v>Kinnistute, hoonete ja ruumide majandamiskulud</v>
      </c>
      <c r="L451">
        <v>55</v>
      </c>
      <c r="M451" t="str">
        <f t="shared" si="15"/>
        <v>55</v>
      </c>
      <c r="N451" s="3" t="str">
        <f>VLOOKUP(Table2[[#This Row],[Tulu/kulu liik2]],Table5[[Tulu/kulu liik]:[Kontode koondnimetus]],4,FALSE)</f>
        <v>Muud tegevuskulud</v>
      </c>
      <c r="O451" s="3" t="str">
        <f>VLOOKUP(Table2[[#This Row],[Tulu/kulu liik2]],Table5[],6,FALSE)</f>
        <v>Majandamiskulud</v>
      </c>
      <c r="P451" s="3" t="str">
        <f>VLOOKUP(Table2[[#This Row],[Tulu/kulu liik2]],Table5[],5,FALSE)</f>
        <v>Põhitegevuse kulu</v>
      </c>
    </row>
    <row r="452" spans="1:16" x14ac:dyDescent="0.25">
      <c r="A452" t="str">
        <f t="shared" si="14"/>
        <v>08</v>
      </c>
      <c r="B452" t="s">
        <v>308</v>
      </c>
      <c r="C452" s="3" t="str">
        <f>VLOOKUP(Table2[[#This Row],[Tegevusala]],Table4[],2,FALSE)</f>
        <v xml:space="preserve"> Muuga Raamatukogu</v>
      </c>
      <c r="D452" s="3" t="str">
        <f>VLOOKUP(Table2[[#This Row],[Tegevusala]],Table4[[Tegevusala kood]:[Tegevusala alanimetus]],4,FALSE)</f>
        <v>Raamatukogud</v>
      </c>
      <c r="E452" s="3" t="str">
        <f>VLOOKUP(Table2[[#This Row],[Tegevusala nimetus2]],Table4[[Tegevusala nimetus]:[Tegevusala koondnimetus]],2,FALSE)</f>
        <v>Vabaaeg, kultuur ja religioon</v>
      </c>
      <c r="F452" t="s">
        <v>529</v>
      </c>
      <c r="G452" t="s">
        <v>754</v>
      </c>
      <c r="H452" s="40">
        <v>200</v>
      </c>
      <c r="J452">
        <v>5511</v>
      </c>
      <c r="K452" s="3" t="str">
        <f>VLOOKUP(Table2[[#This Row],[Konto]],Table5[[Konto]:[Konto nimetus]],2,FALSE)</f>
        <v>Kinnistute, hoonete ja ruumide majandamiskulud</v>
      </c>
      <c r="L452">
        <v>55</v>
      </c>
      <c r="M452" t="str">
        <f t="shared" si="15"/>
        <v>55</v>
      </c>
      <c r="N452" s="3" t="str">
        <f>VLOOKUP(Table2[[#This Row],[Tulu/kulu liik2]],Table5[[Tulu/kulu liik]:[Kontode koondnimetus]],4,FALSE)</f>
        <v>Muud tegevuskulud</v>
      </c>
      <c r="O452" s="3" t="str">
        <f>VLOOKUP(Table2[[#This Row],[Tulu/kulu liik2]],Table5[],6,FALSE)</f>
        <v>Majandamiskulud</v>
      </c>
      <c r="P452" s="3" t="str">
        <f>VLOOKUP(Table2[[#This Row],[Tulu/kulu liik2]],Table5[],5,FALSE)</f>
        <v>Põhitegevuse kulu</v>
      </c>
    </row>
    <row r="453" spans="1:16" x14ac:dyDescent="0.25">
      <c r="A453" t="str">
        <f t="shared" si="14"/>
        <v>08</v>
      </c>
      <c r="B453" t="s">
        <v>308</v>
      </c>
      <c r="C453" s="3" t="str">
        <f>VLOOKUP(Table2[[#This Row],[Tegevusala]],Table4[],2,FALSE)</f>
        <v xml:space="preserve"> Muuga Raamatukogu</v>
      </c>
      <c r="D453" s="3" t="str">
        <f>VLOOKUP(Table2[[#This Row],[Tegevusala]],Table4[[Tegevusala kood]:[Tegevusala alanimetus]],4,FALSE)</f>
        <v>Raamatukogud</v>
      </c>
      <c r="E453" s="3" t="str">
        <f>VLOOKUP(Table2[[#This Row],[Tegevusala nimetus2]],Table4[[Tegevusala nimetus]:[Tegevusala koondnimetus]],2,FALSE)</f>
        <v>Vabaaeg, kultuur ja religioon</v>
      </c>
      <c r="F453" t="s">
        <v>529</v>
      </c>
      <c r="G453" t="s">
        <v>756</v>
      </c>
      <c r="H453" s="40">
        <v>250</v>
      </c>
      <c r="J453">
        <v>5514</v>
      </c>
      <c r="K453" s="3" t="str">
        <f>VLOOKUP(Table2[[#This Row],[Konto]],Table5[[Konto]:[Konto nimetus]],2,FALSE)</f>
        <v>Info- ja kommunikatsioonitehnoliigised kulud</v>
      </c>
      <c r="L453">
        <v>55</v>
      </c>
      <c r="M453" t="str">
        <f t="shared" si="15"/>
        <v>55</v>
      </c>
      <c r="N453" s="3" t="str">
        <f>VLOOKUP(Table2[[#This Row],[Tulu/kulu liik2]],Table5[[Tulu/kulu liik]:[Kontode koondnimetus]],4,FALSE)</f>
        <v>Muud tegevuskulud</v>
      </c>
      <c r="O453" s="3" t="str">
        <f>VLOOKUP(Table2[[#This Row],[Tulu/kulu liik2]],Table5[],6,FALSE)</f>
        <v>Majandamiskulud</v>
      </c>
      <c r="P453" s="3" t="str">
        <f>VLOOKUP(Table2[[#This Row],[Tulu/kulu liik2]],Table5[],5,FALSE)</f>
        <v>Põhitegevuse kulu</v>
      </c>
    </row>
    <row r="454" spans="1:16" x14ac:dyDescent="0.25">
      <c r="A454" t="str">
        <f t="shared" si="14"/>
        <v>08</v>
      </c>
      <c r="B454" t="s">
        <v>308</v>
      </c>
      <c r="C454" s="3" t="str">
        <f>VLOOKUP(Table2[[#This Row],[Tegevusala]],Table4[],2,FALSE)</f>
        <v xml:space="preserve"> Muuga Raamatukogu</v>
      </c>
      <c r="D454" s="3" t="str">
        <f>VLOOKUP(Table2[[#This Row],[Tegevusala]],Table4[[Tegevusala kood]:[Tegevusala alanimetus]],4,FALSE)</f>
        <v>Raamatukogud</v>
      </c>
      <c r="E454" s="3" t="str">
        <f>VLOOKUP(Table2[[#This Row],[Tegevusala nimetus2]],Table4[[Tegevusala nimetus]:[Tegevusala koondnimetus]],2,FALSE)</f>
        <v>Vabaaeg, kultuur ja religioon</v>
      </c>
      <c r="F454" t="s">
        <v>529</v>
      </c>
      <c r="G454" t="s">
        <v>758</v>
      </c>
      <c r="H454" s="40">
        <v>1200</v>
      </c>
      <c r="J454">
        <v>5514</v>
      </c>
      <c r="K454" s="3" t="str">
        <f>VLOOKUP(Table2[[#This Row],[Konto]],Table5[[Konto]:[Konto nimetus]],2,FALSE)</f>
        <v>Info- ja kommunikatsioonitehnoliigised kulud</v>
      </c>
      <c r="L454">
        <v>55</v>
      </c>
      <c r="M454" t="str">
        <f t="shared" si="15"/>
        <v>55</v>
      </c>
      <c r="N454" s="3" t="str">
        <f>VLOOKUP(Table2[[#This Row],[Tulu/kulu liik2]],Table5[[Tulu/kulu liik]:[Kontode koondnimetus]],4,FALSE)</f>
        <v>Muud tegevuskulud</v>
      </c>
      <c r="O454" s="3" t="str">
        <f>VLOOKUP(Table2[[#This Row],[Tulu/kulu liik2]],Table5[],6,FALSE)</f>
        <v>Majandamiskulud</v>
      </c>
      <c r="P454" s="3" t="str">
        <f>VLOOKUP(Table2[[#This Row],[Tulu/kulu liik2]],Table5[],5,FALSE)</f>
        <v>Põhitegevuse kulu</v>
      </c>
    </row>
    <row r="455" spans="1:16" x14ac:dyDescent="0.25">
      <c r="A455" t="str">
        <f t="shared" si="14"/>
        <v>08</v>
      </c>
      <c r="B455" t="s">
        <v>308</v>
      </c>
      <c r="C455" s="3" t="str">
        <f>VLOOKUP(Table2[[#This Row],[Tegevusala]],Table4[],2,FALSE)</f>
        <v xml:space="preserve"> Muuga Raamatukogu</v>
      </c>
      <c r="D455" s="3" t="str">
        <f>VLOOKUP(Table2[[#This Row],[Tegevusala]],Table4[[Tegevusala kood]:[Tegevusala alanimetus]],4,FALSE)</f>
        <v>Raamatukogud</v>
      </c>
      <c r="E455" s="3" t="str">
        <f>VLOOKUP(Table2[[#This Row],[Tegevusala nimetus2]],Table4[[Tegevusala nimetus]:[Tegevusala koondnimetus]],2,FALSE)</f>
        <v>Vabaaeg, kultuur ja religioon</v>
      </c>
      <c r="F455" t="s">
        <v>529</v>
      </c>
      <c r="G455" t="s">
        <v>751</v>
      </c>
      <c r="H455" s="40">
        <v>500</v>
      </c>
      <c r="J455">
        <v>5500</v>
      </c>
      <c r="K455" s="3" t="str">
        <f>VLOOKUP(Table2[[#This Row],[Konto]],Table5[[Konto]:[Konto nimetus]],2,FALSE)</f>
        <v>Administreerimiskulud</v>
      </c>
      <c r="L455">
        <v>55</v>
      </c>
      <c r="M455" t="str">
        <f t="shared" si="15"/>
        <v>55</v>
      </c>
      <c r="N455" s="3" t="str">
        <f>VLOOKUP(Table2[[#This Row],[Tulu/kulu liik2]],Table5[[Tulu/kulu liik]:[Kontode koondnimetus]],4,FALSE)</f>
        <v>Muud tegevuskulud</v>
      </c>
      <c r="O455" s="34" t="str">
        <f>VLOOKUP(Table2[[#This Row],[Tulu/kulu liik2]],Table5[],6,FALSE)</f>
        <v>Majandamiskulud</v>
      </c>
      <c r="P455" s="3" t="str">
        <f>VLOOKUP(Table2[[#This Row],[Tulu/kulu liik2]],Table5[],5,FALSE)</f>
        <v>Põhitegevuse kulu</v>
      </c>
    </row>
    <row r="456" spans="1:16" x14ac:dyDescent="0.25">
      <c r="A456" t="str">
        <f t="shared" si="14"/>
        <v>08</v>
      </c>
      <c r="B456" t="s">
        <v>310</v>
      </c>
      <c r="C456" s="3" t="str">
        <f>VLOOKUP(Table2[[#This Row],[Tegevusala]],Table4[],2,FALSE)</f>
        <v xml:space="preserve"> Venevere Raamatukogu</v>
      </c>
      <c r="D456" s="3" t="str">
        <f>VLOOKUP(Table2[[#This Row],[Tegevusala]],Table4[[Tegevusala kood]:[Tegevusala alanimetus]],4,FALSE)</f>
        <v>Raamatukogud</v>
      </c>
      <c r="E456" s="3" t="str">
        <f>VLOOKUP(Table2[[#This Row],[Tegevusala nimetus2]],Table4[[Tegevusala nimetus]:[Tegevusala koondnimetus]],2,FALSE)</f>
        <v>Vabaaeg, kultuur ja religioon</v>
      </c>
      <c r="F456" t="s">
        <v>529</v>
      </c>
      <c r="G456" t="s">
        <v>752</v>
      </c>
      <c r="H456" s="40">
        <v>1300</v>
      </c>
      <c r="J456">
        <v>5500</v>
      </c>
      <c r="K456" s="3" t="str">
        <f>VLOOKUP(Table2[[#This Row],[Konto]],Table5[[Konto]:[Konto nimetus]],2,FALSE)</f>
        <v>Administreerimiskulud</v>
      </c>
      <c r="L456">
        <v>55</v>
      </c>
      <c r="M456" t="str">
        <f t="shared" si="15"/>
        <v>55</v>
      </c>
      <c r="N456" s="3" t="str">
        <f>VLOOKUP(Table2[[#This Row],[Tulu/kulu liik2]],Table5[[Tulu/kulu liik]:[Kontode koondnimetus]],4,FALSE)</f>
        <v>Muud tegevuskulud</v>
      </c>
      <c r="O456" s="3" t="str">
        <f>VLOOKUP(Table2[[#This Row],[Tulu/kulu liik2]],Table5[],6,FALSE)</f>
        <v>Majandamiskulud</v>
      </c>
      <c r="P456" s="3" t="str">
        <f>VLOOKUP(Table2[[#This Row],[Tulu/kulu liik2]],Table5[],5,FALSE)</f>
        <v>Põhitegevuse kulu</v>
      </c>
    </row>
    <row r="457" spans="1:16" x14ac:dyDescent="0.25">
      <c r="A457" t="str">
        <f t="shared" si="14"/>
        <v>08</v>
      </c>
      <c r="B457" t="s">
        <v>310</v>
      </c>
      <c r="C457" s="3" t="str">
        <f>VLOOKUP(Table2[[#This Row],[Tegevusala]],Table4[],2,FALSE)</f>
        <v xml:space="preserve"> Venevere Raamatukogu</v>
      </c>
      <c r="D457" s="3" t="str">
        <f>VLOOKUP(Table2[[#This Row],[Tegevusala]],Table4[[Tegevusala kood]:[Tegevusala alanimetus]],4,FALSE)</f>
        <v>Raamatukogud</v>
      </c>
      <c r="E457" s="3" t="str">
        <f>VLOOKUP(Table2[[#This Row],[Tegevusala nimetus2]],Table4[[Tegevusala nimetus]:[Tegevusala koondnimetus]],2,FALSE)</f>
        <v>Vabaaeg, kultuur ja religioon</v>
      </c>
      <c r="F457" t="s">
        <v>529</v>
      </c>
      <c r="G457" t="s">
        <v>761</v>
      </c>
      <c r="H457" s="40">
        <v>2500</v>
      </c>
      <c r="J457">
        <v>5523</v>
      </c>
      <c r="K457" s="3" t="str">
        <f>VLOOKUP(Table2[[#This Row],[Konto]],Table5[[Konto]:[Konto nimetus]],2,FALSE)</f>
        <v>Teavikud ja kunstiesemed</v>
      </c>
      <c r="L457">
        <v>55</v>
      </c>
      <c r="M457" t="str">
        <f t="shared" si="15"/>
        <v>55</v>
      </c>
      <c r="N457" s="3" t="str">
        <f>VLOOKUP(Table2[[#This Row],[Tulu/kulu liik2]],Table5[[Tulu/kulu liik]:[Kontode koondnimetus]],4,FALSE)</f>
        <v>Muud tegevuskulud</v>
      </c>
      <c r="O457" s="3" t="str">
        <f>VLOOKUP(Table2[[#This Row],[Tulu/kulu liik2]],Table5[],6,FALSE)</f>
        <v>Majandamiskulud</v>
      </c>
      <c r="P457" s="3" t="str">
        <f>VLOOKUP(Table2[[#This Row],[Tulu/kulu liik2]],Table5[],5,FALSE)</f>
        <v>Põhitegevuse kulu</v>
      </c>
    </row>
    <row r="458" spans="1:16" x14ac:dyDescent="0.25">
      <c r="A458" t="str">
        <f t="shared" si="14"/>
        <v>08</v>
      </c>
      <c r="B458" t="s">
        <v>310</v>
      </c>
      <c r="C458" s="3" t="str">
        <f>VLOOKUP(Table2[[#This Row],[Tegevusala]],Table4[],2,FALSE)</f>
        <v xml:space="preserve"> Venevere Raamatukogu</v>
      </c>
      <c r="D458" s="3" t="str">
        <f>VLOOKUP(Table2[[#This Row],[Tegevusala]],Table4[[Tegevusala kood]:[Tegevusala alanimetus]],4,FALSE)</f>
        <v>Raamatukogud</v>
      </c>
      <c r="E458" s="3" t="str">
        <f>VLOOKUP(Table2[[#This Row],[Tegevusala nimetus2]],Table4[[Tegevusala nimetus]:[Tegevusala koondnimetus]],2,FALSE)</f>
        <v>Vabaaeg, kultuur ja religioon</v>
      </c>
      <c r="F458" t="s">
        <v>529</v>
      </c>
      <c r="G458" t="s">
        <v>765</v>
      </c>
      <c r="H458" s="40">
        <v>200</v>
      </c>
      <c r="J458">
        <v>5525</v>
      </c>
      <c r="K458" s="3" t="str">
        <f>VLOOKUP(Table2[[#This Row],[Konto]],Table5[[Konto]:[Konto nimetus]],2,FALSE)</f>
        <v>Kommunikatsiooni-, kultuuri- ja vaba aja sisustamise kulud</v>
      </c>
      <c r="L458">
        <v>55</v>
      </c>
      <c r="M458" t="str">
        <f t="shared" si="15"/>
        <v>55</v>
      </c>
      <c r="N458" s="3" t="str">
        <f>VLOOKUP(Table2[[#This Row],[Tulu/kulu liik2]],Table5[[Tulu/kulu liik]:[Kontode koondnimetus]],4,FALSE)</f>
        <v>Muud tegevuskulud</v>
      </c>
      <c r="O458" s="3" t="str">
        <f>VLOOKUP(Table2[[#This Row],[Tulu/kulu liik2]],Table5[],6,FALSE)</f>
        <v>Majandamiskulud</v>
      </c>
      <c r="P458" s="3" t="str">
        <f>VLOOKUP(Table2[[#This Row],[Tulu/kulu liik2]],Table5[],5,FALSE)</f>
        <v>Põhitegevuse kulu</v>
      </c>
    </row>
    <row r="459" spans="1:16" x14ac:dyDescent="0.25">
      <c r="A459" t="str">
        <f t="shared" si="14"/>
        <v>08</v>
      </c>
      <c r="B459" t="s">
        <v>310</v>
      </c>
      <c r="C459" s="3" t="str">
        <f>VLOOKUP(Table2[[#This Row],[Tegevusala]],Table4[],2,FALSE)</f>
        <v xml:space="preserve"> Venevere Raamatukogu</v>
      </c>
      <c r="D459" s="3" t="str">
        <f>VLOOKUP(Table2[[#This Row],[Tegevusala]],Table4[[Tegevusala kood]:[Tegevusala alanimetus]],4,FALSE)</f>
        <v>Raamatukogud</v>
      </c>
      <c r="E459" s="3" t="str">
        <f>VLOOKUP(Table2[[#This Row],[Tegevusala nimetus2]],Table4[[Tegevusala nimetus]:[Tegevusala koondnimetus]],2,FALSE)</f>
        <v>Vabaaeg, kultuur ja religioon</v>
      </c>
      <c r="F459" t="s">
        <v>529</v>
      </c>
      <c r="G459" t="s">
        <v>753</v>
      </c>
      <c r="H459" s="40">
        <v>100</v>
      </c>
      <c r="J459">
        <v>5511</v>
      </c>
      <c r="K459" s="3" t="str">
        <f>VLOOKUP(Table2[[#This Row],[Konto]],Table5[[Konto]:[Konto nimetus]],2,FALSE)</f>
        <v>Kinnistute, hoonete ja ruumide majandamiskulud</v>
      </c>
      <c r="L459">
        <v>55</v>
      </c>
      <c r="M459" t="str">
        <f t="shared" si="15"/>
        <v>55</v>
      </c>
      <c r="N459" s="3" t="str">
        <f>VLOOKUP(Table2[[#This Row],[Tulu/kulu liik2]],Table5[[Tulu/kulu liik]:[Kontode koondnimetus]],4,FALSE)</f>
        <v>Muud tegevuskulud</v>
      </c>
      <c r="O459" s="3" t="str">
        <f>VLOOKUP(Table2[[#This Row],[Tulu/kulu liik2]],Table5[],6,FALSE)</f>
        <v>Majandamiskulud</v>
      </c>
      <c r="P459" s="3" t="str">
        <f>VLOOKUP(Table2[[#This Row],[Tulu/kulu liik2]],Table5[],5,FALSE)</f>
        <v>Põhitegevuse kulu</v>
      </c>
    </row>
    <row r="460" spans="1:16" x14ac:dyDescent="0.25">
      <c r="A460" t="str">
        <f t="shared" si="14"/>
        <v>08</v>
      </c>
      <c r="B460" t="s">
        <v>310</v>
      </c>
      <c r="C460" s="3" t="str">
        <f>VLOOKUP(Table2[[#This Row],[Tegevusala]],Table4[],2,FALSE)</f>
        <v xml:space="preserve"> Venevere Raamatukogu</v>
      </c>
      <c r="D460" s="3" t="str">
        <f>VLOOKUP(Table2[[#This Row],[Tegevusala]],Table4[[Tegevusala kood]:[Tegevusala alanimetus]],4,FALSE)</f>
        <v>Raamatukogud</v>
      </c>
      <c r="E460" s="3" t="str">
        <f>VLOOKUP(Table2[[#This Row],[Tegevusala nimetus2]],Table4[[Tegevusala nimetus]:[Tegevusala koondnimetus]],2,FALSE)</f>
        <v>Vabaaeg, kultuur ja religioon</v>
      </c>
      <c r="F460" t="s">
        <v>529</v>
      </c>
      <c r="G460" t="s">
        <v>754</v>
      </c>
      <c r="H460" s="40">
        <v>200</v>
      </c>
      <c r="J460">
        <v>5511</v>
      </c>
      <c r="K460" s="3" t="str">
        <f>VLOOKUP(Table2[[#This Row],[Konto]],Table5[[Konto]:[Konto nimetus]],2,FALSE)</f>
        <v>Kinnistute, hoonete ja ruumide majandamiskulud</v>
      </c>
      <c r="L460">
        <v>55</v>
      </c>
      <c r="M460" t="str">
        <f t="shared" si="15"/>
        <v>55</v>
      </c>
      <c r="N460" s="3" t="str">
        <f>VLOOKUP(Table2[[#This Row],[Tulu/kulu liik2]],Table5[[Tulu/kulu liik]:[Kontode koondnimetus]],4,FALSE)</f>
        <v>Muud tegevuskulud</v>
      </c>
      <c r="O460" s="3" t="str">
        <f>VLOOKUP(Table2[[#This Row],[Tulu/kulu liik2]],Table5[],6,FALSE)</f>
        <v>Majandamiskulud</v>
      </c>
      <c r="P460" s="3" t="str">
        <f>VLOOKUP(Table2[[#This Row],[Tulu/kulu liik2]],Table5[],5,FALSE)</f>
        <v>Põhitegevuse kulu</v>
      </c>
    </row>
    <row r="461" spans="1:16" x14ac:dyDescent="0.25">
      <c r="A461" t="str">
        <f t="shared" si="14"/>
        <v>08</v>
      </c>
      <c r="B461" t="s">
        <v>310</v>
      </c>
      <c r="C461" s="3" t="str">
        <f>VLOOKUP(Table2[[#This Row],[Tegevusala]],Table4[],2,FALSE)</f>
        <v xml:space="preserve"> Venevere Raamatukogu</v>
      </c>
      <c r="D461" s="3" t="str">
        <f>VLOOKUP(Table2[[#This Row],[Tegevusala]],Table4[[Tegevusala kood]:[Tegevusala alanimetus]],4,FALSE)</f>
        <v>Raamatukogud</v>
      </c>
      <c r="E461" s="3" t="str">
        <f>VLOOKUP(Table2[[#This Row],[Tegevusala nimetus2]],Table4[[Tegevusala nimetus]:[Tegevusala koondnimetus]],2,FALSE)</f>
        <v>Vabaaeg, kultuur ja religioon</v>
      </c>
      <c r="F461" t="s">
        <v>529</v>
      </c>
      <c r="G461" t="s">
        <v>756</v>
      </c>
      <c r="H461" s="40">
        <v>250</v>
      </c>
      <c r="J461">
        <v>5514</v>
      </c>
      <c r="K461" s="3" t="str">
        <f>VLOOKUP(Table2[[#This Row],[Konto]],Table5[[Konto]:[Konto nimetus]],2,FALSE)</f>
        <v>Info- ja kommunikatsioonitehnoliigised kulud</v>
      </c>
      <c r="L461">
        <v>55</v>
      </c>
      <c r="M461" t="str">
        <f t="shared" si="15"/>
        <v>55</v>
      </c>
      <c r="N461" s="3" t="str">
        <f>VLOOKUP(Table2[[#This Row],[Tulu/kulu liik2]],Table5[[Tulu/kulu liik]:[Kontode koondnimetus]],4,FALSE)</f>
        <v>Muud tegevuskulud</v>
      </c>
      <c r="O461" s="3" t="str">
        <f>VLOOKUP(Table2[[#This Row],[Tulu/kulu liik2]],Table5[],6,FALSE)</f>
        <v>Majandamiskulud</v>
      </c>
      <c r="P461" s="3" t="str">
        <f>VLOOKUP(Table2[[#This Row],[Tulu/kulu liik2]],Table5[],5,FALSE)</f>
        <v>Põhitegevuse kulu</v>
      </c>
    </row>
    <row r="462" spans="1:16" x14ac:dyDescent="0.25">
      <c r="A462" t="str">
        <f t="shared" si="14"/>
        <v>08</v>
      </c>
      <c r="B462" t="s">
        <v>310</v>
      </c>
      <c r="C462" s="3" t="str">
        <f>VLOOKUP(Table2[[#This Row],[Tegevusala]],Table4[],2,FALSE)</f>
        <v xml:space="preserve"> Venevere Raamatukogu</v>
      </c>
      <c r="D462" s="3" t="str">
        <f>VLOOKUP(Table2[[#This Row],[Tegevusala]],Table4[[Tegevusala kood]:[Tegevusala alanimetus]],4,FALSE)</f>
        <v>Raamatukogud</v>
      </c>
      <c r="E462" s="3" t="str">
        <f>VLOOKUP(Table2[[#This Row],[Tegevusala nimetus2]],Table4[[Tegevusala nimetus]:[Tegevusala koondnimetus]],2,FALSE)</f>
        <v>Vabaaeg, kultuur ja religioon</v>
      </c>
      <c r="F462" t="s">
        <v>529</v>
      </c>
      <c r="G462" t="s">
        <v>751</v>
      </c>
      <c r="H462" s="40">
        <v>300</v>
      </c>
      <c r="J462">
        <v>5500</v>
      </c>
      <c r="K462" s="3" t="str">
        <f>VLOOKUP(Table2[[#This Row],[Konto]],Table5[[Konto]:[Konto nimetus]],2,FALSE)</f>
        <v>Administreerimiskulud</v>
      </c>
      <c r="L462">
        <v>55</v>
      </c>
      <c r="M462" t="str">
        <f t="shared" si="15"/>
        <v>55</v>
      </c>
      <c r="N462" s="3" t="str">
        <f>VLOOKUP(Table2[[#This Row],[Tulu/kulu liik2]],Table5[[Tulu/kulu liik]:[Kontode koondnimetus]],4,FALSE)</f>
        <v>Muud tegevuskulud</v>
      </c>
      <c r="O462" s="34" t="str">
        <f>VLOOKUP(Table2[[#This Row],[Tulu/kulu liik2]],Table5[],6,FALSE)</f>
        <v>Majandamiskulud</v>
      </c>
      <c r="P462" s="3" t="str">
        <f>VLOOKUP(Table2[[#This Row],[Tulu/kulu liik2]],Table5[],5,FALSE)</f>
        <v>Põhitegevuse kulu</v>
      </c>
    </row>
    <row r="463" spans="1:16" x14ac:dyDescent="0.25">
      <c r="A463" t="str">
        <f t="shared" si="14"/>
        <v>08</v>
      </c>
      <c r="B463" t="s">
        <v>312</v>
      </c>
      <c r="C463" s="3" t="str">
        <f>VLOOKUP(Table2[[#This Row],[Tegevusala]],Table4[],2,FALSE)</f>
        <v xml:space="preserve"> Kadila Seltsimaja</v>
      </c>
      <c r="D463" s="3" t="str">
        <f>VLOOKUP(Table2[[#This Row],[Tegevusala]],Table4[[Tegevusala kood]:[Tegevusala alanimetus]],4,FALSE)</f>
        <v>Rahvakultuur</v>
      </c>
      <c r="E463" s="3" t="str">
        <f>VLOOKUP(Table2[[#This Row],[Tegevusala nimetus2]],Table4[[Tegevusala nimetus]:[Tegevusala koondnimetus]],2,FALSE)</f>
        <v>Vabaaeg, kultuur ja religioon</v>
      </c>
      <c r="F463" t="s">
        <v>1839</v>
      </c>
      <c r="G463" t="s">
        <v>943</v>
      </c>
      <c r="H463" s="40">
        <v>1500</v>
      </c>
      <c r="J463">
        <v>5511</v>
      </c>
      <c r="K463" s="3" t="str">
        <f>VLOOKUP(Table2[[#This Row],[Konto]],Table5[[Konto]:[Konto nimetus]],2,FALSE)</f>
        <v>Kinnistute, hoonete ja ruumide majandamiskulud</v>
      </c>
      <c r="L463">
        <v>55</v>
      </c>
      <c r="M463" t="str">
        <f t="shared" si="15"/>
        <v>55</v>
      </c>
      <c r="N463" s="3" t="str">
        <f>VLOOKUP(Table2[[#This Row],[Tulu/kulu liik2]],Table5[[Tulu/kulu liik]:[Kontode koondnimetus]],4,FALSE)</f>
        <v>Muud tegevuskulud</v>
      </c>
      <c r="O463" s="3" t="str">
        <f>VLOOKUP(Table2[[#This Row],[Tulu/kulu liik2]],Table5[],6,FALSE)</f>
        <v>Majandamiskulud</v>
      </c>
      <c r="P463" s="3" t="str">
        <f>VLOOKUP(Table2[[#This Row],[Tulu/kulu liik2]],Table5[],5,FALSE)</f>
        <v>Põhitegevuse kulu</v>
      </c>
    </row>
    <row r="464" spans="1:16" x14ac:dyDescent="0.25">
      <c r="A464" t="str">
        <f t="shared" si="14"/>
        <v>08</v>
      </c>
      <c r="B464" t="s">
        <v>312</v>
      </c>
      <c r="C464" s="3" t="str">
        <f>VLOOKUP(Table2[[#This Row],[Tegevusala]],Table4[],2,FALSE)</f>
        <v xml:space="preserve"> Kadila Seltsimaja</v>
      </c>
      <c r="D464" s="3" t="str">
        <f>VLOOKUP(Table2[[#This Row],[Tegevusala]],Table4[[Tegevusala kood]:[Tegevusala alanimetus]],4,FALSE)</f>
        <v>Rahvakultuur</v>
      </c>
      <c r="E464" s="3" t="str">
        <f>VLOOKUP(Table2[[#This Row],[Tegevusala nimetus2]],Table4[[Tegevusala nimetus]:[Tegevusala koondnimetus]],2,FALSE)</f>
        <v>Vabaaeg, kultuur ja religioon</v>
      </c>
      <c r="F464" t="s">
        <v>1839</v>
      </c>
      <c r="G464" t="s">
        <v>1840</v>
      </c>
      <c r="H464" s="40">
        <v>170</v>
      </c>
      <c r="J464">
        <v>5511</v>
      </c>
      <c r="K464" s="3" t="str">
        <f>VLOOKUP(Table2[[#This Row],[Konto]],Table5[[Konto]:[Konto nimetus]],2,FALSE)</f>
        <v>Kinnistute, hoonete ja ruumide majandamiskulud</v>
      </c>
      <c r="L464">
        <v>55</v>
      </c>
      <c r="M464" t="str">
        <f t="shared" si="15"/>
        <v>55</v>
      </c>
      <c r="N464" s="3" t="str">
        <f>VLOOKUP(Table2[[#This Row],[Tulu/kulu liik2]],Table5[[Tulu/kulu liik]:[Kontode koondnimetus]],4,FALSE)</f>
        <v>Muud tegevuskulud</v>
      </c>
      <c r="O464" s="3" t="str">
        <f>VLOOKUP(Table2[[#This Row],[Tulu/kulu liik2]],Table5[],6,FALSE)</f>
        <v>Majandamiskulud</v>
      </c>
      <c r="P464" s="3" t="str">
        <f>VLOOKUP(Table2[[#This Row],[Tulu/kulu liik2]],Table5[],5,FALSE)</f>
        <v>Põhitegevuse kulu</v>
      </c>
    </row>
    <row r="465" spans="1:16" x14ac:dyDescent="0.25">
      <c r="A465" t="str">
        <f t="shared" si="14"/>
        <v>08</v>
      </c>
      <c r="B465" t="s">
        <v>312</v>
      </c>
      <c r="C465" s="3" t="str">
        <f>VLOOKUP(Table2[[#This Row],[Tegevusala]],Table4[],2,FALSE)</f>
        <v xml:space="preserve"> Kadila Seltsimaja</v>
      </c>
      <c r="D465" s="3" t="str">
        <f>VLOOKUP(Table2[[#This Row],[Tegevusala]],Table4[[Tegevusala kood]:[Tegevusala alanimetus]],4,FALSE)</f>
        <v>Rahvakultuur</v>
      </c>
      <c r="E465" s="3" t="str">
        <f>VLOOKUP(Table2[[#This Row],[Tegevusala nimetus2]],Table4[[Tegevusala nimetus]:[Tegevusala koondnimetus]],2,FALSE)</f>
        <v>Vabaaeg, kultuur ja religioon</v>
      </c>
      <c r="F465" t="s">
        <v>1839</v>
      </c>
      <c r="G465" t="s">
        <v>971</v>
      </c>
      <c r="H465" s="40">
        <v>85</v>
      </c>
      <c r="J465">
        <v>5511</v>
      </c>
      <c r="K465" s="3" t="str">
        <f>VLOOKUP(Table2[[#This Row],[Konto]],Table5[[Konto]:[Konto nimetus]],2,FALSE)</f>
        <v>Kinnistute, hoonete ja ruumide majandamiskulud</v>
      </c>
      <c r="L465">
        <v>55</v>
      </c>
      <c r="M465" t="str">
        <f t="shared" si="15"/>
        <v>55</v>
      </c>
      <c r="N465" s="3" t="str">
        <f>VLOOKUP(Table2[[#This Row],[Tulu/kulu liik2]],Table5[[Tulu/kulu liik]:[Kontode koondnimetus]],4,FALSE)</f>
        <v>Muud tegevuskulud</v>
      </c>
      <c r="O465" s="3" t="str">
        <f>VLOOKUP(Table2[[#This Row],[Tulu/kulu liik2]],Table5[],6,FALSE)</f>
        <v>Majandamiskulud</v>
      </c>
      <c r="P465" s="3" t="str">
        <f>VLOOKUP(Table2[[#This Row],[Tulu/kulu liik2]],Table5[],5,FALSE)</f>
        <v>Põhitegevuse kulu</v>
      </c>
    </row>
    <row r="466" spans="1:16" x14ac:dyDescent="0.25">
      <c r="A466" t="str">
        <f t="shared" si="14"/>
        <v>08</v>
      </c>
      <c r="B466" t="s">
        <v>312</v>
      </c>
      <c r="C466" s="3" t="str">
        <f>VLOOKUP(Table2[[#This Row],[Tegevusala]],Table4[],2,FALSE)</f>
        <v xml:space="preserve"> Kadila Seltsimaja</v>
      </c>
      <c r="D466" s="3" t="str">
        <f>VLOOKUP(Table2[[#This Row],[Tegevusala]],Table4[[Tegevusala kood]:[Tegevusala alanimetus]],4,FALSE)</f>
        <v>Rahvakultuur</v>
      </c>
      <c r="E466" s="3" t="str">
        <f>VLOOKUP(Table2[[#This Row],[Tegevusala nimetus2]],Table4[[Tegevusala nimetus]:[Tegevusala koondnimetus]],2,FALSE)</f>
        <v>Vabaaeg, kultuur ja religioon</v>
      </c>
      <c r="F466" t="s">
        <v>1839</v>
      </c>
      <c r="G466" t="s">
        <v>1841</v>
      </c>
      <c r="H466" s="40">
        <v>92.4</v>
      </c>
      <c r="J466">
        <v>5511</v>
      </c>
      <c r="K466" s="3" t="str">
        <f>VLOOKUP(Table2[[#This Row],[Konto]],Table5[[Konto]:[Konto nimetus]],2,FALSE)</f>
        <v>Kinnistute, hoonete ja ruumide majandamiskulud</v>
      </c>
      <c r="L466">
        <v>55</v>
      </c>
      <c r="M466" t="str">
        <f t="shared" si="15"/>
        <v>55</v>
      </c>
      <c r="N466" s="3" t="str">
        <f>VLOOKUP(Table2[[#This Row],[Tulu/kulu liik2]],Table5[[Tulu/kulu liik]:[Kontode koondnimetus]],4,FALSE)</f>
        <v>Muud tegevuskulud</v>
      </c>
      <c r="O466" s="3" t="str">
        <f>VLOOKUP(Table2[[#This Row],[Tulu/kulu liik2]],Table5[],6,FALSE)</f>
        <v>Majandamiskulud</v>
      </c>
      <c r="P466" s="3" t="str">
        <f>VLOOKUP(Table2[[#This Row],[Tulu/kulu liik2]],Table5[],5,FALSE)</f>
        <v>Põhitegevuse kulu</v>
      </c>
    </row>
    <row r="467" spans="1:16" x14ac:dyDescent="0.25">
      <c r="A467" t="str">
        <f t="shared" si="14"/>
        <v>08</v>
      </c>
      <c r="B467" t="s">
        <v>312</v>
      </c>
      <c r="C467" s="3" t="str">
        <f>VLOOKUP(Table2[[#This Row],[Tegevusala]],Table4[],2,FALSE)</f>
        <v xml:space="preserve"> Kadila Seltsimaja</v>
      </c>
      <c r="D467" s="3" t="str">
        <f>VLOOKUP(Table2[[#This Row],[Tegevusala]],Table4[[Tegevusala kood]:[Tegevusala alanimetus]],4,FALSE)</f>
        <v>Rahvakultuur</v>
      </c>
      <c r="E467" s="3" t="str">
        <f>VLOOKUP(Table2[[#This Row],[Tegevusala nimetus2]],Table4[[Tegevusala nimetus]:[Tegevusala koondnimetus]],2,FALSE)</f>
        <v>Vabaaeg, kultuur ja religioon</v>
      </c>
      <c r="F467" t="s">
        <v>1839</v>
      </c>
      <c r="G467" t="s">
        <v>1021</v>
      </c>
      <c r="H467" s="40">
        <v>1800</v>
      </c>
      <c r="J467">
        <v>5511</v>
      </c>
      <c r="K467" s="3" t="str">
        <f>VLOOKUP(Table2[[#This Row],[Konto]],Table5[[Konto]:[Konto nimetus]],2,FALSE)</f>
        <v>Kinnistute, hoonete ja ruumide majandamiskulud</v>
      </c>
      <c r="L467">
        <v>55</v>
      </c>
      <c r="M467" t="str">
        <f t="shared" si="15"/>
        <v>55</v>
      </c>
      <c r="N467" s="3" t="str">
        <f>VLOOKUP(Table2[[#This Row],[Tulu/kulu liik2]],Table5[[Tulu/kulu liik]:[Kontode koondnimetus]],4,FALSE)</f>
        <v>Muud tegevuskulud</v>
      </c>
      <c r="O467" s="3" t="str">
        <f>VLOOKUP(Table2[[#This Row],[Tulu/kulu liik2]],Table5[],6,FALSE)</f>
        <v>Majandamiskulud</v>
      </c>
      <c r="P467" s="3" t="str">
        <f>VLOOKUP(Table2[[#This Row],[Tulu/kulu liik2]],Table5[],5,FALSE)</f>
        <v>Põhitegevuse kulu</v>
      </c>
    </row>
    <row r="468" spans="1:16" x14ac:dyDescent="0.25">
      <c r="A468" t="str">
        <f t="shared" si="14"/>
        <v>08</v>
      </c>
      <c r="B468" t="s">
        <v>312</v>
      </c>
      <c r="C468" s="3" t="str">
        <f>VLOOKUP(Table2[[#This Row],[Tegevusala]],Table4[],2,FALSE)</f>
        <v xml:space="preserve"> Kadila Seltsimaja</v>
      </c>
      <c r="D468" s="3" t="str">
        <f>VLOOKUP(Table2[[#This Row],[Tegevusala]],Table4[[Tegevusala kood]:[Tegevusala alanimetus]],4,FALSE)</f>
        <v>Rahvakultuur</v>
      </c>
      <c r="E468" s="3" t="str">
        <f>VLOOKUP(Table2[[#This Row],[Tegevusala nimetus2]],Table4[[Tegevusala nimetus]:[Tegevusala koondnimetus]],2,FALSE)</f>
        <v>Vabaaeg, kultuur ja religioon</v>
      </c>
      <c r="F468" t="s">
        <v>1839</v>
      </c>
      <c r="G468" t="s">
        <v>1171</v>
      </c>
      <c r="H468" s="40">
        <v>200</v>
      </c>
      <c r="J468">
        <v>5511</v>
      </c>
      <c r="K468" s="3" t="str">
        <f>VLOOKUP(Table2[[#This Row],[Konto]],Table5[[Konto]:[Konto nimetus]],2,FALSE)</f>
        <v>Kinnistute, hoonete ja ruumide majandamiskulud</v>
      </c>
      <c r="L468">
        <v>55</v>
      </c>
      <c r="M468" t="str">
        <f t="shared" si="15"/>
        <v>55</v>
      </c>
      <c r="N468" s="3" t="str">
        <f>VLOOKUP(Table2[[#This Row],[Tulu/kulu liik2]],Table5[[Tulu/kulu liik]:[Kontode koondnimetus]],4,FALSE)</f>
        <v>Muud tegevuskulud</v>
      </c>
      <c r="O468" s="3" t="str">
        <f>VLOOKUP(Table2[[#This Row],[Tulu/kulu liik2]],Table5[],6,FALSE)</f>
        <v>Majandamiskulud</v>
      </c>
      <c r="P468" s="3" t="str">
        <f>VLOOKUP(Table2[[#This Row],[Tulu/kulu liik2]],Table5[],5,FALSE)</f>
        <v>Põhitegevuse kulu</v>
      </c>
    </row>
    <row r="469" spans="1:16" x14ac:dyDescent="0.25">
      <c r="A469" t="str">
        <f t="shared" si="14"/>
        <v>08</v>
      </c>
      <c r="B469" t="s">
        <v>312</v>
      </c>
      <c r="C469" s="3" t="str">
        <f>VLOOKUP(Table2[[#This Row],[Tegevusala]],Table4[],2,FALSE)</f>
        <v xml:space="preserve"> Kadila Seltsimaja</v>
      </c>
      <c r="D469" s="3" t="str">
        <f>VLOOKUP(Table2[[#This Row],[Tegevusala]],Table4[[Tegevusala kood]:[Tegevusala alanimetus]],4,FALSE)</f>
        <v>Rahvakultuur</v>
      </c>
      <c r="E469" s="3" t="str">
        <f>VLOOKUP(Table2[[#This Row],[Tegevusala nimetus2]],Table4[[Tegevusala nimetus]:[Tegevusala koondnimetus]],2,FALSE)</f>
        <v>Vabaaeg, kultuur ja religioon</v>
      </c>
      <c r="F469" t="s">
        <v>1839</v>
      </c>
      <c r="G469" t="s">
        <v>794</v>
      </c>
      <c r="H469" s="40">
        <v>600</v>
      </c>
      <c r="J469">
        <v>5500</v>
      </c>
      <c r="K469" s="3" t="str">
        <f>VLOOKUP(Table2[[#This Row],[Konto]],Table5[[Konto]:[Konto nimetus]],2,FALSE)</f>
        <v>Administreerimiskulud</v>
      </c>
      <c r="L469">
        <v>55</v>
      </c>
      <c r="M469" t="str">
        <f t="shared" si="15"/>
        <v>55</v>
      </c>
      <c r="N469" s="3" t="str">
        <f>VLOOKUP(Table2[[#This Row],[Tulu/kulu liik2]],Table5[[Tulu/kulu liik]:[Kontode koondnimetus]],4,FALSE)</f>
        <v>Muud tegevuskulud</v>
      </c>
      <c r="O469" s="3" t="str">
        <f>VLOOKUP(Table2[[#This Row],[Tulu/kulu liik2]],Table5[],6,FALSE)</f>
        <v>Majandamiskulud</v>
      </c>
      <c r="P469" s="3" t="str">
        <f>VLOOKUP(Table2[[#This Row],[Tulu/kulu liik2]],Table5[],5,FALSE)</f>
        <v>Põhitegevuse kulu</v>
      </c>
    </row>
    <row r="470" spans="1:16" x14ac:dyDescent="0.25">
      <c r="A470" t="str">
        <f t="shared" si="14"/>
        <v>08</v>
      </c>
      <c r="B470" t="s">
        <v>312</v>
      </c>
      <c r="C470" s="3" t="str">
        <f>VLOOKUP(Table2[[#This Row],[Tegevusala]],Table4[],2,FALSE)</f>
        <v xml:space="preserve"> Kadila Seltsimaja</v>
      </c>
      <c r="D470" s="3" t="str">
        <f>VLOOKUP(Table2[[#This Row],[Tegevusala]],Table4[[Tegevusala kood]:[Tegevusala alanimetus]],4,FALSE)</f>
        <v>Rahvakultuur</v>
      </c>
      <c r="E470" s="3" t="str">
        <f>VLOOKUP(Table2[[#This Row],[Tegevusala nimetus2]],Table4[[Tegevusala nimetus]:[Tegevusala koondnimetus]],2,FALSE)</f>
        <v>Vabaaeg, kultuur ja religioon</v>
      </c>
      <c r="F470" t="s">
        <v>1839</v>
      </c>
      <c r="G470" t="s">
        <v>786</v>
      </c>
      <c r="H470" s="40">
        <v>250</v>
      </c>
      <c r="J470">
        <v>5525</v>
      </c>
      <c r="K470" s="3" t="str">
        <f>VLOOKUP(Table2[[#This Row],[Konto]],Table5[[Konto]:[Konto nimetus]],2,FALSE)</f>
        <v>Kommunikatsiooni-, kultuuri- ja vaba aja sisustamise kulud</v>
      </c>
      <c r="L470">
        <v>55</v>
      </c>
      <c r="M470" t="str">
        <f t="shared" si="15"/>
        <v>55</v>
      </c>
      <c r="N470" s="3" t="str">
        <f>VLOOKUP(Table2[[#This Row],[Tulu/kulu liik2]],Table5[[Tulu/kulu liik]:[Kontode koondnimetus]],4,FALSE)</f>
        <v>Muud tegevuskulud</v>
      </c>
      <c r="O470" s="3" t="str">
        <f>VLOOKUP(Table2[[#This Row],[Tulu/kulu liik2]],Table5[],6,FALSE)</f>
        <v>Majandamiskulud</v>
      </c>
      <c r="P470" s="3" t="str">
        <f>VLOOKUP(Table2[[#This Row],[Tulu/kulu liik2]],Table5[],5,FALSE)</f>
        <v>Põhitegevuse kulu</v>
      </c>
    </row>
    <row r="471" spans="1:16" x14ac:dyDescent="0.25">
      <c r="A471" t="str">
        <f t="shared" si="14"/>
        <v>08</v>
      </c>
      <c r="B471" t="s">
        <v>312</v>
      </c>
      <c r="C471" s="3" t="str">
        <f>VLOOKUP(Table2[[#This Row],[Tegevusala]],Table4[],2,FALSE)</f>
        <v xml:space="preserve"> Kadila Seltsimaja</v>
      </c>
      <c r="D471" s="3" t="str">
        <f>VLOOKUP(Table2[[#This Row],[Tegevusala]],Table4[[Tegevusala kood]:[Tegevusala alanimetus]],4,FALSE)</f>
        <v>Rahvakultuur</v>
      </c>
      <c r="E471" s="3" t="str">
        <f>VLOOKUP(Table2[[#This Row],[Tegevusala nimetus2]],Table4[[Tegevusala nimetus]:[Tegevusala koondnimetus]],2,FALSE)</f>
        <v>Vabaaeg, kultuur ja religioon</v>
      </c>
      <c r="F471" t="s">
        <v>1839</v>
      </c>
      <c r="G471" t="s">
        <v>974</v>
      </c>
      <c r="H471" s="40">
        <v>160</v>
      </c>
      <c r="J471">
        <v>5511</v>
      </c>
      <c r="K471" s="3" t="str">
        <f>VLOOKUP(Table2[[#This Row],[Konto]],Table5[[Konto]:[Konto nimetus]],2,FALSE)</f>
        <v>Kinnistute, hoonete ja ruumide majandamiskulud</v>
      </c>
      <c r="L471">
        <v>55</v>
      </c>
      <c r="M471" t="str">
        <f t="shared" si="15"/>
        <v>55</v>
      </c>
      <c r="N471" s="3" t="str">
        <f>VLOOKUP(Table2[[#This Row],[Tulu/kulu liik2]],Table5[[Tulu/kulu liik]:[Kontode koondnimetus]],4,FALSE)</f>
        <v>Muud tegevuskulud</v>
      </c>
      <c r="O471" s="34" t="str">
        <f>VLOOKUP(Table2[[#This Row],[Tulu/kulu liik2]],Table5[],6,FALSE)</f>
        <v>Majandamiskulud</v>
      </c>
      <c r="P471" s="3" t="str">
        <f>VLOOKUP(Table2[[#This Row],[Tulu/kulu liik2]],Table5[],5,FALSE)</f>
        <v>Põhitegevuse kulu</v>
      </c>
    </row>
    <row r="472" spans="1:16" x14ac:dyDescent="0.25">
      <c r="A472" t="str">
        <f t="shared" si="14"/>
        <v>08</v>
      </c>
      <c r="B472" t="s">
        <v>312</v>
      </c>
      <c r="C472" s="3" t="str">
        <f>VLOOKUP(Table2[[#This Row],[Tegevusala]],Table4[],2,FALSE)</f>
        <v xml:space="preserve"> Kadila Seltsimaja</v>
      </c>
      <c r="D472" s="3" t="str">
        <f>VLOOKUP(Table2[[#This Row],[Tegevusala]],Table4[[Tegevusala kood]:[Tegevusala alanimetus]],4,FALSE)</f>
        <v>Rahvakultuur</v>
      </c>
      <c r="E472" s="3" t="str">
        <f>VLOOKUP(Table2[[#This Row],[Tegevusala nimetus2]],Table4[[Tegevusala nimetus]:[Tegevusala koondnimetus]],2,FALSE)</f>
        <v>Vabaaeg, kultuur ja religioon</v>
      </c>
      <c r="F472" t="s">
        <v>1839</v>
      </c>
      <c r="G472" t="s">
        <v>1873</v>
      </c>
      <c r="H472" s="40">
        <v>500</v>
      </c>
      <c r="J472">
        <v>5511</v>
      </c>
      <c r="K472" s="3" t="str">
        <f>VLOOKUP(Table2[[#This Row],[Konto]],Table5[[Konto]:[Konto nimetus]],2,FALSE)</f>
        <v>Kinnistute, hoonete ja ruumide majandamiskulud</v>
      </c>
      <c r="L472">
        <v>55</v>
      </c>
      <c r="M472" t="str">
        <f t="shared" si="15"/>
        <v>55</v>
      </c>
      <c r="N472" s="3" t="str">
        <f>VLOOKUP(Table2[[#This Row],[Tulu/kulu liik2]],Table5[[Tulu/kulu liik]:[Kontode koondnimetus]],4,FALSE)</f>
        <v>Muud tegevuskulud</v>
      </c>
      <c r="O472" s="34" t="str">
        <f>VLOOKUP(Table2[[#This Row],[Tulu/kulu liik2]],Table5[],6,FALSE)</f>
        <v>Majandamiskulud</v>
      </c>
      <c r="P472" s="3" t="str">
        <f>VLOOKUP(Table2[[#This Row],[Tulu/kulu liik2]],Table5[],5,FALSE)</f>
        <v>Põhitegevuse kulu</v>
      </c>
    </row>
    <row r="473" spans="1:16" ht="60" x14ac:dyDescent="0.25">
      <c r="A473" t="str">
        <f t="shared" si="14"/>
        <v>08</v>
      </c>
      <c r="B473" t="s">
        <v>314</v>
      </c>
      <c r="C473" s="3" t="str">
        <f>VLOOKUP(Table2[[#This Row],[Tegevusala]],Table4[],2,FALSE)</f>
        <v xml:space="preserve"> Pajusti klubi</v>
      </c>
      <c r="D473" s="3" t="str">
        <f>VLOOKUP(Table2[[#This Row],[Tegevusala]],Table4[[Tegevusala kood]:[Tegevusala alanimetus]],4,FALSE)</f>
        <v>Rahvakultuur</v>
      </c>
      <c r="E473" s="3" t="str">
        <f>VLOOKUP(Table2[[#This Row],[Tegevusala nimetus2]],Table4[[Tegevusala nimetus]:[Tegevusala koondnimetus]],2,FALSE)</f>
        <v>Vabaaeg, kultuur ja religioon</v>
      </c>
      <c r="F473" t="s">
        <v>1845</v>
      </c>
      <c r="G473" s="74" t="s">
        <v>2155</v>
      </c>
      <c r="H473" s="40">
        <f>15000</f>
        <v>15000</v>
      </c>
      <c r="J473">
        <v>5511</v>
      </c>
      <c r="K473" s="3" t="str">
        <f>VLOOKUP(Table2[[#This Row],[Konto]],Table5[[Konto]:[Konto nimetus]],2,FALSE)</f>
        <v>Kinnistute, hoonete ja ruumide majandamiskulud</v>
      </c>
      <c r="L473">
        <v>55</v>
      </c>
      <c r="M473" t="str">
        <f t="shared" si="15"/>
        <v>55</v>
      </c>
      <c r="N473" s="3" t="str">
        <f>VLOOKUP(Table2[[#This Row],[Tulu/kulu liik2]],Table5[[Tulu/kulu liik]:[Kontode koondnimetus]],4,FALSE)</f>
        <v>Muud tegevuskulud</v>
      </c>
      <c r="O473" s="3" t="str">
        <f>VLOOKUP(Table2[[#This Row],[Tulu/kulu liik2]],Table5[],6,FALSE)</f>
        <v>Majandamiskulud</v>
      </c>
      <c r="P473" s="3" t="str">
        <f>VLOOKUP(Table2[[#This Row],[Tulu/kulu liik2]],Table5[],5,FALSE)</f>
        <v>Põhitegevuse kulu</v>
      </c>
    </row>
    <row r="474" spans="1:16" x14ac:dyDescent="0.25">
      <c r="A474" t="str">
        <f t="shared" si="14"/>
        <v>08</v>
      </c>
      <c r="B474" t="s">
        <v>314</v>
      </c>
      <c r="C474" s="3" t="str">
        <f>VLOOKUP(Table2[[#This Row],[Tegevusala]],Table4[],2,FALSE)</f>
        <v xml:space="preserve"> Pajusti klubi</v>
      </c>
      <c r="D474" s="3" t="str">
        <f>VLOOKUP(Table2[[#This Row],[Tegevusala]],Table4[[Tegevusala kood]:[Tegevusala alanimetus]],4,FALSE)</f>
        <v>Rahvakultuur</v>
      </c>
      <c r="E474" s="3" t="str">
        <f>VLOOKUP(Table2[[#This Row],[Tegevusala nimetus2]],Table4[[Tegevusala nimetus]:[Tegevusala koondnimetus]],2,FALSE)</f>
        <v>Vabaaeg, kultuur ja religioon</v>
      </c>
      <c r="F474" t="s">
        <v>1845</v>
      </c>
      <c r="G474" t="s">
        <v>409</v>
      </c>
      <c r="H474" s="40">
        <v>800</v>
      </c>
      <c r="I474" s="2" t="s">
        <v>1847</v>
      </c>
      <c r="J474">
        <v>5504</v>
      </c>
      <c r="K474" s="3" t="str">
        <f>VLOOKUP(Table2[[#This Row],[Konto]],Table5[[Konto]:[Konto nimetus]],2,FALSE)</f>
        <v>Koolituskulud</v>
      </c>
      <c r="L474">
        <v>55</v>
      </c>
      <c r="M474" t="str">
        <f t="shared" si="15"/>
        <v>55</v>
      </c>
      <c r="N474" s="3" t="str">
        <f>VLOOKUP(Table2[[#This Row],[Tulu/kulu liik2]],Table5[[Tulu/kulu liik]:[Kontode koondnimetus]],4,FALSE)</f>
        <v>Muud tegevuskulud</v>
      </c>
      <c r="O474" s="3" t="str">
        <f>VLOOKUP(Table2[[#This Row],[Tulu/kulu liik2]],Table5[],6,FALSE)</f>
        <v>Majandamiskulud</v>
      </c>
      <c r="P474" s="3" t="str">
        <f>VLOOKUP(Table2[[#This Row],[Tulu/kulu liik2]],Table5[],5,FALSE)</f>
        <v>Põhitegevuse kulu</v>
      </c>
    </row>
    <row r="475" spans="1:16" x14ac:dyDescent="0.25">
      <c r="A475" t="str">
        <f t="shared" si="14"/>
        <v>08</v>
      </c>
      <c r="B475" t="s">
        <v>314</v>
      </c>
      <c r="C475" s="3" t="str">
        <f>VLOOKUP(Table2[[#This Row],[Tegevusala]],Table4[],2,FALSE)</f>
        <v xml:space="preserve"> Pajusti klubi</v>
      </c>
      <c r="D475" s="3" t="str">
        <f>VLOOKUP(Table2[[#This Row],[Tegevusala]],Table4[[Tegevusala kood]:[Tegevusala alanimetus]],4,FALSE)</f>
        <v>Rahvakultuur</v>
      </c>
      <c r="E475" s="3" t="str">
        <f>VLOOKUP(Table2[[#This Row],[Tegevusala nimetus2]],Table4[[Tegevusala nimetus]:[Tegevusala koondnimetus]],2,FALSE)</f>
        <v>Vabaaeg, kultuur ja religioon</v>
      </c>
      <c r="F475" t="s">
        <v>1845</v>
      </c>
      <c r="G475" t="s">
        <v>1650</v>
      </c>
      <c r="H475" s="40">
        <v>1440</v>
      </c>
      <c r="I475" s="2" t="s">
        <v>1819</v>
      </c>
      <c r="J475">
        <v>5513</v>
      </c>
      <c r="K475" s="3" t="str">
        <f>VLOOKUP(Table2[[#This Row],[Konto]],Table5[[Konto]:[Konto nimetus]],2,FALSE)</f>
        <v>Sõidukite ülalpidamise kulud</v>
      </c>
      <c r="L475">
        <v>55</v>
      </c>
      <c r="M475" t="str">
        <f t="shared" si="15"/>
        <v>55</v>
      </c>
      <c r="N475" s="3" t="str">
        <f>VLOOKUP(Table2[[#This Row],[Tulu/kulu liik2]],Table5[[Tulu/kulu liik]:[Kontode koondnimetus]],4,FALSE)</f>
        <v>Muud tegevuskulud</v>
      </c>
      <c r="O475" s="3" t="str">
        <f>VLOOKUP(Table2[[#This Row],[Tulu/kulu liik2]],Table5[],6,FALSE)</f>
        <v>Majandamiskulud</v>
      </c>
      <c r="P475" s="3" t="str">
        <f>VLOOKUP(Table2[[#This Row],[Tulu/kulu liik2]],Table5[],5,FALSE)</f>
        <v>Põhitegevuse kulu</v>
      </c>
    </row>
    <row r="476" spans="1:16" x14ac:dyDescent="0.25">
      <c r="A476" t="str">
        <f t="shared" si="14"/>
        <v>08</v>
      </c>
      <c r="B476" t="s">
        <v>314</v>
      </c>
      <c r="C476" s="3" t="str">
        <f>VLOOKUP(Table2[[#This Row],[Tegevusala]],Table4[],2,FALSE)</f>
        <v xml:space="preserve"> Pajusti klubi</v>
      </c>
      <c r="D476" s="3" t="str">
        <f>VLOOKUP(Table2[[#This Row],[Tegevusala]],Table4[[Tegevusala kood]:[Tegevusala alanimetus]],4,FALSE)</f>
        <v>Rahvakultuur</v>
      </c>
      <c r="E476" s="3" t="str">
        <f>VLOOKUP(Table2[[#This Row],[Tegevusala nimetus2]],Table4[[Tegevusala nimetus]:[Tegevusala koondnimetus]],2,FALSE)</f>
        <v>Vabaaeg, kultuur ja religioon</v>
      </c>
      <c r="F476" t="s">
        <v>1845</v>
      </c>
      <c r="G476" t="s">
        <v>1848</v>
      </c>
      <c r="H476" s="40">
        <v>1000</v>
      </c>
      <c r="J476">
        <v>5514</v>
      </c>
      <c r="K476" s="3" t="str">
        <f>VLOOKUP(Table2[[#This Row],[Konto]],Table5[[Konto]:[Konto nimetus]],2,FALSE)</f>
        <v>Info- ja kommunikatsioonitehnoliigised kulud</v>
      </c>
      <c r="L476">
        <v>55</v>
      </c>
      <c r="M476" t="str">
        <f t="shared" si="15"/>
        <v>55</v>
      </c>
      <c r="N476" s="3" t="str">
        <f>VLOOKUP(Table2[[#This Row],[Tulu/kulu liik2]],Table5[[Tulu/kulu liik]:[Kontode koondnimetus]],4,FALSE)</f>
        <v>Muud tegevuskulud</v>
      </c>
      <c r="O476" s="3" t="str">
        <f>VLOOKUP(Table2[[#This Row],[Tulu/kulu liik2]],Table5[],6,FALSE)</f>
        <v>Majandamiskulud</v>
      </c>
      <c r="P476" s="3" t="str">
        <f>VLOOKUP(Table2[[#This Row],[Tulu/kulu liik2]],Table5[],5,FALSE)</f>
        <v>Põhitegevuse kulu</v>
      </c>
    </row>
    <row r="477" spans="1:16" hidden="1" x14ac:dyDescent="0.25">
      <c r="A477" t="str">
        <f t="shared" si="14"/>
        <v>08</v>
      </c>
      <c r="B477" t="s">
        <v>314</v>
      </c>
      <c r="C477" s="3" t="str">
        <f>VLOOKUP(Table2[[#This Row],[Tegevusala]],Table4[],2,FALSE)</f>
        <v xml:space="preserve"> Pajusti klubi</v>
      </c>
      <c r="D477" s="3" t="str">
        <f>VLOOKUP(Table2[[#This Row],[Tegevusala]],Table4[[Tegevusala kood]:[Tegevusala alanimetus]],4,FALSE)</f>
        <v>Rahvakultuur</v>
      </c>
      <c r="E477" s="3" t="str">
        <f>VLOOKUP(Table2[[#This Row],[Tegevusala nimetus2]],Table4[[Tegevusala nimetus]:[Tegevusala koondnimetus]],2,FALSE)</f>
        <v>Vabaaeg, kultuur ja religioon</v>
      </c>
      <c r="F477" t="s">
        <v>841</v>
      </c>
      <c r="G477" t="s">
        <v>2052</v>
      </c>
      <c r="H477" s="40">
        <v>40000</v>
      </c>
      <c r="J477">
        <v>1551</v>
      </c>
      <c r="K477" s="3" t="str">
        <f>VLOOKUP(Table2[[#This Row],[Konto]],Table5[[Konto]:[Konto nimetus]],2,FALSE)</f>
        <v>Rajatiste ja hoonete soetamine ja renoveerimine</v>
      </c>
      <c r="L477">
        <v>15</v>
      </c>
      <c r="M477" t="str">
        <f t="shared" si="15"/>
        <v>15</v>
      </c>
      <c r="N477" s="3" t="str">
        <f>VLOOKUP(Table2[[#This Row],[Tulu/kulu liik2]],Table5[[Tulu/kulu liik]:[Kontode koondnimetus]],4,FALSE)</f>
        <v>Põhivara soetus (-)</v>
      </c>
      <c r="O477" s="34" t="str">
        <f>VLOOKUP(Table2[[#This Row],[Tulu/kulu liik2]],Table5[],6,FALSE)</f>
        <v>Põhivara soetus (-)</v>
      </c>
      <c r="P477" s="3" t="str">
        <f>VLOOKUP(Table2[[#This Row],[Tulu/kulu liik2]],Table5[],5,FALSE)</f>
        <v>Investeerimistegevus</v>
      </c>
    </row>
    <row r="478" spans="1:16" x14ac:dyDescent="0.25">
      <c r="A478" t="str">
        <f t="shared" si="14"/>
        <v>08</v>
      </c>
      <c r="B478" t="s">
        <v>314</v>
      </c>
      <c r="C478" s="3" t="str">
        <f>VLOOKUP(Table2[[#This Row],[Tegevusala]],Table4[],2,FALSE)</f>
        <v xml:space="preserve"> Pajusti klubi</v>
      </c>
      <c r="D478" s="3" t="str">
        <f>VLOOKUP(Table2[[#This Row],[Tegevusala]],Table4[[Tegevusala kood]:[Tegevusala alanimetus]],4,FALSE)</f>
        <v>Rahvakultuur</v>
      </c>
      <c r="E478" s="3" t="str">
        <f>VLOOKUP(Table2[[#This Row],[Tegevusala nimetus2]],Table4[[Tegevusala nimetus]:[Tegevusala koondnimetus]],2,FALSE)</f>
        <v>Vabaaeg, kultuur ja religioon</v>
      </c>
      <c r="F478" t="s">
        <v>1845</v>
      </c>
      <c r="G478" t="s">
        <v>2100</v>
      </c>
      <c r="H478" s="40">
        <f>12240-270-270-2500-2000</f>
        <v>7200</v>
      </c>
      <c r="I478" s="2" t="s">
        <v>2194</v>
      </c>
      <c r="J478">
        <v>5525</v>
      </c>
      <c r="K478" s="3" t="str">
        <f>VLOOKUP(Table2[[#This Row],[Konto]],Table5[[Konto]:[Konto nimetus]],2,FALSE)</f>
        <v>Kommunikatsiooni-, kultuuri- ja vaba aja sisustamise kulud</v>
      </c>
      <c r="L478">
        <v>55</v>
      </c>
      <c r="M478" t="str">
        <f t="shared" si="15"/>
        <v>55</v>
      </c>
      <c r="N478" s="3" t="str">
        <f>VLOOKUP(Table2[[#This Row],[Tulu/kulu liik2]],Table5[[Tulu/kulu liik]:[Kontode koondnimetus]],4,FALSE)</f>
        <v>Muud tegevuskulud</v>
      </c>
      <c r="O478" s="34" t="str">
        <f>VLOOKUP(Table2[[#This Row],[Tulu/kulu liik2]],Table5[],6,FALSE)</f>
        <v>Majandamiskulud</v>
      </c>
      <c r="P478" s="3" t="str">
        <f>VLOOKUP(Table2[[#This Row],[Tulu/kulu liik2]],Table5[],5,FALSE)</f>
        <v>Põhitegevuse kulu</v>
      </c>
    </row>
    <row r="479" spans="1:16" x14ac:dyDescent="0.25">
      <c r="A479" t="str">
        <f t="shared" si="14"/>
        <v>08</v>
      </c>
      <c r="B479" t="s">
        <v>314</v>
      </c>
      <c r="C479" s="3" t="str">
        <f>VLOOKUP(Table2[[#This Row],[Tegevusala]],Table4[],2,FALSE)</f>
        <v xml:space="preserve"> Pajusti klubi</v>
      </c>
      <c r="D479" s="3" t="str">
        <f>VLOOKUP(Table2[[#This Row],[Tegevusala]],Table4[[Tegevusala kood]:[Tegevusala alanimetus]],4,FALSE)</f>
        <v>Rahvakultuur</v>
      </c>
      <c r="E479" s="3" t="str">
        <f>VLOOKUP(Table2[[#This Row],[Tegevusala nimetus2]],Table4[[Tegevusala nimetus]:[Tegevusala koondnimetus]],2,FALSE)</f>
        <v>Vabaaeg, kultuur ja religioon</v>
      </c>
      <c r="F479" t="s">
        <v>1845</v>
      </c>
      <c r="G479" t="s">
        <v>794</v>
      </c>
      <c r="H479" s="40">
        <v>560.04999999999995</v>
      </c>
      <c r="J479">
        <v>5500</v>
      </c>
      <c r="K479" s="3" t="str">
        <f>VLOOKUP(Table2[[#This Row],[Konto]],Table5[[Konto]:[Konto nimetus]],2,FALSE)</f>
        <v>Administreerimiskulud</v>
      </c>
      <c r="L479">
        <v>55</v>
      </c>
      <c r="M479" t="str">
        <f t="shared" si="15"/>
        <v>55</v>
      </c>
      <c r="N479" s="3" t="str">
        <f>VLOOKUP(Table2[[#This Row],[Tulu/kulu liik2]],Table5[[Tulu/kulu liik]:[Kontode koondnimetus]],4,FALSE)</f>
        <v>Muud tegevuskulud</v>
      </c>
      <c r="O479" s="34" t="str">
        <f>VLOOKUP(Table2[[#This Row],[Tulu/kulu liik2]],Table5[],6,FALSE)</f>
        <v>Majandamiskulud</v>
      </c>
      <c r="P479" s="3" t="str">
        <f>VLOOKUP(Table2[[#This Row],[Tulu/kulu liik2]],Table5[],5,FALSE)</f>
        <v>Põhitegevuse kulu</v>
      </c>
    </row>
    <row r="480" spans="1:16" x14ac:dyDescent="0.25">
      <c r="A480" t="str">
        <f t="shared" si="14"/>
        <v>08</v>
      </c>
      <c r="B480" t="s">
        <v>314</v>
      </c>
      <c r="C480" s="3" t="str">
        <f>VLOOKUP(Table2[[#This Row],[Tegevusala]],Table4[],2,FALSE)</f>
        <v xml:space="preserve"> Pajusti klubi</v>
      </c>
      <c r="D480" s="3" t="str">
        <f>VLOOKUP(Table2[[#This Row],[Tegevusala]],Table4[[Tegevusala kood]:[Tegevusala alanimetus]],4,FALSE)</f>
        <v>Rahvakultuur</v>
      </c>
      <c r="E480" s="3" t="str">
        <f>VLOOKUP(Table2[[#This Row],[Tegevusala nimetus2]],Table4[[Tegevusala nimetus]:[Tegevusala koondnimetus]],2,FALSE)</f>
        <v>Vabaaeg, kultuur ja religioon</v>
      </c>
      <c r="F480" t="s">
        <v>1845</v>
      </c>
      <c r="G480" t="s">
        <v>1520</v>
      </c>
      <c r="H480" s="40">
        <v>300</v>
      </c>
      <c r="J480">
        <v>5500</v>
      </c>
      <c r="K480" s="3" t="str">
        <f>VLOOKUP(Table2[[#This Row],[Konto]],Table5[[Konto]:[Konto nimetus]],2,FALSE)</f>
        <v>Administreerimiskulud</v>
      </c>
      <c r="L480">
        <v>55</v>
      </c>
      <c r="M480" t="str">
        <f t="shared" si="15"/>
        <v>55</v>
      </c>
      <c r="N480" s="3" t="str">
        <f>VLOOKUP(Table2[[#This Row],[Tulu/kulu liik2]],Table5[[Tulu/kulu liik]:[Kontode koondnimetus]],4,FALSE)</f>
        <v>Muud tegevuskulud</v>
      </c>
      <c r="O480" s="34" t="str">
        <f>VLOOKUP(Table2[[#This Row],[Tulu/kulu liik2]],Table5[],6,FALSE)</f>
        <v>Majandamiskulud</v>
      </c>
      <c r="P480" s="3" t="str">
        <f>VLOOKUP(Table2[[#This Row],[Tulu/kulu liik2]],Table5[],5,FALSE)</f>
        <v>Põhitegevuse kulu</v>
      </c>
    </row>
    <row r="481" spans="1:16" x14ac:dyDescent="0.25">
      <c r="A481" t="str">
        <f t="shared" si="14"/>
        <v>08</v>
      </c>
      <c r="B481" t="s">
        <v>314</v>
      </c>
      <c r="C481" s="3" t="str">
        <f>VLOOKUP(Table2[[#This Row],[Tegevusala]],Table4[],2,FALSE)</f>
        <v xml:space="preserve"> Pajusti klubi</v>
      </c>
      <c r="D481" s="3" t="str">
        <f>VLOOKUP(Table2[[#This Row],[Tegevusala]],Table4[[Tegevusala kood]:[Tegevusala alanimetus]],4,FALSE)</f>
        <v>Rahvakultuur</v>
      </c>
      <c r="E481" s="3" t="str">
        <f>VLOOKUP(Table2[[#This Row],[Tegevusala nimetus2]],Table4[[Tegevusala nimetus]:[Tegevusala koondnimetus]],2,FALSE)</f>
        <v>Vabaaeg, kultuur ja religioon</v>
      </c>
      <c r="F481" t="s">
        <v>1845</v>
      </c>
      <c r="G481" t="s">
        <v>2156</v>
      </c>
      <c r="H481" s="40">
        <v>270</v>
      </c>
      <c r="J481">
        <v>5525</v>
      </c>
      <c r="K481" s="3" t="str">
        <f>VLOOKUP(Table2[[#This Row],[Konto]],Table5[[Konto]:[Konto nimetus]],2,FALSE)</f>
        <v>Kommunikatsiooni-, kultuuri- ja vaba aja sisustamise kulud</v>
      </c>
      <c r="L481">
        <v>55</v>
      </c>
      <c r="M481" t="str">
        <f t="shared" si="15"/>
        <v>55</v>
      </c>
      <c r="N481" s="3" t="str">
        <f>VLOOKUP(Table2[[#This Row],[Tulu/kulu liik2]],Table5[[Tulu/kulu liik]:[Kontode koondnimetus]],4,FALSE)</f>
        <v>Muud tegevuskulud</v>
      </c>
      <c r="O481" s="34" t="str">
        <f>VLOOKUP(Table2[[#This Row],[Tulu/kulu liik2]],Table5[],6,FALSE)</f>
        <v>Majandamiskulud</v>
      </c>
      <c r="P481" s="3" t="str">
        <f>VLOOKUP(Table2[[#This Row],[Tulu/kulu liik2]],Table5[],5,FALSE)</f>
        <v>Põhitegevuse kulu</v>
      </c>
    </row>
    <row r="482" spans="1:16" x14ac:dyDescent="0.25">
      <c r="A482" t="str">
        <f t="shared" si="14"/>
        <v>08</v>
      </c>
      <c r="B482" t="s">
        <v>314</v>
      </c>
      <c r="C482" s="3" t="str">
        <f>VLOOKUP(Table2[[#This Row],[Tegevusala]],Table4[],2,FALSE)</f>
        <v xml:space="preserve"> Pajusti klubi</v>
      </c>
      <c r="D482" s="3" t="str">
        <f>VLOOKUP(Table2[[#This Row],[Tegevusala]],Table4[[Tegevusala kood]:[Tegevusala alanimetus]],4,FALSE)</f>
        <v>Rahvakultuur</v>
      </c>
      <c r="E482" s="3" t="str">
        <f>VLOOKUP(Table2[[#This Row],[Tegevusala nimetus2]],Table4[[Tegevusala nimetus]:[Tegevusala koondnimetus]],2,FALSE)</f>
        <v>Vabaaeg, kultuur ja religioon</v>
      </c>
      <c r="F482" t="s">
        <v>1845</v>
      </c>
      <c r="G482" t="s">
        <v>2157</v>
      </c>
      <c r="H482" s="40">
        <v>270</v>
      </c>
      <c r="J482">
        <v>5525</v>
      </c>
      <c r="K482" s="3" t="str">
        <f>VLOOKUP(Table2[[#This Row],[Konto]],Table5[[Konto]:[Konto nimetus]],2,FALSE)</f>
        <v>Kommunikatsiooni-, kultuuri- ja vaba aja sisustamise kulud</v>
      </c>
      <c r="L482">
        <v>55</v>
      </c>
      <c r="M482" t="str">
        <f t="shared" si="15"/>
        <v>55</v>
      </c>
      <c r="N482" s="3" t="str">
        <f>VLOOKUP(Table2[[#This Row],[Tulu/kulu liik2]],Table5[[Tulu/kulu liik]:[Kontode koondnimetus]],4,FALSE)</f>
        <v>Muud tegevuskulud</v>
      </c>
      <c r="O482" s="34" t="str">
        <f>VLOOKUP(Table2[[#This Row],[Tulu/kulu liik2]],Table5[],6,FALSE)</f>
        <v>Majandamiskulud</v>
      </c>
      <c r="P482" s="3" t="str">
        <f>VLOOKUP(Table2[[#This Row],[Tulu/kulu liik2]],Table5[],5,FALSE)</f>
        <v>Põhitegevuse kulu</v>
      </c>
    </row>
    <row r="483" spans="1:16" x14ac:dyDescent="0.25">
      <c r="A483" t="str">
        <f t="shared" si="14"/>
        <v>08</v>
      </c>
      <c r="B483" t="s">
        <v>316</v>
      </c>
      <c r="C483" s="3" t="str">
        <f>VLOOKUP(Table2[[#This Row],[Tegevusala]],Table4[],2,FALSE)</f>
        <v xml:space="preserve"> Roela Rahvamaja</v>
      </c>
      <c r="D483" s="3" t="str">
        <f>VLOOKUP(Table2[[#This Row],[Tegevusala]],Table4[[Tegevusala kood]:[Tegevusala alanimetus]],4,FALSE)</f>
        <v>Rahvakultuur</v>
      </c>
      <c r="E483" s="3" t="str">
        <f>VLOOKUP(Table2[[#This Row],[Tegevusala nimetus2]],Table4[[Tegevusala nimetus]:[Tegevusala koondnimetus]],2,FALSE)</f>
        <v>Vabaaeg, kultuur ja religioon</v>
      </c>
      <c r="F483" t="s">
        <v>1788</v>
      </c>
      <c r="G483" t="s">
        <v>177</v>
      </c>
      <c r="H483" s="40">
        <v>16000</v>
      </c>
      <c r="I483" s="2" t="s">
        <v>1809</v>
      </c>
      <c r="J483">
        <v>5511</v>
      </c>
      <c r="K483" s="3" t="str">
        <f>VLOOKUP(Table2[[#This Row],[Konto]],Table5[[Konto]:[Konto nimetus]],2,FALSE)</f>
        <v>Kinnistute, hoonete ja ruumide majandamiskulud</v>
      </c>
      <c r="L483">
        <v>55</v>
      </c>
      <c r="M483" t="str">
        <f t="shared" si="15"/>
        <v>55</v>
      </c>
      <c r="N483" s="3" t="str">
        <f>VLOOKUP(Table2[[#This Row],[Tulu/kulu liik2]],Table5[[Tulu/kulu liik]:[Kontode koondnimetus]],4,FALSE)</f>
        <v>Muud tegevuskulud</v>
      </c>
      <c r="O483" s="3" t="str">
        <f>VLOOKUP(Table2[[#This Row],[Tulu/kulu liik2]],Table5[],6,FALSE)</f>
        <v>Majandamiskulud</v>
      </c>
      <c r="P483" s="3" t="str">
        <f>VLOOKUP(Table2[[#This Row],[Tulu/kulu liik2]],Table5[],5,FALSE)</f>
        <v>Põhitegevuse kulu</v>
      </c>
    </row>
    <row r="484" spans="1:16" x14ac:dyDescent="0.25">
      <c r="A484" t="str">
        <f t="shared" si="14"/>
        <v>08</v>
      </c>
      <c r="B484" t="s">
        <v>316</v>
      </c>
      <c r="C484" s="3" t="str">
        <f>VLOOKUP(Table2[[#This Row],[Tegevusala]],Table4[],2,FALSE)</f>
        <v xml:space="preserve"> Roela Rahvamaja</v>
      </c>
      <c r="D484" s="3" t="str">
        <f>VLOOKUP(Table2[[#This Row],[Tegevusala]],Table4[[Tegevusala kood]:[Tegevusala alanimetus]],4,FALSE)</f>
        <v>Rahvakultuur</v>
      </c>
      <c r="E484" s="3" t="str">
        <f>VLOOKUP(Table2[[#This Row],[Tegevusala nimetus2]],Table4[[Tegevusala nimetus]:[Tegevusala koondnimetus]],2,FALSE)</f>
        <v>Vabaaeg, kultuur ja religioon</v>
      </c>
      <c r="F484" t="s">
        <v>1788</v>
      </c>
      <c r="G484" t="s">
        <v>178</v>
      </c>
      <c r="H484" s="40">
        <v>4800</v>
      </c>
      <c r="I484" s="2" t="s">
        <v>1810</v>
      </c>
      <c r="J484">
        <v>5511</v>
      </c>
      <c r="K484" s="3" t="str">
        <f>VLOOKUP(Table2[[#This Row],[Konto]],Table5[[Konto]:[Konto nimetus]],2,FALSE)</f>
        <v>Kinnistute, hoonete ja ruumide majandamiskulud</v>
      </c>
      <c r="L484">
        <v>55</v>
      </c>
      <c r="M484" t="str">
        <f t="shared" si="15"/>
        <v>55</v>
      </c>
      <c r="N484" s="3" t="str">
        <f>VLOOKUP(Table2[[#This Row],[Tulu/kulu liik2]],Table5[[Tulu/kulu liik]:[Kontode koondnimetus]],4,FALSE)</f>
        <v>Muud tegevuskulud</v>
      </c>
      <c r="O484" s="3" t="str">
        <f>VLOOKUP(Table2[[#This Row],[Tulu/kulu liik2]],Table5[],6,FALSE)</f>
        <v>Majandamiskulud</v>
      </c>
      <c r="P484" s="3" t="str">
        <f>VLOOKUP(Table2[[#This Row],[Tulu/kulu liik2]],Table5[],5,FALSE)</f>
        <v>Põhitegevuse kulu</v>
      </c>
    </row>
    <row r="485" spans="1:16" x14ac:dyDescent="0.25">
      <c r="A485" t="str">
        <f t="shared" si="14"/>
        <v>08</v>
      </c>
      <c r="B485" t="s">
        <v>316</v>
      </c>
      <c r="C485" s="3" t="str">
        <f>VLOOKUP(Table2[[#This Row],[Tegevusala]],Table4[],2,FALSE)</f>
        <v xml:space="preserve"> Roela Rahvamaja</v>
      </c>
      <c r="D485" s="3" t="str">
        <f>VLOOKUP(Table2[[#This Row],[Tegevusala]],Table4[[Tegevusala kood]:[Tegevusala alanimetus]],4,FALSE)</f>
        <v>Rahvakultuur</v>
      </c>
      <c r="E485" s="3" t="str">
        <f>VLOOKUP(Table2[[#This Row],[Tegevusala nimetus2]],Table4[[Tegevusala nimetus]:[Tegevusala koondnimetus]],2,FALSE)</f>
        <v>Vabaaeg, kultuur ja religioon</v>
      </c>
      <c r="F485" t="s">
        <v>1788</v>
      </c>
      <c r="G485" t="s">
        <v>443</v>
      </c>
      <c r="H485" s="40">
        <v>2575</v>
      </c>
      <c r="I485" s="2" t="s">
        <v>1811</v>
      </c>
      <c r="J485">
        <v>5511</v>
      </c>
      <c r="K485" s="3" t="str">
        <f>VLOOKUP(Table2[[#This Row],[Konto]],Table5[[Konto]:[Konto nimetus]],2,FALSE)</f>
        <v>Kinnistute, hoonete ja ruumide majandamiskulud</v>
      </c>
      <c r="L485">
        <v>55</v>
      </c>
      <c r="M485" t="str">
        <f t="shared" si="15"/>
        <v>55</v>
      </c>
      <c r="N485" s="3" t="str">
        <f>VLOOKUP(Table2[[#This Row],[Tulu/kulu liik2]],Table5[[Tulu/kulu liik]:[Kontode koondnimetus]],4,FALSE)</f>
        <v>Muud tegevuskulud</v>
      </c>
      <c r="O485" s="3" t="str">
        <f>VLOOKUP(Table2[[#This Row],[Tulu/kulu liik2]],Table5[],6,FALSE)</f>
        <v>Majandamiskulud</v>
      </c>
      <c r="P485" s="3" t="str">
        <f>VLOOKUP(Table2[[#This Row],[Tulu/kulu liik2]],Table5[],5,FALSE)</f>
        <v>Põhitegevuse kulu</v>
      </c>
    </row>
    <row r="486" spans="1:16" x14ac:dyDescent="0.25">
      <c r="A486" t="str">
        <f t="shared" si="14"/>
        <v>08</v>
      </c>
      <c r="B486" t="s">
        <v>316</v>
      </c>
      <c r="C486" s="3" t="str">
        <f>VLOOKUP(Table2[[#This Row],[Tegevusala]],Table4[],2,FALSE)</f>
        <v xml:space="preserve"> Roela Rahvamaja</v>
      </c>
      <c r="D486" s="3" t="str">
        <f>VLOOKUP(Table2[[#This Row],[Tegevusala]],Table4[[Tegevusala kood]:[Tegevusala alanimetus]],4,FALSE)</f>
        <v>Rahvakultuur</v>
      </c>
      <c r="E486" s="3" t="str">
        <f>VLOOKUP(Table2[[#This Row],[Tegevusala nimetus2]],Table4[[Tegevusala nimetus]:[Tegevusala koondnimetus]],2,FALSE)</f>
        <v>Vabaaeg, kultuur ja religioon</v>
      </c>
      <c r="F486" t="s">
        <v>1788</v>
      </c>
      <c r="G486" t="s">
        <v>1289</v>
      </c>
      <c r="H486" s="40">
        <v>460</v>
      </c>
      <c r="I486" s="2" t="s">
        <v>1812</v>
      </c>
      <c r="J486">
        <v>5511</v>
      </c>
      <c r="K486" s="3" t="str">
        <f>VLOOKUP(Table2[[#This Row],[Konto]],Table5[[Konto]:[Konto nimetus]],2,FALSE)</f>
        <v>Kinnistute, hoonete ja ruumide majandamiskulud</v>
      </c>
      <c r="L486">
        <v>55</v>
      </c>
      <c r="M486" t="str">
        <f t="shared" si="15"/>
        <v>55</v>
      </c>
      <c r="N486" s="3" t="str">
        <f>VLOOKUP(Table2[[#This Row],[Tulu/kulu liik2]],Table5[[Tulu/kulu liik]:[Kontode koondnimetus]],4,FALSE)</f>
        <v>Muud tegevuskulud</v>
      </c>
      <c r="O486" s="3" t="str">
        <f>VLOOKUP(Table2[[#This Row],[Tulu/kulu liik2]],Table5[],6,FALSE)</f>
        <v>Majandamiskulud</v>
      </c>
      <c r="P486" s="3" t="str">
        <f>VLOOKUP(Table2[[#This Row],[Tulu/kulu liik2]],Table5[],5,FALSE)</f>
        <v>Põhitegevuse kulu</v>
      </c>
    </row>
    <row r="487" spans="1:16" x14ac:dyDescent="0.25">
      <c r="A487" t="str">
        <f t="shared" si="14"/>
        <v>08</v>
      </c>
      <c r="B487" t="s">
        <v>316</v>
      </c>
      <c r="C487" s="3" t="str">
        <f>VLOOKUP(Table2[[#This Row],[Tegevusala]],Table4[],2,FALSE)</f>
        <v xml:space="preserve"> Roela Rahvamaja</v>
      </c>
      <c r="D487" s="3" t="str">
        <f>VLOOKUP(Table2[[#This Row],[Tegevusala]],Table4[[Tegevusala kood]:[Tegevusala alanimetus]],4,FALSE)</f>
        <v>Rahvakultuur</v>
      </c>
      <c r="E487" s="3" t="str">
        <f>VLOOKUP(Table2[[#This Row],[Tegevusala nimetus2]],Table4[[Tegevusala nimetus]:[Tegevusala koondnimetus]],2,FALSE)</f>
        <v>Vabaaeg, kultuur ja religioon</v>
      </c>
      <c r="F487" t="s">
        <v>1788</v>
      </c>
      <c r="G487" t="s">
        <v>194</v>
      </c>
      <c r="H487" s="40">
        <v>360</v>
      </c>
      <c r="I487" s="2" t="s">
        <v>1813</v>
      </c>
      <c r="J487">
        <v>5511</v>
      </c>
      <c r="K487" s="3" t="str">
        <f>VLOOKUP(Table2[[#This Row],[Konto]],Table5[[Konto]:[Konto nimetus]],2,FALSE)</f>
        <v>Kinnistute, hoonete ja ruumide majandamiskulud</v>
      </c>
      <c r="L487">
        <v>55</v>
      </c>
      <c r="M487" t="str">
        <f t="shared" si="15"/>
        <v>55</v>
      </c>
      <c r="N487" s="3" t="str">
        <f>VLOOKUP(Table2[[#This Row],[Tulu/kulu liik2]],Table5[[Tulu/kulu liik]:[Kontode koondnimetus]],4,FALSE)</f>
        <v>Muud tegevuskulud</v>
      </c>
      <c r="O487" s="3" t="str">
        <f>VLOOKUP(Table2[[#This Row],[Tulu/kulu liik2]],Table5[],6,FALSE)</f>
        <v>Majandamiskulud</v>
      </c>
      <c r="P487" s="3" t="str">
        <f>VLOOKUP(Table2[[#This Row],[Tulu/kulu liik2]],Table5[],5,FALSE)</f>
        <v>Põhitegevuse kulu</v>
      </c>
    </row>
    <row r="488" spans="1:16" x14ac:dyDescent="0.25">
      <c r="A488" t="str">
        <f t="shared" si="14"/>
        <v>08</v>
      </c>
      <c r="B488" t="s">
        <v>316</v>
      </c>
      <c r="C488" s="3" t="str">
        <f>VLOOKUP(Table2[[#This Row],[Tegevusala]],Table4[],2,FALSE)</f>
        <v xml:space="preserve"> Roela Rahvamaja</v>
      </c>
      <c r="D488" s="3" t="str">
        <f>VLOOKUP(Table2[[#This Row],[Tegevusala]],Table4[[Tegevusala kood]:[Tegevusala alanimetus]],4,FALSE)</f>
        <v>Rahvakultuur</v>
      </c>
      <c r="E488" s="3" t="str">
        <f>VLOOKUP(Table2[[#This Row],[Tegevusala nimetus2]],Table4[[Tegevusala nimetus]:[Tegevusala koondnimetus]],2,FALSE)</f>
        <v>Vabaaeg, kultuur ja religioon</v>
      </c>
      <c r="F488" t="s">
        <v>1788</v>
      </c>
      <c r="G488" t="s">
        <v>1814</v>
      </c>
      <c r="H488" s="40">
        <v>400</v>
      </c>
      <c r="I488" s="2" t="s">
        <v>1815</v>
      </c>
      <c r="J488">
        <v>5511</v>
      </c>
      <c r="K488" s="3" t="str">
        <f>VLOOKUP(Table2[[#This Row],[Konto]],Table5[[Konto]:[Konto nimetus]],2,FALSE)</f>
        <v>Kinnistute, hoonete ja ruumide majandamiskulud</v>
      </c>
      <c r="L488">
        <v>55</v>
      </c>
      <c r="M488" t="str">
        <f t="shared" si="15"/>
        <v>55</v>
      </c>
      <c r="N488" s="3" t="str">
        <f>VLOOKUP(Table2[[#This Row],[Tulu/kulu liik2]],Table5[[Tulu/kulu liik]:[Kontode koondnimetus]],4,FALSE)</f>
        <v>Muud tegevuskulud</v>
      </c>
      <c r="O488" s="3" t="str">
        <f>VLOOKUP(Table2[[#This Row],[Tulu/kulu liik2]],Table5[],6,FALSE)</f>
        <v>Majandamiskulud</v>
      </c>
      <c r="P488" s="3" t="str">
        <f>VLOOKUP(Table2[[#This Row],[Tulu/kulu liik2]],Table5[],5,FALSE)</f>
        <v>Põhitegevuse kulu</v>
      </c>
    </row>
    <row r="489" spans="1:16" x14ac:dyDescent="0.25">
      <c r="A489" t="str">
        <f t="shared" si="14"/>
        <v>08</v>
      </c>
      <c r="B489" t="s">
        <v>316</v>
      </c>
      <c r="C489" s="3" t="str">
        <f>VLOOKUP(Table2[[#This Row],[Tegevusala]],Table4[],2,FALSE)</f>
        <v xml:space="preserve"> Roela Rahvamaja</v>
      </c>
      <c r="D489" s="3" t="str">
        <f>VLOOKUP(Table2[[#This Row],[Tegevusala]],Table4[[Tegevusala kood]:[Tegevusala alanimetus]],4,FALSE)</f>
        <v>Rahvakultuur</v>
      </c>
      <c r="E489" s="3" t="str">
        <f>VLOOKUP(Table2[[#This Row],[Tegevusala nimetus2]],Table4[[Tegevusala nimetus]:[Tegevusala koondnimetus]],2,FALSE)</f>
        <v>Vabaaeg, kultuur ja religioon</v>
      </c>
      <c r="F489" t="s">
        <v>1788</v>
      </c>
      <c r="G489" t="s">
        <v>1816</v>
      </c>
      <c r="H489" s="40">
        <v>100</v>
      </c>
      <c r="I489" s="2" t="s">
        <v>1817</v>
      </c>
      <c r="J489">
        <v>5511</v>
      </c>
      <c r="K489" s="3" t="str">
        <f>VLOOKUP(Table2[[#This Row],[Konto]],Table5[[Konto]:[Konto nimetus]],2,FALSE)</f>
        <v>Kinnistute, hoonete ja ruumide majandamiskulud</v>
      </c>
      <c r="L489">
        <v>55</v>
      </c>
      <c r="M489" t="str">
        <f t="shared" si="15"/>
        <v>55</v>
      </c>
      <c r="N489" s="3" t="str">
        <f>VLOOKUP(Table2[[#This Row],[Tulu/kulu liik2]],Table5[[Tulu/kulu liik]:[Kontode koondnimetus]],4,FALSE)</f>
        <v>Muud tegevuskulud</v>
      </c>
      <c r="O489" s="3" t="str">
        <f>VLOOKUP(Table2[[#This Row],[Tulu/kulu liik2]],Table5[],6,FALSE)</f>
        <v>Majandamiskulud</v>
      </c>
      <c r="P489" s="3" t="str">
        <f>VLOOKUP(Table2[[#This Row],[Tulu/kulu liik2]],Table5[],5,FALSE)</f>
        <v>Põhitegevuse kulu</v>
      </c>
    </row>
    <row r="490" spans="1:16" x14ac:dyDescent="0.25">
      <c r="A490" t="str">
        <f t="shared" si="14"/>
        <v>08</v>
      </c>
      <c r="B490" t="s">
        <v>316</v>
      </c>
      <c r="C490" s="3" t="str">
        <f>VLOOKUP(Table2[[#This Row],[Tegevusala]],Table4[],2,FALSE)</f>
        <v xml:space="preserve"> Roela Rahvamaja</v>
      </c>
      <c r="D490" s="3" t="str">
        <f>VLOOKUP(Table2[[#This Row],[Tegevusala]],Table4[[Tegevusala kood]:[Tegevusala alanimetus]],4,FALSE)</f>
        <v>Rahvakultuur</v>
      </c>
      <c r="E490" s="3" t="str">
        <f>VLOOKUP(Table2[[#This Row],[Tegevusala nimetus2]],Table4[[Tegevusala nimetus]:[Tegevusala koondnimetus]],2,FALSE)</f>
        <v>Vabaaeg, kultuur ja religioon</v>
      </c>
      <c r="F490" t="s">
        <v>1788</v>
      </c>
      <c r="G490" t="s">
        <v>1489</v>
      </c>
      <c r="H490" s="40">
        <v>220</v>
      </c>
      <c r="I490" s="2" t="s">
        <v>1818</v>
      </c>
      <c r="J490">
        <v>5511</v>
      </c>
      <c r="K490" s="3" t="str">
        <f>VLOOKUP(Table2[[#This Row],[Konto]],Table5[[Konto]:[Konto nimetus]],2,FALSE)</f>
        <v>Kinnistute, hoonete ja ruumide majandamiskulud</v>
      </c>
      <c r="L490">
        <v>55</v>
      </c>
      <c r="M490" t="str">
        <f t="shared" si="15"/>
        <v>55</v>
      </c>
      <c r="N490" s="3" t="str">
        <f>VLOOKUP(Table2[[#This Row],[Tulu/kulu liik2]],Table5[[Tulu/kulu liik]:[Kontode koondnimetus]],4,FALSE)</f>
        <v>Muud tegevuskulud</v>
      </c>
      <c r="O490" s="3" t="str">
        <f>VLOOKUP(Table2[[#This Row],[Tulu/kulu liik2]],Table5[],6,FALSE)</f>
        <v>Majandamiskulud</v>
      </c>
      <c r="P490" s="3" t="str">
        <f>VLOOKUP(Table2[[#This Row],[Tulu/kulu liik2]],Table5[],5,FALSE)</f>
        <v>Põhitegevuse kulu</v>
      </c>
    </row>
    <row r="491" spans="1:16" x14ac:dyDescent="0.25">
      <c r="A491" t="str">
        <f t="shared" si="14"/>
        <v>08</v>
      </c>
      <c r="B491" t="s">
        <v>316</v>
      </c>
      <c r="C491" s="3" t="str">
        <f>VLOOKUP(Table2[[#This Row],[Tegevusala]],Table4[],2,FALSE)</f>
        <v xml:space="preserve"> Roela Rahvamaja</v>
      </c>
      <c r="D491" s="3" t="str">
        <f>VLOOKUP(Table2[[#This Row],[Tegevusala]],Table4[[Tegevusala kood]:[Tegevusala alanimetus]],4,FALSE)</f>
        <v>Rahvakultuur</v>
      </c>
      <c r="E491" s="3" t="str">
        <f>VLOOKUP(Table2[[#This Row],[Tegevusala nimetus2]],Table4[[Tegevusala nimetus]:[Tegevusala koondnimetus]],2,FALSE)</f>
        <v>Vabaaeg, kultuur ja religioon</v>
      </c>
      <c r="F491" t="s">
        <v>1788</v>
      </c>
      <c r="G491" t="s">
        <v>1802</v>
      </c>
      <c r="H491" s="40">
        <v>730</v>
      </c>
      <c r="I491" s="2" t="s">
        <v>1803</v>
      </c>
      <c r="J491">
        <v>5500</v>
      </c>
      <c r="K491" s="3" t="str">
        <f>VLOOKUP(Table2[[#This Row],[Konto]],Table5[[Konto]:[Konto nimetus]],2,FALSE)</f>
        <v>Administreerimiskulud</v>
      </c>
      <c r="L491">
        <v>55</v>
      </c>
      <c r="M491" t="str">
        <f t="shared" si="15"/>
        <v>55</v>
      </c>
      <c r="N491" s="3" t="str">
        <f>VLOOKUP(Table2[[#This Row],[Tulu/kulu liik2]],Table5[[Tulu/kulu liik]:[Kontode koondnimetus]],4,FALSE)</f>
        <v>Muud tegevuskulud</v>
      </c>
      <c r="O491" s="3" t="str">
        <f>VLOOKUP(Table2[[#This Row],[Tulu/kulu liik2]],Table5[],6,FALSE)</f>
        <v>Majandamiskulud</v>
      </c>
      <c r="P491" s="3" t="str">
        <f>VLOOKUP(Table2[[#This Row],[Tulu/kulu liik2]],Table5[],5,FALSE)</f>
        <v>Põhitegevuse kulu</v>
      </c>
    </row>
    <row r="492" spans="1:16" x14ac:dyDescent="0.25">
      <c r="A492" t="str">
        <f t="shared" si="14"/>
        <v>08</v>
      </c>
      <c r="B492" t="s">
        <v>316</v>
      </c>
      <c r="C492" s="3" t="str">
        <f>VLOOKUP(Table2[[#This Row],[Tegevusala]],Table4[],2,FALSE)</f>
        <v xml:space="preserve"> Roela Rahvamaja</v>
      </c>
      <c r="D492" s="3" t="str">
        <f>VLOOKUP(Table2[[#This Row],[Tegevusala]],Table4[[Tegevusala kood]:[Tegevusala alanimetus]],4,FALSE)</f>
        <v>Rahvakultuur</v>
      </c>
      <c r="E492" s="3" t="str">
        <f>VLOOKUP(Table2[[#This Row],[Tegevusala nimetus2]],Table4[[Tegevusala nimetus]:[Tegevusala koondnimetus]],2,FALSE)</f>
        <v>Vabaaeg, kultuur ja religioon</v>
      </c>
      <c r="F492" t="s">
        <v>1788</v>
      </c>
      <c r="G492" t="s">
        <v>1804</v>
      </c>
      <c r="H492" s="40">
        <v>120</v>
      </c>
      <c r="I492" s="3">
        <v>5273878</v>
      </c>
      <c r="J492">
        <v>5500</v>
      </c>
      <c r="K492" s="3" t="str">
        <f>VLOOKUP(Table2[[#This Row],[Konto]],Table5[[Konto]:[Konto nimetus]],2,FALSE)</f>
        <v>Administreerimiskulud</v>
      </c>
      <c r="L492">
        <v>55</v>
      </c>
      <c r="M492" t="str">
        <f t="shared" si="15"/>
        <v>55</v>
      </c>
      <c r="N492" s="3" t="str">
        <f>VLOOKUP(Table2[[#This Row],[Tulu/kulu liik2]],Table5[[Tulu/kulu liik]:[Kontode koondnimetus]],4,FALSE)</f>
        <v>Muud tegevuskulud</v>
      </c>
      <c r="O492" s="3" t="str">
        <f>VLOOKUP(Table2[[#This Row],[Tulu/kulu liik2]],Table5[],6,FALSE)</f>
        <v>Majandamiskulud</v>
      </c>
      <c r="P492" s="3" t="str">
        <f>VLOOKUP(Table2[[#This Row],[Tulu/kulu liik2]],Table5[],5,FALSE)</f>
        <v>Põhitegevuse kulu</v>
      </c>
    </row>
    <row r="493" spans="1:16" x14ac:dyDescent="0.25">
      <c r="A493" t="str">
        <f t="shared" si="14"/>
        <v>08</v>
      </c>
      <c r="B493" t="s">
        <v>316</v>
      </c>
      <c r="C493" s="3" t="str">
        <f>VLOOKUP(Table2[[#This Row],[Tegevusala]],Table4[],2,FALSE)</f>
        <v xml:space="preserve"> Roela Rahvamaja</v>
      </c>
      <c r="D493" s="3" t="str">
        <f>VLOOKUP(Table2[[#This Row],[Tegevusala]],Table4[[Tegevusala kood]:[Tegevusala alanimetus]],4,FALSE)</f>
        <v>Rahvakultuur</v>
      </c>
      <c r="E493" s="3" t="str">
        <f>VLOOKUP(Table2[[#This Row],[Tegevusala nimetus2]],Table4[[Tegevusala nimetus]:[Tegevusala koondnimetus]],2,FALSE)</f>
        <v>Vabaaeg, kultuur ja religioon</v>
      </c>
      <c r="F493" t="s">
        <v>1788</v>
      </c>
      <c r="G493" t="s">
        <v>169</v>
      </c>
      <c r="H493" s="40">
        <v>110</v>
      </c>
      <c r="I493" s="2" t="s">
        <v>1805</v>
      </c>
      <c r="J493">
        <v>5500</v>
      </c>
      <c r="K493" s="3" t="str">
        <f>VLOOKUP(Table2[[#This Row],[Konto]],Table5[[Konto]:[Konto nimetus]],2,FALSE)</f>
        <v>Administreerimiskulud</v>
      </c>
      <c r="L493">
        <v>55</v>
      </c>
      <c r="M493" t="str">
        <f t="shared" si="15"/>
        <v>55</v>
      </c>
      <c r="N493" s="3" t="str">
        <f>VLOOKUP(Table2[[#This Row],[Tulu/kulu liik2]],Table5[[Tulu/kulu liik]:[Kontode koondnimetus]],4,FALSE)</f>
        <v>Muud tegevuskulud</v>
      </c>
      <c r="O493" s="3" t="str">
        <f>VLOOKUP(Table2[[#This Row],[Tulu/kulu liik2]],Table5[],6,FALSE)</f>
        <v>Majandamiskulud</v>
      </c>
      <c r="P493" s="3" t="str">
        <f>VLOOKUP(Table2[[#This Row],[Tulu/kulu liik2]],Table5[],5,FALSE)</f>
        <v>Põhitegevuse kulu</v>
      </c>
    </row>
    <row r="494" spans="1:16" x14ac:dyDescent="0.25">
      <c r="A494" t="str">
        <f t="shared" si="14"/>
        <v>08</v>
      </c>
      <c r="B494" t="s">
        <v>316</v>
      </c>
      <c r="C494" s="3" t="str">
        <f>VLOOKUP(Table2[[#This Row],[Tegevusala]],Table4[],2,FALSE)</f>
        <v xml:space="preserve"> Roela Rahvamaja</v>
      </c>
      <c r="D494" s="3" t="str">
        <f>VLOOKUP(Table2[[#This Row],[Tegevusala]],Table4[[Tegevusala kood]:[Tegevusala alanimetus]],4,FALSE)</f>
        <v>Rahvakultuur</v>
      </c>
      <c r="E494" s="3" t="str">
        <f>VLOOKUP(Table2[[#This Row],[Tegevusala nimetus2]],Table4[[Tegevusala nimetus]:[Tegevusala koondnimetus]],2,FALSE)</f>
        <v>Vabaaeg, kultuur ja religioon</v>
      </c>
      <c r="F494" t="s">
        <v>1788</v>
      </c>
      <c r="G494" t="s">
        <v>1806</v>
      </c>
      <c r="H494" s="40">
        <v>190</v>
      </c>
      <c r="I494" s="2" t="s">
        <v>1807</v>
      </c>
      <c r="J494">
        <v>5500</v>
      </c>
      <c r="K494" s="3" t="str">
        <f>VLOOKUP(Table2[[#This Row],[Konto]],Table5[[Konto]:[Konto nimetus]],2,FALSE)</f>
        <v>Administreerimiskulud</v>
      </c>
      <c r="L494">
        <v>55</v>
      </c>
      <c r="M494" t="str">
        <f t="shared" si="15"/>
        <v>55</v>
      </c>
      <c r="N494" s="3" t="str">
        <f>VLOOKUP(Table2[[#This Row],[Tulu/kulu liik2]],Table5[[Tulu/kulu liik]:[Kontode koondnimetus]],4,FALSE)</f>
        <v>Muud tegevuskulud</v>
      </c>
      <c r="O494" s="3" t="str">
        <f>VLOOKUP(Table2[[#This Row],[Tulu/kulu liik2]],Table5[],6,FALSE)</f>
        <v>Majandamiskulud</v>
      </c>
      <c r="P494" s="3" t="str">
        <f>VLOOKUP(Table2[[#This Row],[Tulu/kulu liik2]],Table5[],5,FALSE)</f>
        <v>Põhitegevuse kulu</v>
      </c>
    </row>
    <row r="495" spans="1:16" x14ac:dyDescent="0.25">
      <c r="A495" t="str">
        <f t="shared" si="14"/>
        <v>08</v>
      </c>
      <c r="B495" t="s">
        <v>316</v>
      </c>
      <c r="C495" s="3" t="str">
        <f>VLOOKUP(Table2[[#This Row],[Tegevusala]],Table4[],2,FALSE)</f>
        <v xml:space="preserve"> Roela Rahvamaja</v>
      </c>
      <c r="D495" s="3" t="str">
        <f>VLOOKUP(Table2[[#This Row],[Tegevusala]],Table4[[Tegevusala kood]:[Tegevusala alanimetus]],4,FALSE)</f>
        <v>Rahvakultuur</v>
      </c>
      <c r="E495" s="3" t="str">
        <f>VLOOKUP(Table2[[#This Row],[Tegevusala nimetus2]],Table4[[Tegevusala nimetus]:[Tegevusala koondnimetus]],2,FALSE)</f>
        <v>Vabaaeg, kultuur ja religioon</v>
      </c>
      <c r="F495" t="s">
        <v>1788</v>
      </c>
      <c r="G495" t="s">
        <v>1521</v>
      </c>
      <c r="H495" s="40">
        <v>560</v>
      </c>
      <c r="I495" s="2" t="s">
        <v>1808</v>
      </c>
      <c r="J495">
        <v>5504</v>
      </c>
      <c r="K495" s="3" t="str">
        <f>VLOOKUP(Table2[[#This Row],[Konto]],Table5[[Konto]:[Konto nimetus]],2,FALSE)</f>
        <v>Koolituskulud</v>
      </c>
      <c r="L495">
        <v>55</v>
      </c>
      <c r="M495" t="str">
        <f t="shared" si="15"/>
        <v>55</v>
      </c>
      <c r="N495" s="3" t="str">
        <f>VLOOKUP(Table2[[#This Row],[Tulu/kulu liik2]],Table5[[Tulu/kulu liik]:[Kontode koondnimetus]],4,FALSE)</f>
        <v>Muud tegevuskulud</v>
      </c>
      <c r="O495" s="3" t="str">
        <f>VLOOKUP(Table2[[#This Row],[Tulu/kulu liik2]],Table5[],6,FALSE)</f>
        <v>Majandamiskulud</v>
      </c>
      <c r="P495" s="3" t="str">
        <f>VLOOKUP(Table2[[#This Row],[Tulu/kulu liik2]],Table5[],5,FALSE)</f>
        <v>Põhitegevuse kulu</v>
      </c>
    </row>
    <row r="496" spans="1:16" x14ac:dyDescent="0.25">
      <c r="A496" t="str">
        <f t="shared" si="14"/>
        <v>08</v>
      </c>
      <c r="B496" t="s">
        <v>316</v>
      </c>
      <c r="C496" s="3" t="str">
        <f>VLOOKUP(Table2[[#This Row],[Tegevusala]],Table4[],2,FALSE)</f>
        <v xml:space="preserve"> Roela Rahvamaja</v>
      </c>
      <c r="D496" s="3" t="str">
        <f>VLOOKUP(Table2[[#This Row],[Tegevusala]],Table4[[Tegevusala kood]:[Tegevusala alanimetus]],4,FALSE)</f>
        <v>Rahvakultuur</v>
      </c>
      <c r="E496" s="3" t="str">
        <f>VLOOKUP(Table2[[#This Row],[Tegevusala nimetus2]],Table4[[Tegevusala nimetus]:[Tegevusala koondnimetus]],2,FALSE)</f>
        <v>Vabaaeg, kultuur ja religioon</v>
      </c>
      <c r="F496" t="s">
        <v>1788</v>
      </c>
      <c r="G496" t="s">
        <v>1650</v>
      </c>
      <c r="H496" s="40">
        <v>1536</v>
      </c>
      <c r="I496" s="2" t="s">
        <v>1819</v>
      </c>
      <c r="J496">
        <v>5513</v>
      </c>
      <c r="K496" s="3" t="str">
        <f>VLOOKUP(Table2[[#This Row],[Konto]],Table5[[Konto]:[Konto nimetus]],2,FALSE)</f>
        <v>Sõidukite ülalpidamise kulud</v>
      </c>
      <c r="L496">
        <v>55</v>
      </c>
      <c r="M496" t="str">
        <f t="shared" si="15"/>
        <v>55</v>
      </c>
      <c r="N496" s="3" t="str">
        <f>VLOOKUP(Table2[[#This Row],[Tulu/kulu liik2]],Table5[[Tulu/kulu liik]:[Kontode koondnimetus]],4,FALSE)</f>
        <v>Muud tegevuskulud</v>
      </c>
      <c r="O496" s="3" t="str">
        <f>VLOOKUP(Table2[[#This Row],[Tulu/kulu liik2]],Table5[],6,FALSE)</f>
        <v>Majandamiskulud</v>
      </c>
      <c r="P496" s="3" t="str">
        <f>VLOOKUP(Table2[[#This Row],[Tulu/kulu liik2]],Table5[],5,FALSE)</f>
        <v>Põhitegevuse kulu</v>
      </c>
    </row>
    <row r="497" spans="1:16" x14ac:dyDescent="0.25">
      <c r="A497" t="str">
        <f t="shared" si="14"/>
        <v>08</v>
      </c>
      <c r="B497" t="s">
        <v>316</v>
      </c>
      <c r="C497" s="3" t="str">
        <f>VLOOKUP(Table2[[#This Row],[Tegevusala]],Table4[],2,FALSE)</f>
        <v xml:space="preserve"> Roela Rahvamaja</v>
      </c>
      <c r="D497" s="3" t="str">
        <f>VLOOKUP(Table2[[#This Row],[Tegevusala]],Table4[[Tegevusala kood]:[Tegevusala alanimetus]],4,FALSE)</f>
        <v>Rahvakultuur</v>
      </c>
      <c r="E497" s="3" t="str">
        <f>VLOOKUP(Table2[[#This Row],[Tegevusala nimetus2]],Table4[[Tegevusala nimetus]:[Tegevusala koondnimetus]],2,FALSE)</f>
        <v>Vabaaeg, kultuur ja religioon</v>
      </c>
      <c r="F497" t="s">
        <v>1788</v>
      </c>
      <c r="G497" t="s">
        <v>1792</v>
      </c>
      <c r="H497" s="40">
        <v>400</v>
      </c>
      <c r="I497" s="2" t="s">
        <v>1793</v>
      </c>
      <c r="J497">
        <v>5525</v>
      </c>
      <c r="K497" s="3" t="str">
        <f>VLOOKUP(Table2[[#This Row],[Konto]],Table5[[Konto]:[Konto nimetus]],2,FALSE)</f>
        <v>Kommunikatsiooni-, kultuuri- ja vaba aja sisustamise kulud</v>
      </c>
      <c r="L497">
        <v>55</v>
      </c>
      <c r="M497" t="str">
        <f t="shared" si="15"/>
        <v>55</v>
      </c>
      <c r="N497" s="3" t="str">
        <f>VLOOKUP(Table2[[#This Row],[Tulu/kulu liik2]],Table5[[Tulu/kulu liik]:[Kontode koondnimetus]],4,FALSE)</f>
        <v>Muud tegevuskulud</v>
      </c>
      <c r="O497" s="3" t="str">
        <f>VLOOKUP(Table2[[#This Row],[Tulu/kulu liik2]],Table5[],6,FALSE)</f>
        <v>Majandamiskulud</v>
      </c>
      <c r="P497" s="3" t="str">
        <f>VLOOKUP(Table2[[#This Row],[Tulu/kulu liik2]],Table5[],5,FALSE)</f>
        <v>Põhitegevuse kulu</v>
      </c>
    </row>
    <row r="498" spans="1:16" x14ac:dyDescent="0.25">
      <c r="A498" t="str">
        <f t="shared" si="14"/>
        <v>08</v>
      </c>
      <c r="B498" t="s">
        <v>316</v>
      </c>
      <c r="C498" s="3" t="str">
        <f>VLOOKUP(Table2[[#This Row],[Tegevusala]],Table4[],2,FALSE)</f>
        <v xml:space="preserve"> Roela Rahvamaja</v>
      </c>
      <c r="D498" s="3" t="str">
        <f>VLOOKUP(Table2[[#This Row],[Tegevusala]],Table4[[Tegevusala kood]:[Tegevusala alanimetus]],4,FALSE)</f>
        <v>Rahvakultuur</v>
      </c>
      <c r="E498" s="3" t="str">
        <f>VLOOKUP(Table2[[#This Row],[Tegevusala nimetus2]],Table4[[Tegevusala nimetus]:[Tegevusala koondnimetus]],2,FALSE)</f>
        <v>Vabaaeg, kultuur ja religioon</v>
      </c>
      <c r="F498" t="s">
        <v>1788</v>
      </c>
      <c r="G498" t="s">
        <v>1822</v>
      </c>
      <c r="H498" s="40">
        <v>3200</v>
      </c>
      <c r="J498">
        <v>5515</v>
      </c>
      <c r="K498" s="3" t="str">
        <f>VLOOKUP(Table2[[#This Row],[Konto]],Table5[[Konto]:[Konto nimetus]],2,FALSE)</f>
        <v>Inventari kulud, v.a infotehnoloogia ja kaitseotstarbelised kulud</v>
      </c>
      <c r="L498">
        <v>55</v>
      </c>
      <c r="M498" t="str">
        <f t="shared" si="15"/>
        <v>55</v>
      </c>
      <c r="N498" s="3" t="str">
        <f>VLOOKUP(Table2[[#This Row],[Tulu/kulu liik2]],Table5[[Tulu/kulu liik]:[Kontode koondnimetus]],4,FALSE)</f>
        <v>Muud tegevuskulud</v>
      </c>
      <c r="O498" s="3" t="str">
        <f>VLOOKUP(Table2[[#This Row],[Tulu/kulu liik2]],Table5[],6,FALSE)</f>
        <v>Majandamiskulud</v>
      </c>
      <c r="P498" s="3" t="str">
        <f>VLOOKUP(Table2[[#This Row],[Tulu/kulu liik2]],Table5[],5,FALSE)</f>
        <v>Põhitegevuse kulu</v>
      </c>
    </row>
    <row r="499" spans="1:16" x14ac:dyDescent="0.25">
      <c r="A499" t="str">
        <f t="shared" si="14"/>
        <v>08</v>
      </c>
      <c r="B499" t="s">
        <v>316</v>
      </c>
      <c r="C499" s="3" t="str">
        <f>VLOOKUP(Table2[[#This Row],[Tegevusala]],Table4[],2,FALSE)</f>
        <v xml:space="preserve"> Roela Rahvamaja</v>
      </c>
      <c r="D499" s="3" t="str">
        <f>VLOOKUP(Table2[[#This Row],[Tegevusala]],Table4[[Tegevusala kood]:[Tegevusala alanimetus]],4,FALSE)</f>
        <v>Rahvakultuur</v>
      </c>
      <c r="E499" s="3" t="str">
        <f>VLOOKUP(Table2[[#This Row],[Tegevusala nimetus2]],Table4[[Tegevusala nimetus]:[Tegevusala koondnimetus]],2,FALSE)</f>
        <v>Vabaaeg, kultuur ja religioon</v>
      </c>
      <c r="F499" t="s">
        <v>1788</v>
      </c>
      <c r="G499" t="s">
        <v>1823</v>
      </c>
      <c r="H499" s="40">
        <v>400</v>
      </c>
      <c r="J499">
        <v>5522</v>
      </c>
      <c r="K499" s="3" t="str">
        <f>VLOOKUP(Table2[[#This Row],[Konto]],Table5[[Konto]:[Konto nimetus]],2,FALSE)</f>
        <v>Meditsiinikulud ja hügieenitarbed</v>
      </c>
      <c r="L499">
        <v>55</v>
      </c>
      <c r="M499" t="str">
        <f t="shared" si="15"/>
        <v>55</v>
      </c>
      <c r="N499" s="3" t="str">
        <f>VLOOKUP(Table2[[#This Row],[Tulu/kulu liik2]],Table5[[Tulu/kulu liik]:[Kontode koondnimetus]],4,FALSE)</f>
        <v>Muud tegevuskulud</v>
      </c>
      <c r="O499" s="3" t="str">
        <f>VLOOKUP(Table2[[#This Row],[Tulu/kulu liik2]],Table5[],6,FALSE)</f>
        <v>Majandamiskulud</v>
      </c>
      <c r="P499" s="3" t="str">
        <f>VLOOKUP(Table2[[#This Row],[Tulu/kulu liik2]],Table5[],5,FALSE)</f>
        <v>Põhitegevuse kulu</v>
      </c>
    </row>
    <row r="500" spans="1:16" x14ac:dyDescent="0.25">
      <c r="A500" t="str">
        <f t="shared" si="14"/>
        <v>08</v>
      </c>
      <c r="B500" t="s">
        <v>316</v>
      </c>
      <c r="C500" s="3" t="str">
        <f>VLOOKUP(Table2[[#This Row],[Tegevusala]],Table4[],2,FALSE)</f>
        <v xml:space="preserve"> Roela Rahvamaja</v>
      </c>
      <c r="D500" s="3" t="str">
        <f>VLOOKUP(Table2[[#This Row],[Tegevusala]],Table4[[Tegevusala kood]:[Tegevusala alanimetus]],4,FALSE)</f>
        <v>Rahvakultuur</v>
      </c>
      <c r="E500" s="3" t="str">
        <f>VLOOKUP(Table2[[#This Row],[Tegevusala nimetus2]],Table4[[Tegevusala nimetus]:[Tegevusala koondnimetus]],2,FALSE)</f>
        <v>Vabaaeg, kultuur ja religioon</v>
      </c>
      <c r="F500" t="s">
        <v>1788</v>
      </c>
      <c r="G500" t="s">
        <v>1824</v>
      </c>
      <c r="H500" s="40">
        <v>390</v>
      </c>
      <c r="J500">
        <v>5524</v>
      </c>
      <c r="K500" s="3" t="str">
        <f>VLOOKUP(Table2[[#This Row],[Konto]],Table5[[Konto]:[Konto nimetus]],2,FALSE)</f>
        <v>Õppevahendid</v>
      </c>
      <c r="L500">
        <v>55</v>
      </c>
      <c r="M500" t="str">
        <f t="shared" si="15"/>
        <v>55</v>
      </c>
      <c r="N500" s="3" t="str">
        <f>VLOOKUP(Table2[[#This Row],[Tulu/kulu liik2]],Table5[[Tulu/kulu liik]:[Kontode koondnimetus]],4,FALSE)</f>
        <v>Muud tegevuskulud</v>
      </c>
      <c r="O500" s="3" t="str">
        <f>VLOOKUP(Table2[[#This Row],[Tulu/kulu liik2]],Table5[],6,FALSE)</f>
        <v>Majandamiskulud</v>
      </c>
      <c r="P500" s="3" t="str">
        <f>VLOOKUP(Table2[[#This Row],[Tulu/kulu liik2]],Table5[],5,FALSE)</f>
        <v>Põhitegevuse kulu</v>
      </c>
    </row>
    <row r="501" spans="1:16" x14ac:dyDescent="0.25">
      <c r="A501" t="str">
        <f t="shared" si="14"/>
        <v>08</v>
      </c>
      <c r="B501" t="s">
        <v>316</v>
      </c>
      <c r="C501" s="3" t="str">
        <f>VLOOKUP(Table2[[#This Row],[Tegevusala]],Table4[],2,FALSE)</f>
        <v xml:space="preserve"> Roela Rahvamaja</v>
      </c>
      <c r="D501" s="3" t="str">
        <f>VLOOKUP(Table2[[#This Row],[Tegevusala]],Table4[[Tegevusala kood]:[Tegevusala alanimetus]],4,FALSE)</f>
        <v>Rahvakultuur</v>
      </c>
      <c r="E501" s="3" t="str">
        <f>VLOOKUP(Table2[[#This Row],[Tegevusala nimetus2]],Table4[[Tegevusala nimetus]:[Tegevusala koondnimetus]],2,FALSE)</f>
        <v>Vabaaeg, kultuur ja religioon</v>
      </c>
      <c r="F501" t="s">
        <v>1788</v>
      </c>
      <c r="G501" t="s">
        <v>242</v>
      </c>
      <c r="H501" s="40">
        <v>100</v>
      </c>
      <c r="J501">
        <v>5514</v>
      </c>
      <c r="K501" s="3" t="str">
        <f>VLOOKUP(Table2[[#This Row],[Konto]],Table5[[Konto]:[Konto nimetus]],2,FALSE)</f>
        <v>Info- ja kommunikatsioonitehnoliigised kulud</v>
      </c>
      <c r="L501">
        <v>55</v>
      </c>
      <c r="M501" t="str">
        <f t="shared" si="15"/>
        <v>55</v>
      </c>
      <c r="N501" s="3" t="str">
        <f>VLOOKUP(Table2[[#This Row],[Tulu/kulu liik2]],Table5[[Tulu/kulu liik]:[Kontode koondnimetus]],4,FALSE)</f>
        <v>Muud tegevuskulud</v>
      </c>
      <c r="O501" s="34" t="str">
        <f>VLOOKUP(Table2[[#This Row],[Tulu/kulu liik2]],Table5[],6,FALSE)</f>
        <v>Majandamiskulud</v>
      </c>
      <c r="P501" s="3" t="str">
        <f>VLOOKUP(Table2[[#This Row],[Tulu/kulu liik2]],Table5[],5,FALSE)</f>
        <v>Põhitegevuse kulu</v>
      </c>
    </row>
    <row r="502" spans="1:16" x14ac:dyDescent="0.25">
      <c r="A502" t="str">
        <f t="shared" si="14"/>
        <v>08</v>
      </c>
      <c r="B502" t="s">
        <v>316</v>
      </c>
      <c r="C502" s="3" t="str">
        <f>VLOOKUP(Table2[[#This Row],[Tegevusala]],Table4[],2,FALSE)</f>
        <v xml:space="preserve"> Roela Rahvamaja</v>
      </c>
      <c r="D502" s="3" t="str">
        <f>VLOOKUP(Table2[[#This Row],[Tegevusala]],Table4[[Tegevusala kood]:[Tegevusala alanimetus]],4,FALSE)</f>
        <v>Rahvakultuur</v>
      </c>
      <c r="E502" s="3" t="str">
        <f>VLOOKUP(Table2[[#This Row],[Tegevusala nimetus2]],Table4[[Tegevusala nimetus]:[Tegevusala koondnimetus]],2,FALSE)</f>
        <v>Vabaaeg, kultuur ja religioon</v>
      </c>
      <c r="F502" t="s">
        <v>1788</v>
      </c>
      <c r="G502" t="s">
        <v>1794</v>
      </c>
      <c r="H502" s="40">
        <v>1200</v>
      </c>
      <c r="I502" s="2" t="s">
        <v>1796</v>
      </c>
      <c r="J502">
        <v>5525</v>
      </c>
      <c r="K502" s="3" t="str">
        <f>VLOOKUP(Table2[[#This Row],[Konto]],Table5[[Konto]:[Konto nimetus]],2,FALSE)</f>
        <v>Kommunikatsiooni-, kultuuri- ja vaba aja sisustamise kulud</v>
      </c>
      <c r="L502">
        <v>55</v>
      </c>
      <c r="M502" t="str">
        <f t="shared" si="15"/>
        <v>55</v>
      </c>
      <c r="N502" s="3" t="str">
        <f>VLOOKUP(Table2[[#This Row],[Tulu/kulu liik2]],Table5[[Tulu/kulu liik]:[Kontode koondnimetus]],4,FALSE)</f>
        <v>Muud tegevuskulud</v>
      </c>
      <c r="O502" s="34" t="str">
        <f>VLOOKUP(Table2[[#This Row],[Tulu/kulu liik2]],Table5[],6,FALSE)</f>
        <v>Majandamiskulud</v>
      </c>
      <c r="P502" s="3" t="str">
        <f>VLOOKUP(Table2[[#This Row],[Tulu/kulu liik2]],Table5[],5,FALSE)</f>
        <v>Põhitegevuse kulu</v>
      </c>
    </row>
    <row r="503" spans="1:16" x14ac:dyDescent="0.25">
      <c r="A503" t="str">
        <f t="shared" si="14"/>
        <v>08</v>
      </c>
      <c r="B503" t="s">
        <v>316</v>
      </c>
      <c r="C503" s="3" t="str">
        <f>VLOOKUP(Table2[[#This Row],[Tegevusala]],Table4[],2,FALSE)</f>
        <v xml:space="preserve"> Roela Rahvamaja</v>
      </c>
      <c r="D503" s="3" t="str">
        <f>VLOOKUP(Table2[[#This Row],[Tegevusala]],Table4[[Tegevusala kood]:[Tegevusala alanimetus]],4,FALSE)</f>
        <v>Rahvakultuur</v>
      </c>
      <c r="E503" s="3" t="str">
        <f>VLOOKUP(Table2[[#This Row],[Tegevusala nimetus2]],Table4[[Tegevusala nimetus]:[Tegevusala koondnimetus]],2,FALSE)</f>
        <v>Vabaaeg, kultuur ja religioon</v>
      </c>
      <c r="F503" t="s">
        <v>1788</v>
      </c>
      <c r="G503" t="s">
        <v>1795</v>
      </c>
      <c r="H503" s="40">
        <v>1500</v>
      </c>
      <c r="I503" s="2" t="s">
        <v>1797</v>
      </c>
      <c r="J503">
        <v>5525</v>
      </c>
      <c r="K503" s="3" t="str">
        <f>VLOOKUP(Table2[[#This Row],[Konto]],Table5[[Konto]:[Konto nimetus]],2,FALSE)</f>
        <v>Kommunikatsiooni-, kultuuri- ja vaba aja sisustamise kulud</v>
      </c>
      <c r="L503">
        <v>55</v>
      </c>
      <c r="M503" t="str">
        <f t="shared" si="15"/>
        <v>55</v>
      </c>
      <c r="N503" s="3" t="str">
        <f>VLOOKUP(Table2[[#This Row],[Tulu/kulu liik2]],Table5[[Tulu/kulu liik]:[Kontode koondnimetus]],4,FALSE)</f>
        <v>Muud tegevuskulud</v>
      </c>
      <c r="O503" s="34" t="str">
        <f>VLOOKUP(Table2[[#This Row],[Tulu/kulu liik2]],Table5[],6,FALSE)</f>
        <v>Majandamiskulud</v>
      </c>
      <c r="P503" s="3" t="str">
        <f>VLOOKUP(Table2[[#This Row],[Tulu/kulu liik2]],Table5[],5,FALSE)</f>
        <v>Põhitegevuse kulu</v>
      </c>
    </row>
    <row r="504" spans="1:16" x14ac:dyDescent="0.25">
      <c r="A504" t="str">
        <f t="shared" si="14"/>
        <v>08</v>
      </c>
      <c r="B504" t="s">
        <v>316</v>
      </c>
      <c r="C504" s="3" t="str">
        <f>VLOOKUP(Table2[[#This Row],[Tegevusala]],Table4[],2,FALSE)</f>
        <v xml:space="preserve"> Roela Rahvamaja</v>
      </c>
      <c r="D504" s="3" t="str">
        <f>VLOOKUP(Table2[[#This Row],[Tegevusala]],Table4[[Tegevusala kood]:[Tegevusala alanimetus]],4,FALSE)</f>
        <v>Rahvakultuur</v>
      </c>
      <c r="E504" s="3" t="str">
        <f>VLOOKUP(Table2[[#This Row],[Tegevusala nimetus2]],Table4[[Tegevusala nimetus]:[Tegevusala koondnimetus]],2,FALSE)</f>
        <v>Vabaaeg, kultuur ja religioon</v>
      </c>
      <c r="F504" t="s">
        <v>1788</v>
      </c>
      <c r="G504" t="s">
        <v>1798</v>
      </c>
      <c r="H504" s="40">
        <v>1000</v>
      </c>
      <c r="I504" s="2" t="s">
        <v>1800</v>
      </c>
      <c r="J504">
        <v>5525</v>
      </c>
      <c r="K504" s="3" t="str">
        <f>VLOOKUP(Table2[[#This Row],[Konto]],Table5[[Konto]:[Konto nimetus]],2,FALSE)</f>
        <v>Kommunikatsiooni-, kultuuri- ja vaba aja sisustamise kulud</v>
      </c>
      <c r="L504">
        <v>55</v>
      </c>
      <c r="M504" t="str">
        <f t="shared" si="15"/>
        <v>55</v>
      </c>
      <c r="N504" s="3" t="str">
        <f>VLOOKUP(Table2[[#This Row],[Tulu/kulu liik2]],Table5[[Tulu/kulu liik]:[Kontode koondnimetus]],4,FALSE)</f>
        <v>Muud tegevuskulud</v>
      </c>
      <c r="O504" s="34" t="str">
        <f>VLOOKUP(Table2[[#This Row],[Tulu/kulu liik2]],Table5[],6,FALSE)</f>
        <v>Majandamiskulud</v>
      </c>
      <c r="P504" s="3" t="str">
        <f>VLOOKUP(Table2[[#This Row],[Tulu/kulu liik2]],Table5[],5,FALSE)</f>
        <v>Põhitegevuse kulu</v>
      </c>
    </row>
    <row r="505" spans="1:16" x14ac:dyDescent="0.25">
      <c r="A505" t="str">
        <f t="shared" si="14"/>
        <v>08</v>
      </c>
      <c r="B505" t="s">
        <v>316</v>
      </c>
      <c r="C505" s="3" t="str">
        <f>VLOOKUP(Table2[[#This Row],[Tegevusala]],Table4[],2,FALSE)</f>
        <v xml:space="preserve"> Roela Rahvamaja</v>
      </c>
      <c r="D505" s="3" t="str">
        <f>VLOOKUP(Table2[[#This Row],[Tegevusala]],Table4[[Tegevusala kood]:[Tegevusala alanimetus]],4,FALSE)</f>
        <v>Rahvakultuur</v>
      </c>
      <c r="E505" s="3" t="str">
        <f>VLOOKUP(Table2[[#This Row],[Tegevusala nimetus2]],Table4[[Tegevusala nimetus]:[Tegevusala koondnimetus]],2,FALSE)</f>
        <v>Vabaaeg, kultuur ja religioon</v>
      </c>
      <c r="F505" t="s">
        <v>1788</v>
      </c>
      <c r="G505" t="s">
        <v>1799</v>
      </c>
      <c r="H505" s="40">
        <v>2500</v>
      </c>
      <c r="I505" s="2" t="s">
        <v>1801</v>
      </c>
      <c r="J505">
        <v>5525</v>
      </c>
      <c r="K505" s="3" t="str">
        <f>VLOOKUP(Table2[[#This Row],[Konto]],Table5[[Konto]:[Konto nimetus]],2,FALSE)</f>
        <v>Kommunikatsiooni-, kultuuri- ja vaba aja sisustamise kulud</v>
      </c>
      <c r="L505">
        <v>55</v>
      </c>
      <c r="M505" t="str">
        <f t="shared" si="15"/>
        <v>55</v>
      </c>
      <c r="N505" s="3" t="str">
        <f>VLOOKUP(Table2[[#This Row],[Tulu/kulu liik2]],Table5[[Tulu/kulu liik]:[Kontode koondnimetus]],4,FALSE)</f>
        <v>Muud tegevuskulud</v>
      </c>
      <c r="O505" s="34" t="str">
        <f>VLOOKUP(Table2[[#This Row],[Tulu/kulu liik2]],Table5[],6,FALSE)</f>
        <v>Majandamiskulud</v>
      </c>
      <c r="P505" s="3" t="str">
        <f>VLOOKUP(Table2[[#This Row],[Tulu/kulu liik2]],Table5[],5,FALSE)</f>
        <v>Põhitegevuse kulu</v>
      </c>
    </row>
    <row r="506" spans="1:16" x14ac:dyDescent="0.25">
      <c r="A506" t="str">
        <f t="shared" si="14"/>
        <v>08</v>
      </c>
      <c r="B506" t="s">
        <v>316</v>
      </c>
      <c r="C506" s="3" t="str">
        <f>VLOOKUP(Table2[[#This Row],[Tegevusala]],Table4[],2,FALSE)</f>
        <v xml:space="preserve"> Roela Rahvamaja</v>
      </c>
      <c r="D506" s="3" t="str">
        <f>VLOOKUP(Table2[[#This Row],[Tegevusala]],Table4[[Tegevusala kood]:[Tegevusala alanimetus]],4,FALSE)</f>
        <v>Rahvakultuur</v>
      </c>
      <c r="E506" s="3" t="str">
        <f>VLOOKUP(Table2[[#This Row],[Tegevusala nimetus2]],Table4[[Tegevusala nimetus]:[Tegevusala koondnimetus]],2,FALSE)</f>
        <v>Vabaaeg, kultuur ja religioon</v>
      </c>
      <c r="F506" t="s">
        <v>1788</v>
      </c>
      <c r="G506" t="s">
        <v>2115</v>
      </c>
      <c r="H506" s="40">
        <v>50</v>
      </c>
      <c r="I506" s="2" t="s">
        <v>440</v>
      </c>
      <c r="J506">
        <v>5525</v>
      </c>
      <c r="K506" s="3" t="str">
        <f>VLOOKUP(Table2[[#This Row],[Konto]],Table5[[Konto]:[Konto nimetus]],2,FALSE)</f>
        <v>Kommunikatsiooni-, kultuuri- ja vaba aja sisustamise kulud</v>
      </c>
      <c r="L506">
        <v>55</v>
      </c>
      <c r="M506" t="str">
        <f t="shared" si="15"/>
        <v>55</v>
      </c>
      <c r="N506" s="3" t="str">
        <f>VLOOKUP(Table2[[#This Row],[Tulu/kulu liik2]],Table5[[Tulu/kulu liik]:[Kontode koondnimetus]],4,FALSE)</f>
        <v>Muud tegevuskulud</v>
      </c>
      <c r="O506" s="34" t="str">
        <f>VLOOKUP(Table2[[#This Row],[Tulu/kulu liik2]],Table5[],6,FALSE)</f>
        <v>Majandamiskulud</v>
      </c>
      <c r="P506" s="3" t="str">
        <f>VLOOKUP(Table2[[#This Row],[Tulu/kulu liik2]],Table5[],5,FALSE)</f>
        <v>Põhitegevuse kulu</v>
      </c>
    </row>
    <row r="507" spans="1:16" x14ac:dyDescent="0.25">
      <c r="A507" t="str">
        <f t="shared" si="14"/>
        <v>08</v>
      </c>
      <c r="B507" t="s">
        <v>316</v>
      </c>
      <c r="C507" s="3" t="str">
        <f>VLOOKUP(Table2[[#This Row],[Tegevusala]],Table4[],2,FALSE)</f>
        <v xml:space="preserve"> Roela Rahvamaja</v>
      </c>
      <c r="D507" s="3" t="str">
        <f>VLOOKUP(Table2[[#This Row],[Tegevusala]],Table4[[Tegevusala kood]:[Tegevusala alanimetus]],4,FALSE)</f>
        <v>Rahvakultuur</v>
      </c>
      <c r="E507" s="3" t="str">
        <f>VLOOKUP(Table2[[#This Row],[Tegevusala nimetus2]],Table4[[Tegevusala nimetus]:[Tegevusala koondnimetus]],2,FALSE)</f>
        <v>Vabaaeg, kultuur ja religioon</v>
      </c>
      <c r="F507" t="s">
        <v>1788</v>
      </c>
      <c r="G507" t="s">
        <v>1820</v>
      </c>
      <c r="H507" s="40">
        <v>400</v>
      </c>
      <c r="I507" s="2" t="s">
        <v>1821</v>
      </c>
      <c r="J507">
        <v>5540</v>
      </c>
      <c r="K507" s="3" t="str">
        <f>VLOOKUP(Table2[[#This Row],[Konto]],Table5[[Konto]:[Konto nimetus]],2,FALSE)</f>
        <v>Mitmesugused majanduskulud</v>
      </c>
      <c r="L507">
        <v>55</v>
      </c>
      <c r="M507" t="str">
        <f t="shared" si="15"/>
        <v>55</v>
      </c>
      <c r="N507" s="3" t="str">
        <f>VLOOKUP(Table2[[#This Row],[Tulu/kulu liik2]],Table5[[Tulu/kulu liik]:[Kontode koondnimetus]],4,FALSE)</f>
        <v>Muud tegevuskulud</v>
      </c>
      <c r="O507" s="34" t="str">
        <f>VLOOKUP(Table2[[#This Row],[Tulu/kulu liik2]],Table5[],6,FALSE)</f>
        <v>Majandamiskulud</v>
      </c>
      <c r="P507" s="3" t="str">
        <f>VLOOKUP(Table2[[#This Row],[Tulu/kulu liik2]],Table5[],5,FALSE)</f>
        <v>Põhitegevuse kulu</v>
      </c>
    </row>
    <row r="508" spans="1:16" x14ac:dyDescent="0.25">
      <c r="A508" t="str">
        <f t="shared" si="14"/>
        <v>08</v>
      </c>
      <c r="B508" t="s">
        <v>320</v>
      </c>
      <c r="C508" s="3" t="str">
        <f>VLOOKUP(Table2[[#This Row],[Tegevusala]],Table4[],2,FALSE)</f>
        <v xml:space="preserve"> Laekvere Rahvamaja</v>
      </c>
      <c r="D508" s="3" t="str">
        <f>VLOOKUP(Table2[[#This Row],[Tegevusala]],Table4[[Tegevusala kood]:[Tegevusala alanimetus]],4,FALSE)</f>
        <v>Rahvakultuur</v>
      </c>
      <c r="E508" s="3" t="str">
        <f>VLOOKUP(Table2[[#This Row],[Tegevusala nimetus2]],Table4[[Tegevusala nimetus]:[Tegevusala koondnimetus]],2,FALSE)</f>
        <v>Vabaaeg, kultuur ja religioon</v>
      </c>
      <c r="F508" t="s">
        <v>1110</v>
      </c>
      <c r="G508" t="s">
        <v>1119</v>
      </c>
      <c r="H508" s="40">
        <v>300</v>
      </c>
      <c r="J508">
        <v>5500</v>
      </c>
      <c r="K508" s="3" t="str">
        <f>VLOOKUP(Table2[[#This Row],[Konto]],Table5[[Konto]:[Konto nimetus]],2,FALSE)</f>
        <v>Administreerimiskulud</v>
      </c>
      <c r="L508">
        <v>55</v>
      </c>
      <c r="M508" t="str">
        <f t="shared" si="15"/>
        <v>55</v>
      </c>
      <c r="N508" s="3" t="str">
        <f>VLOOKUP(Table2[[#This Row],[Tulu/kulu liik2]],Table5[[Tulu/kulu liik]:[Kontode koondnimetus]],4,FALSE)</f>
        <v>Muud tegevuskulud</v>
      </c>
      <c r="O508" s="34" t="str">
        <f>VLOOKUP(Table2[[#This Row],[Tulu/kulu liik2]],Table5[],6,FALSE)</f>
        <v>Majandamiskulud</v>
      </c>
      <c r="P508" s="3" t="str">
        <f>VLOOKUP(Table2[[#This Row],[Tulu/kulu liik2]],Table5[],5,FALSE)</f>
        <v>Põhitegevuse kulu</v>
      </c>
    </row>
    <row r="509" spans="1:16" x14ac:dyDescent="0.25">
      <c r="A509" t="str">
        <f t="shared" si="14"/>
        <v>08</v>
      </c>
      <c r="B509" t="s">
        <v>320</v>
      </c>
      <c r="C509" s="3" t="str">
        <f>VLOOKUP(Table2[[#This Row],[Tegevusala]],Table4[],2,FALSE)</f>
        <v xml:space="preserve"> Laekvere Rahvamaja</v>
      </c>
      <c r="D509" s="3" t="str">
        <f>VLOOKUP(Table2[[#This Row],[Tegevusala]],Table4[[Tegevusala kood]:[Tegevusala alanimetus]],4,FALSE)</f>
        <v>Rahvakultuur</v>
      </c>
      <c r="E509" s="3" t="str">
        <f>VLOOKUP(Table2[[#This Row],[Tegevusala nimetus2]],Table4[[Tegevusala nimetus]:[Tegevusala koondnimetus]],2,FALSE)</f>
        <v>Vabaaeg, kultuur ja religioon</v>
      </c>
      <c r="F509" t="s">
        <v>1110</v>
      </c>
      <c r="G509" t="s">
        <v>1120</v>
      </c>
      <c r="H509" s="40">
        <v>500</v>
      </c>
      <c r="J509">
        <v>5500</v>
      </c>
      <c r="K509" s="3" t="str">
        <f>VLOOKUP(Table2[[#This Row],[Konto]],Table5[[Konto]:[Konto nimetus]],2,FALSE)</f>
        <v>Administreerimiskulud</v>
      </c>
      <c r="L509">
        <v>55</v>
      </c>
      <c r="M509" t="str">
        <f t="shared" si="15"/>
        <v>55</v>
      </c>
      <c r="N509" s="3" t="str">
        <f>VLOOKUP(Table2[[#This Row],[Tulu/kulu liik2]],Table5[[Tulu/kulu liik]:[Kontode koondnimetus]],4,FALSE)</f>
        <v>Muud tegevuskulud</v>
      </c>
      <c r="O509" s="3" t="str">
        <f>VLOOKUP(Table2[[#This Row],[Tulu/kulu liik2]],Table5[],6,FALSE)</f>
        <v>Majandamiskulud</v>
      </c>
      <c r="P509" s="3" t="str">
        <f>VLOOKUP(Table2[[#This Row],[Tulu/kulu liik2]],Table5[],5,FALSE)</f>
        <v>Põhitegevuse kulu</v>
      </c>
    </row>
    <row r="510" spans="1:16" x14ac:dyDescent="0.25">
      <c r="A510" t="str">
        <f t="shared" si="14"/>
        <v>08</v>
      </c>
      <c r="B510" t="s">
        <v>320</v>
      </c>
      <c r="C510" s="3" t="str">
        <f>VLOOKUP(Table2[[#This Row],[Tegevusala]],Table4[],2,FALSE)</f>
        <v xml:space="preserve"> Laekvere Rahvamaja</v>
      </c>
      <c r="D510" s="3" t="str">
        <f>VLOOKUP(Table2[[#This Row],[Tegevusala]],Table4[[Tegevusala kood]:[Tegevusala alanimetus]],4,FALSE)</f>
        <v>Rahvakultuur</v>
      </c>
      <c r="E510" s="3" t="str">
        <f>VLOOKUP(Table2[[#This Row],[Tegevusala nimetus2]],Table4[[Tegevusala nimetus]:[Tegevusala koondnimetus]],2,FALSE)</f>
        <v>Vabaaeg, kultuur ja religioon</v>
      </c>
      <c r="F510" t="s">
        <v>1110</v>
      </c>
      <c r="G510" t="s">
        <v>1121</v>
      </c>
      <c r="H510" s="40">
        <v>300</v>
      </c>
      <c r="I510" s="2" t="s">
        <v>1122</v>
      </c>
      <c r="J510">
        <v>5500</v>
      </c>
      <c r="K510" s="3" t="str">
        <f>VLOOKUP(Table2[[#This Row],[Konto]],Table5[[Konto]:[Konto nimetus]],2,FALSE)</f>
        <v>Administreerimiskulud</v>
      </c>
      <c r="L510">
        <v>55</v>
      </c>
      <c r="M510" t="str">
        <f t="shared" si="15"/>
        <v>55</v>
      </c>
      <c r="N510" s="3" t="str">
        <f>VLOOKUP(Table2[[#This Row],[Tulu/kulu liik2]],Table5[[Tulu/kulu liik]:[Kontode koondnimetus]],4,FALSE)</f>
        <v>Muud tegevuskulud</v>
      </c>
      <c r="O510" s="3" t="str">
        <f>VLOOKUP(Table2[[#This Row],[Tulu/kulu liik2]],Table5[],6,FALSE)</f>
        <v>Majandamiskulud</v>
      </c>
      <c r="P510" s="3" t="str">
        <f>VLOOKUP(Table2[[#This Row],[Tulu/kulu liik2]],Table5[],5,FALSE)</f>
        <v>Põhitegevuse kulu</v>
      </c>
    </row>
    <row r="511" spans="1:16" x14ac:dyDescent="0.25">
      <c r="A511" t="str">
        <f t="shared" si="14"/>
        <v>08</v>
      </c>
      <c r="B511" t="s">
        <v>320</v>
      </c>
      <c r="C511" s="3" t="str">
        <f>VLOOKUP(Table2[[#This Row],[Tegevusala]],Table4[],2,FALSE)</f>
        <v xml:space="preserve"> Laekvere Rahvamaja</v>
      </c>
      <c r="D511" s="3" t="str">
        <f>VLOOKUP(Table2[[#This Row],[Tegevusala]],Table4[[Tegevusala kood]:[Tegevusala alanimetus]],4,FALSE)</f>
        <v>Rahvakultuur</v>
      </c>
      <c r="E511" s="3" t="str">
        <f>VLOOKUP(Table2[[#This Row],[Tegevusala nimetus2]],Table4[[Tegevusala nimetus]:[Tegevusala koondnimetus]],2,FALSE)</f>
        <v>Vabaaeg, kultuur ja religioon</v>
      </c>
      <c r="F511" t="s">
        <v>1110</v>
      </c>
      <c r="G511" t="s">
        <v>1123</v>
      </c>
      <c r="H511" s="40">
        <v>100</v>
      </c>
      <c r="J511">
        <v>5500</v>
      </c>
      <c r="K511" s="3" t="str">
        <f>VLOOKUP(Table2[[#This Row],[Konto]],Table5[[Konto]:[Konto nimetus]],2,FALSE)</f>
        <v>Administreerimiskulud</v>
      </c>
      <c r="L511">
        <v>55</v>
      </c>
      <c r="M511" t="str">
        <f t="shared" si="15"/>
        <v>55</v>
      </c>
      <c r="N511" s="3" t="str">
        <f>VLOOKUP(Table2[[#This Row],[Tulu/kulu liik2]],Table5[[Tulu/kulu liik]:[Kontode koondnimetus]],4,FALSE)</f>
        <v>Muud tegevuskulud</v>
      </c>
      <c r="O511" s="3" t="str">
        <f>VLOOKUP(Table2[[#This Row],[Tulu/kulu liik2]],Table5[],6,FALSE)</f>
        <v>Majandamiskulud</v>
      </c>
      <c r="P511" s="3" t="str">
        <f>VLOOKUP(Table2[[#This Row],[Tulu/kulu liik2]],Table5[],5,FALSE)</f>
        <v>Põhitegevuse kulu</v>
      </c>
    </row>
    <row r="512" spans="1:16" x14ac:dyDescent="0.25">
      <c r="A512" t="str">
        <f t="shared" si="14"/>
        <v>08</v>
      </c>
      <c r="B512" t="s">
        <v>320</v>
      </c>
      <c r="C512" s="3" t="str">
        <f>VLOOKUP(Table2[[#This Row],[Tegevusala]],Table4[],2,FALSE)</f>
        <v xml:space="preserve"> Laekvere Rahvamaja</v>
      </c>
      <c r="D512" s="3" t="str">
        <f>VLOOKUP(Table2[[#This Row],[Tegevusala]],Table4[[Tegevusala kood]:[Tegevusala alanimetus]],4,FALSE)</f>
        <v>Rahvakultuur</v>
      </c>
      <c r="E512" s="3" t="str">
        <f>VLOOKUP(Table2[[#This Row],[Tegevusala nimetus2]],Table4[[Tegevusala nimetus]:[Tegevusala koondnimetus]],2,FALSE)</f>
        <v>Vabaaeg, kultuur ja religioon</v>
      </c>
      <c r="F512" t="s">
        <v>1110</v>
      </c>
      <c r="G512" t="s">
        <v>1124</v>
      </c>
      <c r="H512" s="40">
        <v>400</v>
      </c>
      <c r="J512">
        <v>5500</v>
      </c>
      <c r="K512" s="3" t="str">
        <f>VLOOKUP(Table2[[#This Row],[Konto]],Table5[[Konto]:[Konto nimetus]],2,FALSE)</f>
        <v>Administreerimiskulud</v>
      </c>
      <c r="L512">
        <v>55</v>
      </c>
      <c r="M512" t="str">
        <f t="shared" si="15"/>
        <v>55</v>
      </c>
      <c r="N512" s="3" t="str">
        <f>VLOOKUP(Table2[[#This Row],[Tulu/kulu liik2]],Table5[[Tulu/kulu liik]:[Kontode koondnimetus]],4,FALSE)</f>
        <v>Muud tegevuskulud</v>
      </c>
      <c r="O512" s="3" t="str">
        <f>VLOOKUP(Table2[[#This Row],[Tulu/kulu liik2]],Table5[],6,FALSE)</f>
        <v>Majandamiskulud</v>
      </c>
      <c r="P512" s="3" t="str">
        <f>VLOOKUP(Table2[[#This Row],[Tulu/kulu liik2]],Table5[],5,FALSE)</f>
        <v>Põhitegevuse kulu</v>
      </c>
    </row>
    <row r="513" spans="1:16" x14ac:dyDescent="0.25">
      <c r="A513" t="str">
        <f t="shared" si="14"/>
        <v>08</v>
      </c>
      <c r="B513" t="s">
        <v>320</v>
      </c>
      <c r="C513" s="3" t="str">
        <f>VLOOKUP(Table2[[#This Row],[Tegevusala]],Table4[],2,FALSE)</f>
        <v xml:space="preserve"> Laekvere Rahvamaja</v>
      </c>
      <c r="D513" s="3" t="str">
        <f>VLOOKUP(Table2[[#This Row],[Tegevusala]],Table4[[Tegevusala kood]:[Tegevusala alanimetus]],4,FALSE)</f>
        <v>Rahvakultuur</v>
      </c>
      <c r="E513" s="3" t="str">
        <f>VLOOKUP(Table2[[#This Row],[Tegevusala nimetus2]],Table4[[Tegevusala nimetus]:[Tegevusala koondnimetus]],2,FALSE)</f>
        <v>Vabaaeg, kultuur ja religioon</v>
      </c>
      <c r="F513" t="s">
        <v>1110</v>
      </c>
      <c r="G513" t="s">
        <v>409</v>
      </c>
      <c r="H513" s="40">
        <f>500-300</f>
        <v>200</v>
      </c>
      <c r="J513">
        <v>5504</v>
      </c>
      <c r="K513" s="3" t="str">
        <f>VLOOKUP(Table2[[#This Row],[Konto]],Table5[[Konto]:[Konto nimetus]],2,FALSE)</f>
        <v>Koolituskulud</v>
      </c>
      <c r="L513">
        <v>55</v>
      </c>
      <c r="M513" t="str">
        <f t="shared" si="15"/>
        <v>55</v>
      </c>
      <c r="N513" s="3" t="str">
        <f>VLOOKUP(Table2[[#This Row],[Tulu/kulu liik2]],Table5[[Tulu/kulu liik]:[Kontode koondnimetus]],4,FALSE)</f>
        <v>Muud tegevuskulud</v>
      </c>
      <c r="O513" s="3" t="str">
        <f>VLOOKUP(Table2[[#This Row],[Tulu/kulu liik2]],Table5[],6,FALSE)</f>
        <v>Majandamiskulud</v>
      </c>
      <c r="P513" s="3" t="str">
        <f>VLOOKUP(Table2[[#This Row],[Tulu/kulu liik2]],Table5[],5,FALSE)</f>
        <v>Põhitegevuse kulu</v>
      </c>
    </row>
    <row r="514" spans="1:16" x14ac:dyDescent="0.25">
      <c r="A514" t="str">
        <f t="shared" ref="A514:A577" si="16">LEFT(B514,2)</f>
        <v>08</v>
      </c>
      <c r="B514" t="s">
        <v>320</v>
      </c>
      <c r="C514" s="3" t="str">
        <f>VLOOKUP(Table2[[#This Row],[Tegevusala]],Table4[],2,FALSE)</f>
        <v xml:space="preserve"> Laekvere Rahvamaja</v>
      </c>
      <c r="D514" s="3" t="str">
        <f>VLOOKUP(Table2[[#This Row],[Tegevusala]],Table4[[Tegevusala kood]:[Tegevusala alanimetus]],4,FALSE)</f>
        <v>Rahvakultuur</v>
      </c>
      <c r="E514" s="3" t="str">
        <f>VLOOKUP(Table2[[#This Row],[Tegevusala nimetus2]],Table4[[Tegevusala nimetus]:[Tegevusala koondnimetus]],2,FALSE)</f>
        <v>Vabaaeg, kultuur ja religioon</v>
      </c>
      <c r="F514" t="s">
        <v>1110</v>
      </c>
      <c r="G514" t="s">
        <v>442</v>
      </c>
      <c r="H514" s="40">
        <v>900</v>
      </c>
      <c r="J514">
        <v>5513</v>
      </c>
      <c r="K514" s="3" t="str">
        <f>VLOOKUP(Table2[[#This Row],[Konto]],Table5[[Konto]:[Konto nimetus]],2,FALSE)</f>
        <v>Sõidukite ülalpidamise kulud</v>
      </c>
      <c r="L514">
        <v>55</v>
      </c>
      <c r="M514" t="str">
        <f t="shared" ref="M514:M577" si="17">LEFT(J514,2)</f>
        <v>55</v>
      </c>
      <c r="N514" s="3" t="str">
        <f>VLOOKUP(Table2[[#This Row],[Tulu/kulu liik2]],Table5[[Tulu/kulu liik]:[Kontode koondnimetus]],4,FALSE)</f>
        <v>Muud tegevuskulud</v>
      </c>
      <c r="O514" s="3" t="str">
        <f>VLOOKUP(Table2[[#This Row],[Tulu/kulu liik2]],Table5[],6,FALSE)</f>
        <v>Majandamiskulud</v>
      </c>
      <c r="P514" s="3" t="str">
        <f>VLOOKUP(Table2[[#This Row],[Tulu/kulu liik2]],Table5[],5,FALSE)</f>
        <v>Põhitegevuse kulu</v>
      </c>
    </row>
    <row r="515" spans="1:16" x14ac:dyDescent="0.25">
      <c r="A515" t="str">
        <f t="shared" si="16"/>
        <v>08</v>
      </c>
      <c r="B515" t="s">
        <v>320</v>
      </c>
      <c r="C515" s="3" t="str">
        <f>VLOOKUP(Table2[[#This Row],[Tegevusala]],Table4[],2,FALSE)</f>
        <v xml:space="preserve"> Laekvere Rahvamaja</v>
      </c>
      <c r="D515" s="3" t="str">
        <f>VLOOKUP(Table2[[#This Row],[Tegevusala]],Table4[[Tegevusala kood]:[Tegevusala alanimetus]],4,FALSE)</f>
        <v>Rahvakultuur</v>
      </c>
      <c r="E515" s="3" t="str">
        <f>VLOOKUP(Table2[[#This Row],[Tegevusala nimetus2]],Table4[[Tegevusala nimetus]:[Tegevusala koondnimetus]],2,FALSE)</f>
        <v>Vabaaeg, kultuur ja religioon</v>
      </c>
      <c r="F515" t="s">
        <v>1110</v>
      </c>
      <c r="G515" t="s">
        <v>1137</v>
      </c>
      <c r="H515" s="40">
        <v>400</v>
      </c>
      <c r="J515">
        <v>5522</v>
      </c>
      <c r="K515" s="3" t="str">
        <f>VLOOKUP(Table2[[#This Row],[Konto]],Table5[[Konto]:[Konto nimetus]],2,FALSE)</f>
        <v>Meditsiinikulud ja hügieenitarbed</v>
      </c>
      <c r="L515">
        <v>55</v>
      </c>
      <c r="M515" t="str">
        <f t="shared" si="17"/>
        <v>55</v>
      </c>
      <c r="N515" s="3" t="str">
        <f>VLOOKUP(Table2[[#This Row],[Tulu/kulu liik2]],Table5[[Tulu/kulu liik]:[Kontode koondnimetus]],4,FALSE)</f>
        <v>Muud tegevuskulud</v>
      </c>
      <c r="O515" s="3" t="str">
        <f>VLOOKUP(Table2[[#This Row],[Tulu/kulu liik2]],Table5[],6,FALSE)</f>
        <v>Majandamiskulud</v>
      </c>
      <c r="P515" s="3" t="str">
        <f>VLOOKUP(Table2[[#This Row],[Tulu/kulu liik2]],Table5[],5,FALSE)</f>
        <v>Põhitegevuse kulu</v>
      </c>
    </row>
    <row r="516" spans="1:16" x14ac:dyDescent="0.25">
      <c r="A516" t="str">
        <f t="shared" si="16"/>
        <v>08</v>
      </c>
      <c r="B516" t="s">
        <v>320</v>
      </c>
      <c r="C516" s="3" t="str">
        <f>VLOOKUP(Table2[[#This Row],[Tegevusala]],Table4[],2,FALSE)</f>
        <v xml:space="preserve"> Laekvere Rahvamaja</v>
      </c>
      <c r="D516" s="3" t="str">
        <f>VLOOKUP(Table2[[#This Row],[Tegevusala]],Table4[[Tegevusala kood]:[Tegevusala alanimetus]],4,FALSE)</f>
        <v>Rahvakultuur</v>
      </c>
      <c r="E516" s="3" t="str">
        <f>VLOOKUP(Table2[[#This Row],[Tegevusala nimetus2]],Table4[[Tegevusala nimetus]:[Tegevusala koondnimetus]],2,FALSE)</f>
        <v>Vabaaeg, kultuur ja religioon</v>
      </c>
      <c r="F516" t="s">
        <v>1110</v>
      </c>
      <c r="G516" t="s">
        <v>786</v>
      </c>
      <c r="H516" s="40">
        <v>18800</v>
      </c>
      <c r="I516" s="2" t="s">
        <v>1136</v>
      </c>
      <c r="J516">
        <v>5525</v>
      </c>
      <c r="K516" s="3" t="str">
        <f>VLOOKUP(Table2[[#This Row],[Konto]],Table5[[Konto]:[Konto nimetus]],2,FALSE)</f>
        <v>Kommunikatsiooni-, kultuuri- ja vaba aja sisustamise kulud</v>
      </c>
      <c r="L516">
        <v>55</v>
      </c>
      <c r="M516" t="str">
        <f t="shared" si="17"/>
        <v>55</v>
      </c>
      <c r="N516" s="3" t="str">
        <f>VLOOKUP(Table2[[#This Row],[Tulu/kulu liik2]],Table5[[Tulu/kulu liik]:[Kontode koondnimetus]],4,FALSE)</f>
        <v>Muud tegevuskulud</v>
      </c>
      <c r="O516" s="3" t="str">
        <f>VLOOKUP(Table2[[#This Row],[Tulu/kulu liik2]],Table5[],6,FALSE)</f>
        <v>Majandamiskulud</v>
      </c>
      <c r="P516" s="3" t="str">
        <f>VLOOKUP(Table2[[#This Row],[Tulu/kulu liik2]],Table5[],5,FALSE)</f>
        <v>Põhitegevuse kulu</v>
      </c>
    </row>
    <row r="517" spans="1:16" x14ac:dyDescent="0.25">
      <c r="A517" t="str">
        <f t="shared" si="16"/>
        <v>08</v>
      </c>
      <c r="B517" t="s">
        <v>320</v>
      </c>
      <c r="C517" s="3" t="str">
        <f>VLOOKUP(Table2[[#This Row],[Tegevusala]],Table4[],2,FALSE)</f>
        <v xml:space="preserve"> Laekvere Rahvamaja</v>
      </c>
      <c r="D517" s="3" t="str">
        <f>VLOOKUP(Table2[[#This Row],[Tegevusala]],Table4[[Tegevusala kood]:[Tegevusala alanimetus]],4,FALSE)</f>
        <v>Rahvakultuur</v>
      </c>
      <c r="E517" s="3" t="str">
        <f>VLOOKUP(Table2[[#This Row],[Tegevusala nimetus2]],Table4[[Tegevusala nimetus]:[Tegevusala koondnimetus]],2,FALSE)</f>
        <v>Vabaaeg, kultuur ja religioon</v>
      </c>
      <c r="F517" t="s">
        <v>1110</v>
      </c>
      <c r="G517" t="s">
        <v>1138</v>
      </c>
      <c r="H517" s="40">
        <v>1000</v>
      </c>
      <c r="J517">
        <v>5525</v>
      </c>
      <c r="K517" s="3" t="str">
        <f>VLOOKUP(Table2[[#This Row],[Konto]],Table5[[Konto]:[Konto nimetus]],2,FALSE)</f>
        <v>Kommunikatsiooni-, kultuuri- ja vaba aja sisustamise kulud</v>
      </c>
      <c r="L517">
        <v>55</v>
      </c>
      <c r="M517" t="str">
        <f t="shared" si="17"/>
        <v>55</v>
      </c>
      <c r="N517" s="3" t="str">
        <f>VLOOKUP(Table2[[#This Row],[Tulu/kulu liik2]],Table5[[Tulu/kulu liik]:[Kontode koondnimetus]],4,FALSE)</f>
        <v>Muud tegevuskulud</v>
      </c>
      <c r="O517" s="3" t="str">
        <f>VLOOKUP(Table2[[#This Row],[Tulu/kulu liik2]],Table5[],6,FALSE)</f>
        <v>Majandamiskulud</v>
      </c>
      <c r="P517" s="3" t="str">
        <f>VLOOKUP(Table2[[#This Row],[Tulu/kulu liik2]],Table5[],5,FALSE)</f>
        <v>Põhitegevuse kulu</v>
      </c>
    </row>
    <row r="518" spans="1:16" x14ac:dyDescent="0.25">
      <c r="A518" t="str">
        <f t="shared" si="16"/>
        <v>08</v>
      </c>
      <c r="B518" t="s">
        <v>320</v>
      </c>
      <c r="C518" s="3" t="str">
        <f>VLOOKUP(Table2[[#This Row],[Tegevusala]],Table4[],2,FALSE)</f>
        <v xml:space="preserve"> Laekvere Rahvamaja</v>
      </c>
      <c r="D518" s="3" t="str">
        <f>VLOOKUP(Table2[[#This Row],[Tegevusala]],Table4[[Tegevusala kood]:[Tegevusala alanimetus]],4,FALSE)</f>
        <v>Rahvakultuur</v>
      </c>
      <c r="E518" s="3" t="str">
        <f>VLOOKUP(Table2[[#This Row],[Tegevusala nimetus2]],Table4[[Tegevusala nimetus]:[Tegevusala koondnimetus]],2,FALSE)</f>
        <v>Vabaaeg, kultuur ja religioon</v>
      </c>
      <c r="F518" t="s">
        <v>1110</v>
      </c>
      <c r="G518" t="s">
        <v>1125</v>
      </c>
      <c r="H518" s="40">
        <v>20000</v>
      </c>
      <c r="J518">
        <v>5511</v>
      </c>
      <c r="K518" s="3" t="str">
        <f>VLOOKUP(Table2[[#This Row],[Konto]],Table5[[Konto]:[Konto nimetus]],2,FALSE)</f>
        <v>Kinnistute, hoonete ja ruumide majandamiskulud</v>
      </c>
      <c r="L518">
        <v>55</v>
      </c>
      <c r="M518" t="str">
        <f t="shared" si="17"/>
        <v>55</v>
      </c>
      <c r="N518" s="3" t="str">
        <f>VLOOKUP(Table2[[#This Row],[Tulu/kulu liik2]],Table5[[Tulu/kulu liik]:[Kontode koondnimetus]],4,FALSE)</f>
        <v>Muud tegevuskulud</v>
      </c>
      <c r="O518" s="3" t="str">
        <f>VLOOKUP(Table2[[#This Row],[Tulu/kulu liik2]],Table5[],6,FALSE)</f>
        <v>Majandamiskulud</v>
      </c>
      <c r="P518" s="3" t="str">
        <f>VLOOKUP(Table2[[#This Row],[Tulu/kulu liik2]],Table5[],5,FALSE)</f>
        <v>Põhitegevuse kulu</v>
      </c>
    </row>
    <row r="519" spans="1:16" x14ac:dyDescent="0.25">
      <c r="A519" t="str">
        <f t="shared" si="16"/>
        <v>08</v>
      </c>
      <c r="B519" t="s">
        <v>320</v>
      </c>
      <c r="C519" s="3" t="str">
        <f>VLOOKUP(Table2[[#This Row],[Tegevusala]],Table4[],2,FALSE)</f>
        <v xml:space="preserve"> Laekvere Rahvamaja</v>
      </c>
      <c r="D519" s="3" t="str">
        <f>VLOOKUP(Table2[[#This Row],[Tegevusala]],Table4[[Tegevusala kood]:[Tegevusala alanimetus]],4,FALSE)</f>
        <v>Rahvakultuur</v>
      </c>
      <c r="E519" s="3" t="str">
        <f>VLOOKUP(Table2[[#This Row],[Tegevusala nimetus2]],Table4[[Tegevusala nimetus]:[Tegevusala koondnimetus]],2,FALSE)</f>
        <v>Vabaaeg, kultuur ja religioon</v>
      </c>
      <c r="F519" t="s">
        <v>1110</v>
      </c>
      <c r="G519" t="s">
        <v>943</v>
      </c>
      <c r="H519" s="40">
        <v>3000</v>
      </c>
      <c r="J519">
        <v>5511</v>
      </c>
      <c r="K519" s="3" t="str">
        <f>VLOOKUP(Table2[[#This Row],[Konto]],Table5[[Konto]:[Konto nimetus]],2,FALSE)</f>
        <v>Kinnistute, hoonete ja ruumide majandamiskulud</v>
      </c>
      <c r="L519">
        <v>55</v>
      </c>
      <c r="M519" t="str">
        <f t="shared" si="17"/>
        <v>55</v>
      </c>
      <c r="N519" s="3" t="str">
        <f>VLOOKUP(Table2[[#This Row],[Tulu/kulu liik2]],Table5[[Tulu/kulu liik]:[Kontode koondnimetus]],4,FALSE)</f>
        <v>Muud tegevuskulud</v>
      </c>
      <c r="O519" s="3" t="str">
        <f>VLOOKUP(Table2[[#This Row],[Tulu/kulu liik2]],Table5[],6,FALSE)</f>
        <v>Majandamiskulud</v>
      </c>
      <c r="P519" s="3" t="str">
        <f>VLOOKUP(Table2[[#This Row],[Tulu/kulu liik2]],Table5[],5,FALSE)</f>
        <v>Põhitegevuse kulu</v>
      </c>
    </row>
    <row r="520" spans="1:16" x14ac:dyDescent="0.25">
      <c r="A520" t="str">
        <f t="shared" si="16"/>
        <v>08</v>
      </c>
      <c r="B520" t="s">
        <v>320</v>
      </c>
      <c r="C520" s="3" t="str">
        <f>VLOOKUP(Table2[[#This Row],[Tegevusala]],Table4[],2,FALSE)</f>
        <v xml:space="preserve"> Laekvere Rahvamaja</v>
      </c>
      <c r="D520" s="3" t="str">
        <f>VLOOKUP(Table2[[#This Row],[Tegevusala]],Table4[[Tegevusala kood]:[Tegevusala alanimetus]],4,FALSE)</f>
        <v>Rahvakultuur</v>
      </c>
      <c r="E520" s="3" t="str">
        <f>VLOOKUP(Table2[[#This Row],[Tegevusala nimetus2]],Table4[[Tegevusala nimetus]:[Tegevusala koondnimetus]],2,FALSE)</f>
        <v>Vabaaeg, kultuur ja religioon</v>
      </c>
      <c r="F520" t="s">
        <v>1110</v>
      </c>
      <c r="G520" t="s">
        <v>1126</v>
      </c>
      <c r="H520" s="40">
        <v>400</v>
      </c>
      <c r="J520">
        <v>5511</v>
      </c>
      <c r="K520" s="3" t="str">
        <f>VLOOKUP(Table2[[#This Row],[Konto]],Table5[[Konto]:[Konto nimetus]],2,FALSE)</f>
        <v>Kinnistute, hoonete ja ruumide majandamiskulud</v>
      </c>
      <c r="L520">
        <v>55</v>
      </c>
      <c r="M520" t="str">
        <f t="shared" si="17"/>
        <v>55</v>
      </c>
      <c r="N520" s="3" t="str">
        <f>VLOOKUP(Table2[[#This Row],[Tulu/kulu liik2]],Table5[[Tulu/kulu liik]:[Kontode koondnimetus]],4,FALSE)</f>
        <v>Muud tegevuskulud</v>
      </c>
      <c r="O520" s="3" t="str">
        <f>VLOOKUP(Table2[[#This Row],[Tulu/kulu liik2]],Table5[],6,FALSE)</f>
        <v>Majandamiskulud</v>
      </c>
      <c r="P520" s="3" t="str">
        <f>VLOOKUP(Table2[[#This Row],[Tulu/kulu liik2]],Table5[],5,FALSE)</f>
        <v>Põhitegevuse kulu</v>
      </c>
    </row>
    <row r="521" spans="1:16" x14ac:dyDescent="0.25">
      <c r="A521" t="str">
        <f t="shared" si="16"/>
        <v>08</v>
      </c>
      <c r="B521" t="s">
        <v>320</v>
      </c>
      <c r="C521" s="3" t="str">
        <f>VLOOKUP(Table2[[#This Row],[Tegevusala]],Table4[],2,FALSE)</f>
        <v xml:space="preserve"> Laekvere Rahvamaja</v>
      </c>
      <c r="D521" s="3" t="str">
        <f>VLOOKUP(Table2[[#This Row],[Tegevusala]],Table4[[Tegevusala kood]:[Tegevusala alanimetus]],4,FALSE)</f>
        <v>Rahvakultuur</v>
      </c>
      <c r="E521" s="3" t="str">
        <f>VLOOKUP(Table2[[#This Row],[Tegevusala nimetus2]],Table4[[Tegevusala nimetus]:[Tegevusala koondnimetus]],2,FALSE)</f>
        <v>Vabaaeg, kultuur ja religioon</v>
      </c>
      <c r="F521" t="s">
        <v>1110</v>
      </c>
      <c r="G521" t="s">
        <v>1127</v>
      </c>
      <c r="H521" s="40">
        <f>4000-2000</f>
        <v>2000</v>
      </c>
      <c r="I521" s="2" t="s">
        <v>1128</v>
      </c>
      <c r="J521">
        <v>5511</v>
      </c>
      <c r="K521" s="3" t="str">
        <f>VLOOKUP(Table2[[#This Row],[Konto]],Table5[[Konto]:[Konto nimetus]],2,FALSE)</f>
        <v>Kinnistute, hoonete ja ruumide majandamiskulud</v>
      </c>
      <c r="L521">
        <v>55</v>
      </c>
      <c r="M521" t="str">
        <f t="shared" si="17"/>
        <v>55</v>
      </c>
      <c r="N521" s="3" t="str">
        <f>VLOOKUP(Table2[[#This Row],[Tulu/kulu liik2]],Table5[[Tulu/kulu liik]:[Kontode koondnimetus]],4,FALSE)</f>
        <v>Muud tegevuskulud</v>
      </c>
      <c r="O521" s="3" t="str">
        <f>VLOOKUP(Table2[[#This Row],[Tulu/kulu liik2]],Table5[],6,FALSE)</f>
        <v>Majandamiskulud</v>
      </c>
      <c r="P521" s="3" t="str">
        <f>VLOOKUP(Table2[[#This Row],[Tulu/kulu liik2]],Table5[],5,FALSE)</f>
        <v>Põhitegevuse kulu</v>
      </c>
    </row>
    <row r="522" spans="1:16" x14ac:dyDescent="0.25">
      <c r="A522" t="str">
        <f t="shared" si="16"/>
        <v>08</v>
      </c>
      <c r="B522" t="s">
        <v>320</v>
      </c>
      <c r="C522" s="3" t="str">
        <f>VLOOKUP(Table2[[#This Row],[Tegevusala]],Table4[],2,FALSE)</f>
        <v xml:space="preserve"> Laekvere Rahvamaja</v>
      </c>
      <c r="D522" s="3" t="str">
        <f>VLOOKUP(Table2[[#This Row],[Tegevusala]],Table4[[Tegevusala kood]:[Tegevusala alanimetus]],4,FALSE)</f>
        <v>Rahvakultuur</v>
      </c>
      <c r="E522" s="3" t="str">
        <f>VLOOKUP(Table2[[#This Row],[Tegevusala nimetus2]],Table4[[Tegevusala nimetus]:[Tegevusala koondnimetus]],2,FALSE)</f>
        <v>Vabaaeg, kultuur ja religioon</v>
      </c>
      <c r="F522" t="s">
        <v>1110</v>
      </c>
      <c r="G522" t="s">
        <v>971</v>
      </c>
      <c r="H522" s="40">
        <v>100</v>
      </c>
      <c r="J522">
        <v>5511</v>
      </c>
      <c r="K522" s="3" t="str">
        <f>VLOOKUP(Table2[[#This Row],[Konto]],Table5[[Konto]:[Konto nimetus]],2,FALSE)</f>
        <v>Kinnistute, hoonete ja ruumide majandamiskulud</v>
      </c>
      <c r="L522">
        <v>55</v>
      </c>
      <c r="M522" t="str">
        <f t="shared" si="17"/>
        <v>55</v>
      </c>
      <c r="N522" s="3" t="str">
        <f>VLOOKUP(Table2[[#This Row],[Tulu/kulu liik2]],Table5[[Tulu/kulu liik]:[Kontode koondnimetus]],4,FALSE)</f>
        <v>Muud tegevuskulud</v>
      </c>
      <c r="O522" s="3" t="str">
        <f>VLOOKUP(Table2[[#This Row],[Tulu/kulu liik2]],Table5[],6,FALSE)</f>
        <v>Majandamiskulud</v>
      </c>
      <c r="P522" s="3" t="str">
        <f>VLOOKUP(Table2[[#This Row],[Tulu/kulu liik2]],Table5[],5,FALSE)</f>
        <v>Põhitegevuse kulu</v>
      </c>
    </row>
    <row r="523" spans="1:16" x14ac:dyDescent="0.25">
      <c r="A523" t="str">
        <f t="shared" si="16"/>
        <v>08</v>
      </c>
      <c r="B523" t="s">
        <v>320</v>
      </c>
      <c r="C523" s="3" t="str">
        <f>VLOOKUP(Table2[[#This Row],[Tegevusala]],Table4[],2,FALSE)</f>
        <v xml:space="preserve"> Laekvere Rahvamaja</v>
      </c>
      <c r="D523" s="3" t="str">
        <f>VLOOKUP(Table2[[#This Row],[Tegevusala]],Table4[[Tegevusala kood]:[Tegevusala alanimetus]],4,FALSE)</f>
        <v>Rahvakultuur</v>
      </c>
      <c r="E523" s="3" t="str">
        <f>VLOOKUP(Table2[[#This Row],[Tegevusala nimetus2]],Table4[[Tegevusala nimetus]:[Tegevusala koondnimetus]],2,FALSE)</f>
        <v>Vabaaeg, kultuur ja religioon</v>
      </c>
      <c r="F523" t="s">
        <v>1110</v>
      </c>
      <c r="G523" t="s">
        <v>1129</v>
      </c>
      <c r="H523" s="40">
        <v>500</v>
      </c>
      <c r="J523">
        <v>5511</v>
      </c>
      <c r="K523" s="3" t="str">
        <f>VLOOKUP(Table2[[#This Row],[Konto]],Table5[[Konto]:[Konto nimetus]],2,FALSE)</f>
        <v>Kinnistute, hoonete ja ruumide majandamiskulud</v>
      </c>
      <c r="L523">
        <v>55</v>
      </c>
      <c r="M523" t="str">
        <f t="shared" si="17"/>
        <v>55</v>
      </c>
      <c r="N523" s="3" t="str">
        <f>VLOOKUP(Table2[[#This Row],[Tulu/kulu liik2]],Table5[[Tulu/kulu liik]:[Kontode koondnimetus]],4,FALSE)</f>
        <v>Muud tegevuskulud</v>
      </c>
      <c r="O523" s="3" t="str">
        <f>VLOOKUP(Table2[[#This Row],[Tulu/kulu liik2]],Table5[],6,FALSE)</f>
        <v>Majandamiskulud</v>
      </c>
      <c r="P523" s="3" t="str">
        <f>VLOOKUP(Table2[[#This Row],[Tulu/kulu liik2]],Table5[],5,FALSE)</f>
        <v>Põhitegevuse kulu</v>
      </c>
    </row>
    <row r="524" spans="1:16" x14ac:dyDescent="0.25">
      <c r="A524" t="str">
        <f t="shared" si="16"/>
        <v>08</v>
      </c>
      <c r="B524" t="s">
        <v>320</v>
      </c>
      <c r="C524" s="3" t="str">
        <f>VLOOKUP(Table2[[#This Row],[Tegevusala]],Table4[],2,FALSE)</f>
        <v xml:space="preserve"> Laekvere Rahvamaja</v>
      </c>
      <c r="D524" s="3" t="str">
        <f>VLOOKUP(Table2[[#This Row],[Tegevusala]],Table4[[Tegevusala kood]:[Tegevusala alanimetus]],4,FALSE)</f>
        <v>Rahvakultuur</v>
      </c>
      <c r="E524" s="3" t="str">
        <f>VLOOKUP(Table2[[#This Row],[Tegevusala nimetus2]],Table4[[Tegevusala nimetus]:[Tegevusala koondnimetus]],2,FALSE)</f>
        <v>Vabaaeg, kultuur ja religioon</v>
      </c>
      <c r="F524" t="s">
        <v>1110</v>
      </c>
      <c r="G524" t="s">
        <v>1130</v>
      </c>
      <c r="H524" s="40">
        <v>100</v>
      </c>
      <c r="J524">
        <v>5511</v>
      </c>
      <c r="K524" s="3" t="str">
        <f>VLOOKUP(Table2[[#This Row],[Konto]],Table5[[Konto]:[Konto nimetus]],2,FALSE)</f>
        <v>Kinnistute, hoonete ja ruumide majandamiskulud</v>
      </c>
      <c r="L524">
        <v>55</v>
      </c>
      <c r="M524" t="str">
        <f t="shared" si="17"/>
        <v>55</v>
      </c>
      <c r="N524" s="3" t="str">
        <f>VLOOKUP(Table2[[#This Row],[Tulu/kulu liik2]],Table5[[Tulu/kulu liik]:[Kontode koondnimetus]],4,FALSE)</f>
        <v>Muud tegevuskulud</v>
      </c>
      <c r="O524" s="3" t="str">
        <f>VLOOKUP(Table2[[#This Row],[Tulu/kulu liik2]],Table5[],6,FALSE)</f>
        <v>Majandamiskulud</v>
      </c>
      <c r="P524" s="3" t="str">
        <f>VLOOKUP(Table2[[#This Row],[Tulu/kulu liik2]],Table5[],5,FALSE)</f>
        <v>Põhitegevuse kulu</v>
      </c>
    </row>
    <row r="525" spans="1:16" x14ac:dyDescent="0.25">
      <c r="A525" t="str">
        <f t="shared" si="16"/>
        <v>08</v>
      </c>
      <c r="B525" t="s">
        <v>320</v>
      </c>
      <c r="C525" s="3" t="str">
        <f>VLOOKUP(Table2[[#This Row],[Tegevusala]],Table4[],2,FALSE)</f>
        <v xml:space="preserve"> Laekvere Rahvamaja</v>
      </c>
      <c r="D525" s="3" t="str">
        <f>VLOOKUP(Table2[[#This Row],[Tegevusala]],Table4[[Tegevusala kood]:[Tegevusala alanimetus]],4,FALSE)</f>
        <v>Rahvakultuur</v>
      </c>
      <c r="E525" s="3" t="str">
        <f>VLOOKUP(Table2[[#This Row],[Tegevusala nimetus2]],Table4[[Tegevusala nimetus]:[Tegevusala koondnimetus]],2,FALSE)</f>
        <v>Vabaaeg, kultuur ja religioon</v>
      </c>
      <c r="F525" t="s">
        <v>1110</v>
      </c>
      <c r="G525" t="s">
        <v>1131</v>
      </c>
      <c r="H525" s="40">
        <v>500</v>
      </c>
      <c r="I525" s="2" t="s">
        <v>1132</v>
      </c>
      <c r="J525">
        <v>5511</v>
      </c>
      <c r="K525" s="3" t="str">
        <f>VLOOKUP(Table2[[#This Row],[Konto]],Table5[[Konto]:[Konto nimetus]],2,FALSE)</f>
        <v>Kinnistute, hoonete ja ruumide majandamiskulud</v>
      </c>
      <c r="L525">
        <v>55</v>
      </c>
      <c r="M525" t="str">
        <f t="shared" si="17"/>
        <v>55</v>
      </c>
      <c r="N525" s="3" t="str">
        <f>VLOOKUP(Table2[[#This Row],[Tulu/kulu liik2]],Table5[[Tulu/kulu liik]:[Kontode koondnimetus]],4,FALSE)</f>
        <v>Muud tegevuskulud</v>
      </c>
      <c r="O525" s="3" t="str">
        <f>VLOOKUP(Table2[[#This Row],[Tulu/kulu liik2]],Table5[],6,FALSE)</f>
        <v>Majandamiskulud</v>
      </c>
      <c r="P525" s="3" t="str">
        <f>VLOOKUP(Table2[[#This Row],[Tulu/kulu liik2]],Table5[],5,FALSE)</f>
        <v>Põhitegevuse kulu</v>
      </c>
    </row>
    <row r="526" spans="1:16" hidden="1" x14ac:dyDescent="0.25">
      <c r="A526" t="str">
        <f t="shared" si="16"/>
        <v>08</v>
      </c>
      <c r="B526" t="s">
        <v>320</v>
      </c>
      <c r="C526" s="3" t="str">
        <f>VLOOKUP(Table2[[#This Row],[Tegevusala]],Table4[],2,FALSE)</f>
        <v xml:space="preserve"> Laekvere Rahvamaja</v>
      </c>
      <c r="D526" s="3" t="str">
        <f>VLOOKUP(Table2[[#This Row],[Tegevusala]],Table4[[Tegevusala kood]:[Tegevusala alanimetus]],4,FALSE)</f>
        <v>Rahvakultuur</v>
      </c>
      <c r="E526" s="3" t="str">
        <f>VLOOKUP(Table2[[#This Row],[Tegevusala nimetus2]],Table4[[Tegevusala nimetus]:[Tegevusala koondnimetus]],2,FALSE)</f>
        <v>Vabaaeg, kultuur ja religioon</v>
      </c>
      <c r="F526" t="s">
        <v>841</v>
      </c>
      <c r="G526" t="s">
        <v>2234</v>
      </c>
      <c r="H526" s="40">
        <v>64820</v>
      </c>
      <c r="J526">
        <v>1551</v>
      </c>
      <c r="K526" s="3" t="str">
        <f>VLOOKUP(Table2[[#This Row],[Konto]],Table5[[Konto]:[Konto nimetus]],2,FALSE)</f>
        <v>Rajatiste ja hoonete soetamine ja renoveerimine</v>
      </c>
      <c r="L526">
        <v>15</v>
      </c>
      <c r="M526" t="str">
        <f t="shared" si="17"/>
        <v>15</v>
      </c>
      <c r="N526" s="3" t="str">
        <f>VLOOKUP(Table2[[#This Row],[Tulu/kulu liik2]],Table5[[Tulu/kulu liik]:[Kontode koondnimetus]],4,FALSE)</f>
        <v>Põhivara soetus (-)</v>
      </c>
      <c r="O526" s="34" t="str">
        <f>VLOOKUP(Table2[[#This Row],[Tulu/kulu liik2]],Table5[],6,FALSE)</f>
        <v>Põhivara soetus (-)</v>
      </c>
      <c r="P526" s="3" t="str">
        <f>VLOOKUP(Table2[[#This Row],[Tulu/kulu liik2]],Table5[],5,FALSE)</f>
        <v>Investeerimistegevus</v>
      </c>
    </row>
    <row r="527" spans="1:16" hidden="1" x14ac:dyDescent="0.25">
      <c r="A527" t="str">
        <f t="shared" si="16"/>
        <v>08</v>
      </c>
      <c r="B527" t="s">
        <v>320</v>
      </c>
      <c r="C527" s="3" t="str">
        <f>VLOOKUP(Table2[[#This Row],[Tegevusala]],Table4[],2,FALSE)</f>
        <v xml:space="preserve"> Laekvere Rahvamaja</v>
      </c>
      <c r="D527" s="3" t="str">
        <f>VLOOKUP(Table2[[#This Row],[Tegevusala]],Table4[[Tegevusala kood]:[Tegevusala alanimetus]],4,FALSE)</f>
        <v>Rahvakultuur</v>
      </c>
      <c r="E527" s="3" t="str">
        <f>VLOOKUP(Table2[[#This Row],[Tegevusala nimetus2]],Table4[[Tegevusala nimetus]:[Tegevusala koondnimetus]],2,FALSE)</f>
        <v>Vabaaeg, kultuur ja religioon</v>
      </c>
      <c r="F527" t="s">
        <v>841</v>
      </c>
      <c r="G527" t="s">
        <v>2235</v>
      </c>
      <c r="H527" s="40">
        <v>32000</v>
      </c>
      <c r="J527">
        <v>1551</v>
      </c>
      <c r="K527" s="3" t="str">
        <f>VLOOKUP(Table2[[#This Row],[Konto]],Table5[[Konto]:[Konto nimetus]],2,FALSE)</f>
        <v>Rajatiste ja hoonete soetamine ja renoveerimine</v>
      </c>
      <c r="L527">
        <v>15</v>
      </c>
      <c r="M527" t="str">
        <f t="shared" si="17"/>
        <v>15</v>
      </c>
      <c r="N527" s="3" t="str">
        <f>VLOOKUP(Table2[[#This Row],[Tulu/kulu liik2]],Table5[[Tulu/kulu liik]:[Kontode koondnimetus]],4,FALSE)</f>
        <v>Põhivara soetus (-)</v>
      </c>
      <c r="O527" s="34" t="str">
        <f>VLOOKUP(Table2[[#This Row],[Tulu/kulu liik2]],Table5[],6,FALSE)</f>
        <v>Põhivara soetus (-)</v>
      </c>
      <c r="P527" s="3" t="str">
        <f>VLOOKUP(Table2[[#This Row],[Tulu/kulu liik2]],Table5[],5,FALSE)</f>
        <v>Investeerimistegevus</v>
      </c>
    </row>
    <row r="528" spans="1:16" x14ac:dyDescent="0.25">
      <c r="A528" t="str">
        <f t="shared" si="16"/>
        <v>08</v>
      </c>
      <c r="B528" t="s">
        <v>320</v>
      </c>
      <c r="C528" s="3" t="str">
        <f>VLOOKUP(Table2[[#This Row],[Tegevusala]],Table4[],2,FALSE)</f>
        <v xml:space="preserve"> Laekvere Rahvamaja</v>
      </c>
      <c r="D528" s="3" t="str">
        <f>VLOOKUP(Table2[[#This Row],[Tegevusala]],Table4[[Tegevusala kood]:[Tegevusala alanimetus]],4,FALSE)</f>
        <v>Rahvakultuur</v>
      </c>
      <c r="E528" s="3" t="str">
        <f>VLOOKUP(Table2[[#This Row],[Tegevusala nimetus2]],Table4[[Tegevusala nimetus]:[Tegevusala koondnimetus]],2,FALSE)</f>
        <v>Vabaaeg, kultuur ja religioon</v>
      </c>
      <c r="F528" t="s">
        <v>1110</v>
      </c>
      <c r="G528" t="s">
        <v>2179</v>
      </c>
      <c r="H528" s="40">
        <v>552</v>
      </c>
      <c r="J528">
        <v>5513</v>
      </c>
      <c r="K528" s="3" t="str">
        <f>VLOOKUP(Table2[[#This Row],[Konto]],Table5[[Konto]:[Konto nimetus]],2,FALSE)</f>
        <v>Sõidukite ülalpidamise kulud</v>
      </c>
      <c r="L528">
        <v>55</v>
      </c>
      <c r="M528" t="str">
        <f t="shared" si="17"/>
        <v>55</v>
      </c>
      <c r="N528" s="3" t="str">
        <f>VLOOKUP(Table2[[#This Row],[Tulu/kulu liik2]],Table5[[Tulu/kulu liik]:[Kontode koondnimetus]],4,FALSE)</f>
        <v>Muud tegevuskulud</v>
      </c>
      <c r="O528" s="34" t="str">
        <f>VLOOKUP(Table2[[#This Row],[Tulu/kulu liik2]],Table5[],6,FALSE)</f>
        <v>Majandamiskulud</v>
      </c>
      <c r="P528" s="3" t="str">
        <f>VLOOKUP(Table2[[#This Row],[Tulu/kulu liik2]],Table5[],5,FALSE)</f>
        <v>Põhitegevuse kulu</v>
      </c>
    </row>
    <row r="529" spans="1:16" hidden="1" x14ac:dyDescent="0.25">
      <c r="A529" t="str">
        <f t="shared" si="16"/>
        <v>08</v>
      </c>
      <c r="B529" t="s">
        <v>320</v>
      </c>
      <c r="C529" s="3" t="str">
        <f>VLOOKUP(Table2[[#This Row],[Tegevusala]],Table4[],2,FALSE)</f>
        <v xml:space="preserve"> Laekvere Rahvamaja</v>
      </c>
      <c r="D529" s="3" t="str">
        <f>VLOOKUP(Table2[[#This Row],[Tegevusala]],Table4[[Tegevusala kood]:[Tegevusala alanimetus]],4,FALSE)</f>
        <v>Rahvakultuur</v>
      </c>
      <c r="E529" s="3" t="str">
        <f>VLOOKUP(Table2[[#This Row],[Tegevusala nimetus2]],Table4[[Tegevusala nimetus]:[Tegevusala koondnimetus]],2,FALSE)</f>
        <v>Vabaaeg, kultuur ja religioon</v>
      </c>
      <c r="F529" t="s">
        <v>841</v>
      </c>
      <c r="G529" t="s">
        <v>2234</v>
      </c>
      <c r="H529" s="40">
        <v>20000</v>
      </c>
      <c r="I529" s="2" t="s">
        <v>2190</v>
      </c>
      <c r="J529">
        <v>1551</v>
      </c>
      <c r="K529" s="3" t="str">
        <f>VLOOKUP(Table2[[#This Row],[Konto]],Table5[[Konto]:[Konto nimetus]],2,FALSE)</f>
        <v>Rajatiste ja hoonete soetamine ja renoveerimine</v>
      </c>
      <c r="L529">
        <v>15</v>
      </c>
      <c r="M529" t="str">
        <f t="shared" si="17"/>
        <v>15</v>
      </c>
      <c r="N529" s="3" t="str">
        <f>VLOOKUP(Table2[[#This Row],[Tulu/kulu liik2]],Table5[[Tulu/kulu liik]:[Kontode koondnimetus]],4,FALSE)</f>
        <v>Põhivara soetus (-)</v>
      </c>
      <c r="O529" s="34" t="str">
        <f>VLOOKUP(Table2[[#This Row],[Tulu/kulu liik2]],Table5[],6,FALSE)</f>
        <v>Põhivara soetus (-)</v>
      </c>
      <c r="P529" s="3" t="str">
        <f>VLOOKUP(Table2[[#This Row],[Tulu/kulu liik2]],Table5[],5,FALSE)</f>
        <v>Investeerimistegevus</v>
      </c>
    </row>
    <row r="530" spans="1:16" hidden="1" x14ac:dyDescent="0.25">
      <c r="A530" t="str">
        <f t="shared" si="16"/>
        <v>08</v>
      </c>
      <c r="B530" t="s">
        <v>320</v>
      </c>
      <c r="C530" s="3" t="str">
        <f>VLOOKUP(Table2[[#This Row],[Tegevusala]],Table4[],2,FALSE)</f>
        <v xml:space="preserve"> Laekvere Rahvamaja</v>
      </c>
      <c r="D530" s="3" t="str">
        <f>VLOOKUP(Table2[[#This Row],[Tegevusala]],Table4[[Tegevusala kood]:[Tegevusala alanimetus]],4,FALSE)</f>
        <v>Rahvakultuur</v>
      </c>
      <c r="E530" s="3" t="str">
        <f>VLOOKUP(Table2[[#This Row],[Tegevusala nimetus2]],Table4[[Tegevusala nimetus]:[Tegevusala koondnimetus]],2,FALSE)</f>
        <v>Vabaaeg, kultuur ja religioon</v>
      </c>
      <c r="F530" t="s">
        <v>841</v>
      </c>
      <c r="G530" t="s">
        <v>2053</v>
      </c>
      <c r="H530" s="40">
        <v>-20000</v>
      </c>
      <c r="I530" s="2" t="s">
        <v>2190</v>
      </c>
      <c r="J530">
        <v>20385</v>
      </c>
      <c r="K530" s="3" t="str">
        <f>VLOOKUP(Table2[[#This Row],[Konto]],Table5[[Konto]:[Konto nimetus]],2,FALSE)</f>
        <v>Põhivara soetuseks saadav sihtfinantseerimine</v>
      </c>
      <c r="L530">
        <v>3502</v>
      </c>
      <c r="M530" t="str">
        <f t="shared" si="17"/>
        <v>20</v>
      </c>
      <c r="N530" s="3" t="str">
        <f>VLOOKUP(Table2[[#This Row],[Tulu/kulu liik2]],Table5[[Tulu/kulu liik]:[Kontode koondnimetus]],4,FALSE)</f>
        <v>Põhivara soetuseks saadav sihtfinantseerimine (+)</v>
      </c>
      <c r="O530" s="34" t="str">
        <f>VLOOKUP(Table2[[#This Row],[Tulu/kulu liik2]],Table5[],6,FALSE)</f>
        <v>Põhivara soetuseks saadav sihtfinantseerimine (+)</v>
      </c>
      <c r="P530" s="3" t="str">
        <f>VLOOKUP(Table2[[#This Row],[Tulu/kulu liik2]],Table5[],5,FALSE)</f>
        <v>Investeerimistegevus</v>
      </c>
    </row>
    <row r="531" spans="1:16" x14ac:dyDescent="0.25">
      <c r="A531" t="str">
        <f t="shared" si="16"/>
        <v>08</v>
      </c>
      <c r="B531" t="s">
        <v>321</v>
      </c>
      <c r="C531" s="3" t="str">
        <f>VLOOKUP(Table2[[#This Row],[Tegevusala]],Table4[],2,FALSE)</f>
        <v xml:space="preserve"> Venevere Seltsimaja</v>
      </c>
      <c r="D531" s="3" t="str">
        <f>VLOOKUP(Table2[[#This Row],[Tegevusala]],Table4[[Tegevusala kood]:[Tegevusala alanimetus]],4,FALSE)</f>
        <v>Rahvakultuur</v>
      </c>
      <c r="E531" s="3" t="str">
        <f>VLOOKUP(Table2[[#This Row],[Tegevusala nimetus2]],Table4[[Tegevusala nimetus]:[Tegevusala koondnimetus]],2,FALSE)</f>
        <v>Vabaaeg, kultuur ja religioon</v>
      </c>
      <c r="F531" t="s">
        <v>1585</v>
      </c>
      <c r="G531" t="s">
        <v>1586</v>
      </c>
      <c r="H531" s="40">
        <v>8000</v>
      </c>
      <c r="J531">
        <v>5511</v>
      </c>
      <c r="K531" s="3" t="str">
        <f>VLOOKUP(Table2[[#This Row],[Konto]],Table5[[Konto]:[Konto nimetus]],2,FALSE)</f>
        <v>Kinnistute, hoonete ja ruumide majandamiskulud</v>
      </c>
      <c r="L531">
        <v>55</v>
      </c>
      <c r="M531" t="str">
        <f t="shared" si="17"/>
        <v>55</v>
      </c>
      <c r="N531" s="3" t="str">
        <f>VLOOKUP(Table2[[#This Row],[Tulu/kulu liik2]],Table5[[Tulu/kulu liik]:[Kontode koondnimetus]],4,FALSE)</f>
        <v>Muud tegevuskulud</v>
      </c>
      <c r="O531" s="3" t="str">
        <f>VLOOKUP(Table2[[#This Row],[Tulu/kulu liik2]],Table5[],6,FALSE)</f>
        <v>Majandamiskulud</v>
      </c>
      <c r="P531" s="3" t="str">
        <f>VLOOKUP(Table2[[#This Row],[Tulu/kulu liik2]],Table5[],5,FALSE)</f>
        <v>Põhitegevuse kulu</v>
      </c>
    </row>
    <row r="532" spans="1:16" x14ac:dyDescent="0.25">
      <c r="A532" t="str">
        <f t="shared" si="16"/>
        <v>08</v>
      </c>
      <c r="B532" t="s">
        <v>321</v>
      </c>
      <c r="C532" s="3" t="str">
        <f>VLOOKUP(Table2[[#This Row],[Tegevusala]],Table4[],2,FALSE)</f>
        <v xml:space="preserve"> Venevere Seltsimaja</v>
      </c>
      <c r="D532" s="3" t="str">
        <f>VLOOKUP(Table2[[#This Row],[Tegevusala]],Table4[[Tegevusala kood]:[Tegevusala alanimetus]],4,FALSE)</f>
        <v>Rahvakultuur</v>
      </c>
      <c r="E532" s="3" t="str">
        <f>VLOOKUP(Table2[[#This Row],[Tegevusala nimetus2]],Table4[[Tegevusala nimetus]:[Tegevusala koondnimetus]],2,FALSE)</f>
        <v>Vabaaeg, kultuur ja religioon</v>
      </c>
      <c r="F532" t="s">
        <v>1585</v>
      </c>
      <c r="G532" t="s">
        <v>1119</v>
      </c>
      <c r="H532" s="40">
        <v>120</v>
      </c>
      <c r="J532">
        <v>5500</v>
      </c>
      <c r="K532" s="3" t="str">
        <f>VLOOKUP(Table2[[#This Row],[Konto]],Table5[[Konto]:[Konto nimetus]],2,FALSE)</f>
        <v>Administreerimiskulud</v>
      </c>
      <c r="L532">
        <v>55</v>
      </c>
      <c r="M532" t="str">
        <f t="shared" si="17"/>
        <v>55</v>
      </c>
      <c r="N532" s="3" t="str">
        <f>VLOOKUP(Table2[[#This Row],[Tulu/kulu liik2]],Table5[[Tulu/kulu liik]:[Kontode koondnimetus]],4,FALSE)</f>
        <v>Muud tegevuskulud</v>
      </c>
      <c r="O532" s="3" t="str">
        <f>VLOOKUP(Table2[[#This Row],[Tulu/kulu liik2]],Table5[],6,FALSE)</f>
        <v>Majandamiskulud</v>
      </c>
      <c r="P532" s="3" t="str">
        <f>VLOOKUP(Table2[[#This Row],[Tulu/kulu liik2]],Table5[],5,FALSE)</f>
        <v>Põhitegevuse kulu</v>
      </c>
    </row>
    <row r="533" spans="1:16" x14ac:dyDescent="0.25">
      <c r="A533" t="str">
        <f t="shared" si="16"/>
        <v>08</v>
      </c>
      <c r="B533" t="s">
        <v>321</v>
      </c>
      <c r="C533" s="3" t="str">
        <f>VLOOKUP(Table2[[#This Row],[Tegevusala]],Table4[],2,FALSE)</f>
        <v xml:space="preserve"> Venevere Seltsimaja</v>
      </c>
      <c r="D533" s="3" t="str">
        <f>VLOOKUP(Table2[[#This Row],[Tegevusala]],Table4[[Tegevusala kood]:[Tegevusala alanimetus]],4,FALSE)</f>
        <v>Rahvakultuur</v>
      </c>
      <c r="E533" s="3" t="str">
        <f>VLOOKUP(Table2[[#This Row],[Tegevusala nimetus2]],Table4[[Tegevusala nimetus]:[Tegevusala koondnimetus]],2,FALSE)</f>
        <v>Vabaaeg, kultuur ja religioon</v>
      </c>
      <c r="F533" t="s">
        <v>1585</v>
      </c>
      <c r="G533" t="s">
        <v>1521</v>
      </c>
      <c r="H533" s="40">
        <v>100</v>
      </c>
      <c r="J533">
        <v>5504</v>
      </c>
      <c r="K533" s="3" t="str">
        <f>VLOOKUP(Table2[[#This Row],[Konto]],Table5[[Konto]:[Konto nimetus]],2,FALSE)</f>
        <v>Koolituskulud</v>
      </c>
      <c r="L533">
        <v>55</v>
      </c>
      <c r="M533" t="str">
        <f t="shared" si="17"/>
        <v>55</v>
      </c>
      <c r="N533" s="3" t="str">
        <f>VLOOKUP(Table2[[#This Row],[Tulu/kulu liik2]],Table5[[Tulu/kulu liik]:[Kontode koondnimetus]],4,FALSE)</f>
        <v>Muud tegevuskulud</v>
      </c>
      <c r="O533" s="3" t="str">
        <f>VLOOKUP(Table2[[#This Row],[Tulu/kulu liik2]],Table5[],6,FALSE)</f>
        <v>Majandamiskulud</v>
      </c>
      <c r="P533" s="3" t="str">
        <f>VLOOKUP(Table2[[#This Row],[Tulu/kulu liik2]],Table5[],5,FALSE)</f>
        <v>Põhitegevuse kulu</v>
      </c>
    </row>
    <row r="534" spans="1:16" x14ac:dyDescent="0.25">
      <c r="A534" t="str">
        <f t="shared" si="16"/>
        <v>08</v>
      </c>
      <c r="B534" t="s">
        <v>321</v>
      </c>
      <c r="C534" s="3" t="str">
        <f>VLOOKUP(Table2[[#This Row],[Tegevusala]],Table4[],2,FALSE)</f>
        <v xml:space="preserve"> Venevere Seltsimaja</v>
      </c>
      <c r="D534" s="3" t="str">
        <f>VLOOKUP(Table2[[#This Row],[Tegevusala]],Table4[[Tegevusala kood]:[Tegevusala alanimetus]],4,FALSE)</f>
        <v>Rahvakultuur</v>
      </c>
      <c r="E534" s="3" t="str">
        <f>VLOOKUP(Table2[[#This Row],[Tegevusala nimetus2]],Table4[[Tegevusala nimetus]:[Tegevusala koondnimetus]],2,FALSE)</f>
        <v>Vabaaeg, kultuur ja religioon</v>
      </c>
      <c r="F534" t="s">
        <v>1585</v>
      </c>
      <c r="G534" t="s">
        <v>1587</v>
      </c>
      <c r="H534" s="40">
        <v>400</v>
      </c>
      <c r="J534">
        <v>5513</v>
      </c>
      <c r="K534" s="3" t="str">
        <f>VLOOKUP(Table2[[#This Row],[Konto]],Table5[[Konto]:[Konto nimetus]],2,FALSE)</f>
        <v>Sõidukite ülalpidamise kulud</v>
      </c>
      <c r="L534">
        <v>55</v>
      </c>
      <c r="M534" t="str">
        <f t="shared" si="17"/>
        <v>55</v>
      </c>
      <c r="N534" s="3" t="str">
        <f>VLOOKUP(Table2[[#This Row],[Tulu/kulu liik2]],Table5[[Tulu/kulu liik]:[Kontode koondnimetus]],4,FALSE)</f>
        <v>Muud tegevuskulud</v>
      </c>
      <c r="O534" s="3" t="str">
        <f>VLOOKUP(Table2[[#This Row],[Tulu/kulu liik2]],Table5[],6,FALSE)</f>
        <v>Majandamiskulud</v>
      </c>
      <c r="P534" s="3" t="str">
        <f>VLOOKUP(Table2[[#This Row],[Tulu/kulu liik2]],Table5[],5,FALSE)</f>
        <v>Põhitegevuse kulu</v>
      </c>
    </row>
    <row r="535" spans="1:16" x14ac:dyDescent="0.25">
      <c r="A535" t="str">
        <f t="shared" si="16"/>
        <v>08</v>
      </c>
      <c r="B535" t="s">
        <v>321</v>
      </c>
      <c r="C535" s="3" t="str">
        <f>VLOOKUP(Table2[[#This Row],[Tegevusala]],Table4[],2,FALSE)</f>
        <v xml:space="preserve"> Venevere Seltsimaja</v>
      </c>
      <c r="D535" s="3" t="str">
        <f>VLOOKUP(Table2[[#This Row],[Tegevusala]],Table4[[Tegevusala kood]:[Tegevusala alanimetus]],4,FALSE)</f>
        <v>Rahvakultuur</v>
      </c>
      <c r="E535" s="3" t="str">
        <f>VLOOKUP(Table2[[#This Row],[Tegevusala nimetus2]],Table4[[Tegevusala nimetus]:[Tegevusala koondnimetus]],2,FALSE)</f>
        <v>Vabaaeg, kultuur ja religioon</v>
      </c>
      <c r="F535" t="s">
        <v>1585</v>
      </c>
      <c r="G535" t="s">
        <v>1589</v>
      </c>
      <c r="H535" s="40">
        <v>500</v>
      </c>
      <c r="J535">
        <v>5515</v>
      </c>
      <c r="K535" s="3" t="str">
        <f>VLOOKUP(Table2[[#This Row],[Konto]],Table5[[Konto]:[Konto nimetus]],2,FALSE)</f>
        <v>Inventari kulud, v.a infotehnoloogia ja kaitseotstarbelised kulud</v>
      </c>
      <c r="L535">
        <v>55</v>
      </c>
      <c r="M535" t="str">
        <f t="shared" si="17"/>
        <v>55</v>
      </c>
      <c r="N535" s="3" t="str">
        <f>VLOOKUP(Table2[[#This Row],[Tulu/kulu liik2]],Table5[[Tulu/kulu liik]:[Kontode koondnimetus]],4,FALSE)</f>
        <v>Muud tegevuskulud</v>
      </c>
      <c r="O535" s="3" t="str">
        <f>VLOOKUP(Table2[[#This Row],[Tulu/kulu liik2]],Table5[],6,FALSE)</f>
        <v>Majandamiskulud</v>
      </c>
      <c r="P535" s="3" t="str">
        <f>VLOOKUP(Table2[[#This Row],[Tulu/kulu liik2]],Table5[],5,FALSE)</f>
        <v>Põhitegevuse kulu</v>
      </c>
    </row>
    <row r="536" spans="1:16" x14ac:dyDescent="0.25">
      <c r="A536" t="str">
        <f t="shared" si="16"/>
        <v>08</v>
      </c>
      <c r="B536" t="s">
        <v>321</v>
      </c>
      <c r="C536" s="3" t="str">
        <f>VLOOKUP(Table2[[#This Row],[Tegevusala]],Table4[],2,FALSE)</f>
        <v xml:space="preserve"> Venevere Seltsimaja</v>
      </c>
      <c r="D536" s="3" t="str">
        <f>VLOOKUP(Table2[[#This Row],[Tegevusala]],Table4[[Tegevusala kood]:[Tegevusala alanimetus]],4,FALSE)</f>
        <v>Rahvakultuur</v>
      </c>
      <c r="E536" s="3" t="str">
        <f>VLOOKUP(Table2[[#This Row],[Tegevusala nimetus2]],Table4[[Tegevusala nimetus]:[Tegevusala koondnimetus]],2,FALSE)</f>
        <v>Vabaaeg, kultuur ja religioon</v>
      </c>
      <c r="F536" t="s">
        <v>1585</v>
      </c>
      <c r="G536" t="s">
        <v>786</v>
      </c>
      <c r="H536" s="40">
        <v>2730</v>
      </c>
      <c r="J536">
        <v>5525</v>
      </c>
      <c r="K536" s="3" t="str">
        <f>VLOOKUP(Table2[[#This Row],[Konto]],Table5[[Konto]:[Konto nimetus]],2,FALSE)</f>
        <v>Kommunikatsiooni-, kultuuri- ja vaba aja sisustamise kulud</v>
      </c>
      <c r="L536">
        <v>55</v>
      </c>
      <c r="M536" t="str">
        <f t="shared" si="17"/>
        <v>55</v>
      </c>
      <c r="N536" s="3" t="str">
        <f>VLOOKUP(Table2[[#This Row],[Tulu/kulu liik2]],Table5[[Tulu/kulu liik]:[Kontode koondnimetus]],4,FALSE)</f>
        <v>Muud tegevuskulud</v>
      </c>
      <c r="O536" s="3" t="str">
        <f>VLOOKUP(Table2[[#This Row],[Tulu/kulu liik2]],Table5[],6,FALSE)</f>
        <v>Majandamiskulud</v>
      </c>
      <c r="P536" s="3" t="str">
        <f>VLOOKUP(Table2[[#This Row],[Tulu/kulu liik2]],Table5[],5,FALSE)</f>
        <v>Põhitegevuse kulu</v>
      </c>
    </row>
    <row r="537" spans="1:16" x14ac:dyDescent="0.25">
      <c r="A537" t="str">
        <f t="shared" si="16"/>
        <v>08</v>
      </c>
      <c r="B537" t="s">
        <v>321</v>
      </c>
      <c r="C537" s="3" t="str">
        <f>VLOOKUP(Table2[[#This Row],[Tegevusala]],Table4[],2,FALSE)</f>
        <v xml:space="preserve"> Venevere Seltsimaja</v>
      </c>
      <c r="D537" s="3" t="str">
        <f>VLOOKUP(Table2[[#This Row],[Tegevusala]],Table4[[Tegevusala kood]:[Tegevusala alanimetus]],4,FALSE)</f>
        <v>Rahvakultuur</v>
      </c>
      <c r="E537" s="3" t="str">
        <f>VLOOKUP(Table2[[#This Row],[Tegevusala nimetus2]],Table4[[Tegevusala nimetus]:[Tegevusala koondnimetus]],2,FALSE)</f>
        <v>Vabaaeg, kultuur ja religioon</v>
      </c>
      <c r="F537" t="s">
        <v>1585</v>
      </c>
      <c r="G537" t="s">
        <v>1588</v>
      </c>
      <c r="H537" s="40">
        <v>600</v>
      </c>
      <c r="J537">
        <v>5514</v>
      </c>
      <c r="K537" s="3" t="str">
        <f>VLOOKUP(Table2[[#This Row],[Konto]],Table5[[Konto]:[Konto nimetus]],2,FALSE)</f>
        <v>Info- ja kommunikatsioonitehnoliigised kulud</v>
      </c>
      <c r="L537">
        <v>55</v>
      </c>
      <c r="M537" t="str">
        <f t="shared" si="17"/>
        <v>55</v>
      </c>
      <c r="N537" s="3" t="str">
        <f>VLOOKUP(Table2[[#This Row],[Tulu/kulu liik2]],Table5[[Tulu/kulu liik]:[Kontode koondnimetus]],4,FALSE)</f>
        <v>Muud tegevuskulud</v>
      </c>
      <c r="O537" s="3" t="str">
        <f>VLOOKUP(Table2[[#This Row],[Tulu/kulu liik2]],Table5[],6,FALSE)</f>
        <v>Majandamiskulud</v>
      </c>
      <c r="P537" s="3" t="str">
        <f>VLOOKUP(Table2[[#This Row],[Tulu/kulu liik2]],Table5[],5,FALSE)</f>
        <v>Põhitegevuse kulu</v>
      </c>
    </row>
    <row r="538" spans="1:16" x14ac:dyDescent="0.25">
      <c r="A538" t="str">
        <f t="shared" si="16"/>
        <v>08</v>
      </c>
      <c r="B538" t="s">
        <v>323</v>
      </c>
      <c r="C538" s="3" t="str">
        <f>VLOOKUP(Table2[[#This Row],[Tegevusala]],Table4[],2,FALSE)</f>
        <v xml:space="preserve"> Ulvi Klubi</v>
      </c>
      <c r="D538" s="3" t="str">
        <f>VLOOKUP(Table2[[#This Row],[Tegevusala]],Table4[[Tegevusala kood]:[Tegevusala alanimetus]],4,FALSE)</f>
        <v>Rahvakultuur</v>
      </c>
      <c r="E538" s="3" t="str">
        <f>VLOOKUP(Table2[[#This Row],[Tegevusala nimetus2]],Table4[[Tegevusala nimetus]:[Tegevusala koondnimetus]],2,FALSE)</f>
        <v>Vabaaeg, kultuur ja religioon</v>
      </c>
      <c r="F538" t="s">
        <v>1142</v>
      </c>
      <c r="G538" t="s">
        <v>1144</v>
      </c>
      <c r="H538" s="40">
        <v>350</v>
      </c>
      <c r="I538" s="2" t="s">
        <v>1145</v>
      </c>
      <c r="J538">
        <v>5500</v>
      </c>
      <c r="K538" s="3" t="str">
        <f>VLOOKUP(Table2[[#This Row],[Konto]],Table5[[Konto]:[Konto nimetus]],2,FALSE)</f>
        <v>Administreerimiskulud</v>
      </c>
      <c r="L538">
        <v>55</v>
      </c>
      <c r="M538" t="str">
        <f t="shared" si="17"/>
        <v>55</v>
      </c>
      <c r="N538" s="3" t="str">
        <f>VLOOKUP(Table2[[#This Row],[Tulu/kulu liik2]],Table5[[Tulu/kulu liik]:[Kontode koondnimetus]],4,FALSE)</f>
        <v>Muud tegevuskulud</v>
      </c>
      <c r="O538" s="3" t="str">
        <f>VLOOKUP(Table2[[#This Row],[Tulu/kulu liik2]],Table5[],6,FALSE)</f>
        <v>Majandamiskulud</v>
      </c>
      <c r="P538" s="3" t="str">
        <f>VLOOKUP(Table2[[#This Row],[Tulu/kulu liik2]],Table5[],5,FALSE)</f>
        <v>Põhitegevuse kulu</v>
      </c>
    </row>
    <row r="539" spans="1:16" x14ac:dyDescent="0.25">
      <c r="A539" t="str">
        <f t="shared" si="16"/>
        <v>08</v>
      </c>
      <c r="B539" t="s">
        <v>323</v>
      </c>
      <c r="C539" s="3" t="str">
        <f>VLOOKUP(Table2[[#This Row],[Tegevusala]],Table4[],2,FALSE)</f>
        <v xml:space="preserve"> Ulvi Klubi</v>
      </c>
      <c r="D539" s="3" t="str">
        <f>VLOOKUP(Table2[[#This Row],[Tegevusala]],Table4[[Tegevusala kood]:[Tegevusala alanimetus]],4,FALSE)</f>
        <v>Rahvakultuur</v>
      </c>
      <c r="E539" s="3" t="str">
        <f>VLOOKUP(Table2[[#This Row],[Tegevusala nimetus2]],Table4[[Tegevusala nimetus]:[Tegevusala koondnimetus]],2,FALSE)</f>
        <v>Vabaaeg, kultuur ja religioon</v>
      </c>
      <c r="F539" t="s">
        <v>1142</v>
      </c>
      <c r="G539" t="s">
        <v>1146</v>
      </c>
      <c r="H539" s="40">
        <v>100</v>
      </c>
      <c r="I539" s="2" t="s">
        <v>1147</v>
      </c>
      <c r="J539">
        <v>5500</v>
      </c>
      <c r="K539" s="3" t="str">
        <f>VLOOKUP(Table2[[#This Row],[Konto]],Table5[[Konto]:[Konto nimetus]],2,FALSE)</f>
        <v>Administreerimiskulud</v>
      </c>
      <c r="L539">
        <v>55</v>
      </c>
      <c r="M539" t="str">
        <f t="shared" si="17"/>
        <v>55</v>
      </c>
      <c r="N539" s="3" t="str">
        <f>VLOOKUP(Table2[[#This Row],[Tulu/kulu liik2]],Table5[[Tulu/kulu liik]:[Kontode koondnimetus]],4,FALSE)</f>
        <v>Muud tegevuskulud</v>
      </c>
      <c r="O539" s="3" t="str">
        <f>VLOOKUP(Table2[[#This Row],[Tulu/kulu liik2]],Table5[],6,FALSE)</f>
        <v>Majandamiskulud</v>
      </c>
      <c r="P539" s="3" t="str">
        <f>VLOOKUP(Table2[[#This Row],[Tulu/kulu liik2]],Table5[],5,FALSE)</f>
        <v>Põhitegevuse kulu</v>
      </c>
    </row>
    <row r="540" spans="1:16" x14ac:dyDescent="0.25">
      <c r="A540" t="str">
        <f t="shared" si="16"/>
        <v>08</v>
      </c>
      <c r="B540" t="s">
        <v>323</v>
      </c>
      <c r="C540" s="3" t="str">
        <f>VLOOKUP(Table2[[#This Row],[Tegevusala]],Table4[],2,FALSE)</f>
        <v xml:space="preserve"> Ulvi Klubi</v>
      </c>
      <c r="D540" s="3" t="str">
        <f>VLOOKUP(Table2[[#This Row],[Tegevusala]],Table4[[Tegevusala kood]:[Tegevusala alanimetus]],4,FALSE)</f>
        <v>Rahvakultuur</v>
      </c>
      <c r="E540" s="3" t="str">
        <f>VLOOKUP(Table2[[#This Row],[Tegevusala nimetus2]],Table4[[Tegevusala nimetus]:[Tegevusala koondnimetus]],2,FALSE)</f>
        <v>Vabaaeg, kultuur ja religioon</v>
      </c>
      <c r="F540" t="s">
        <v>1142</v>
      </c>
      <c r="G540" t="s">
        <v>1148</v>
      </c>
      <c r="H540" s="40">
        <v>50</v>
      </c>
      <c r="J540">
        <v>5500</v>
      </c>
      <c r="K540" s="3" t="str">
        <f>VLOOKUP(Table2[[#This Row],[Konto]],Table5[[Konto]:[Konto nimetus]],2,FALSE)</f>
        <v>Administreerimiskulud</v>
      </c>
      <c r="L540">
        <v>55</v>
      </c>
      <c r="M540" t="str">
        <f t="shared" si="17"/>
        <v>55</v>
      </c>
      <c r="N540" s="3" t="str">
        <f>VLOOKUP(Table2[[#This Row],[Tulu/kulu liik2]],Table5[[Tulu/kulu liik]:[Kontode koondnimetus]],4,FALSE)</f>
        <v>Muud tegevuskulud</v>
      </c>
      <c r="O540" s="3" t="str">
        <f>VLOOKUP(Table2[[#This Row],[Tulu/kulu liik2]],Table5[],6,FALSE)</f>
        <v>Majandamiskulud</v>
      </c>
      <c r="P540" s="3" t="str">
        <f>VLOOKUP(Table2[[#This Row],[Tulu/kulu liik2]],Table5[],5,FALSE)</f>
        <v>Põhitegevuse kulu</v>
      </c>
    </row>
    <row r="541" spans="1:16" x14ac:dyDescent="0.25">
      <c r="A541" t="str">
        <f t="shared" si="16"/>
        <v>08</v>
      </c>
      <c r="B541" t="s">
        <v>323</v>
      </c>
      <c r="C541" s="3" t="str">
        <f>VLOOKUP(Table2[[#This Row],[Tegevusala]],Table4[],2,FALSE)</f>
        <v xml:space="preserve"> Ulvi Klubi</v>
      </c>
      <c r="D541" s="3" t="str">
        <f>VLOOKUP(Table2[[#This Row],[Tegevusala]],Table4[[Tegevusala kood]:[Tegevusala alanimetus]],4,FALSE)</f>
        <v>Rahvakultuur</v>
      </c>
      <c r="E541" s="3" t="str">
        <f>VLOOKUP(Table2[[#This Row],[Tegevusala nimetus2]],Table4[[Tegevusala nimetus]:[Tegevusala koondnimetus]],2,FALSE)</f>
        <v>Vabaaeg, kultuur ja religioon</v>
      </c>
      <c r="F541" t="s">
        <v>1142</v>
      </c>
      <c r="G541" t="s">
        <v>1149</v>
      </c>
      <c r="H541" s="40">
        <v>450</v>
      </c>
      <c r="I541" s="2" t="s">
        <v>1150</v>
      </c>
      <c r="J541">
        <v>5504</v>
      </c>
      <c r="K541" s="3" t="str">
        <f>VLOOKUP(Table2[[#This Row],[Konto]],Table5[[Konto]:[Konto nimetus]],2,FALSE)</f>
        <v>Koolituskulud</v>
      </c>
      <c r="L541">
        <v>55</v>
      </c>
      <c r="M541" t="str">
        <f t="shared" si="17"/>
        <v>55</v>
      </c>
      <c r="N541" s="3" t="str">
        <f>VLOOKUP(Table2[[#This Row],[Tulu/kulu liik2]],Table5[[Tulu/kulu liik]:[Kontode koondnimetus]],4,FALSE)</f>
        <v>Muud tegevuskulud</v>
      </c>
      <c r="O541" s="3" t="str">
        <f>VLOOKUP(Table2[[#This Row],[Tulu/kulu liik2]],Table5[],6,FALSE)</f>
        <v>Majandamiskulud</v>
      </c>
      <c r="P541" s="3" t="str">
        <f>VLOOKUP(Table2[[#This Row],[Tulu/kulu liik2]],Table5[],5,FALSE)</f>
        <v>Põhitegevuse kulu</v>
      </c>
    </row>
    <row r="542" spans="1:16" x14ac:dyDescent="0.25">
      <c r="A542" t="str">
        <f t="shared" si="16"/>
        <v>08</v>
      </c>
      <c r="B542" t="s">
        <v>323</v>
      </c>
      <c r="C542" s="3" t="str">
        <f>VLOOKUP(Table2[[#This Row],[Tegevusala]],Table4[],2,FALSE)</f>
        <v xml:space="preserve"> Ulvi Klubi</v>
      </c>
      <c r="D542" s="3" t="str">
        <f>VLOOKUP(Table2[[#This Row],[Tegevusala]],Table4[[Tegevusala kood]:[Tegevusala alanimetus]],4,FALSE)</f>
        <v>Rahvakultuur</v>
      </c>
      <c r="E542" s="3" t="str">
        <f>VLOOKUP(Table2[[#This Row],[Tegevusala nimetus2]],Table4[[Tegevusala nimetus]:[Tegevusala koondnimetus]],2,FALSE)</f>
        <v>Vabaaeg, kultuur ja religioon</v>
      </c>
      <c r="F542" t="s">
        <v>1142</v>
      </c>
      <c r="G542" t="s">
        <v>1172</v>
      </c>
      <c r="H542" s="40">
        <v>720</v>
      </c>
      <c r="I542" s="2" t="s">
        <v>1173</v>
      </c>
      <c r="J542">
        <v>5513</v>
      </c>
      <c r="K542" s="3" t="str">
        <f>VLOOKUP(Table2[[#This Row],[Konto]],Table5[[Konto]:[Konto nimetus]],2,FALSE)</f>
        <v>Sõidukite ülalpidamise kulud</v>
      </c>
      <c r="L542">
        <v>55</v>
      </c>
      <c r="M542" t="str">
        <f t="shared" si="17"/>
        <v>55</v>
      </c>
      <c r="N542" s="3" t="str">
        <f>VLOOKUP(Table2[[#This Row],[Tulu/kulu liik2]],Table5[[Tulu/kulu liik]:[Kontode koondnimetus]],4,FALSE)</f>
        <v>Muud tegevuskulud</v>
      </c>
      <c r="O542" s="3" t="str">
        <f>VLOOKUP(Table2[[#This Row],[Tulu/kulu liik2]],Table5[],6,FALSE)</f>
        <v>Majandamiskulud</v>
      </c>
      <c r="P542" s="3" t="str">
        <f>VLOOKUP(Table2[[#This Row],[Tulu/kulu liik2]],Table5[],5,FALSE)</f>
        <v>Põhitegevuse kulu</v>
      </c>
    </row>
    <row r="543" spans="1:16" x14ac:dyDescent="0.25">
      <c r="A543" t="str">
        <f t="shared" si="16"/>
        <v>08</v>
      </c>
      <c r="B543" t="s">
        <v>323</v>
      </c>
      <c r="C543" s="3" t="str">
        <f>VLOOKUP(Table2[[#This Row],[Tegevusala]],Table4[],2,FALSE)</f>
        <v xml:space="preserve"> Ulvi Klubi</v>
      </c>
      <c r="D543" s="3" t="str">
        <f>VLOOKUP(Table2[[#This Row],[Tegevusala]],Table4[[Tegevusala kood]:[Tegevusala alanimetus]],4,FALSE)</f>
        <v>Rahvakultuur</v>
      </c>
      <c r="E543" s="3" t="str">
        <f>VLOOKUP(Table2[[#This Row],[Tegevusala nimetus2]],Table4[[Tegevusala nimetus]:[Tegevusala koondnimetus]],2,FALSE)</f>
        <v>Vabaaeg, kultuur ja religioon</v>
      </c>
      <c r="F543" t="s">
        <v>1142</v>
      </c>
      <c r="G543" t="s">
        <v>1175</v>
      </c>
      <c r="H543" s="40">
        <v>1500</v>
      </c>
      <c r="I543" s="2" t="s">
        <v>1176</v>
      </c>
      <c r="J543">
        <v>5525</v>
      </c>
      <c r="K543" s="3" t="str">
        <f>VLOOKUP(Table2[[#This Row],[Konto]],Table5[[Konto]:[Konto nimetus]],2,FALSE)</f>
        <v>Kommunikatsiooni-, kultuuri- ja vaba aja sisustamise kulud</v>
      </c>
      <c r="L543">
        <v>55</v>
      </c>
      <c r="M543" t="str">
        <f t="shared" si="17"/>
        <v>55</v>
      </c>
      <c r="N543" s="3" t="str">
        <f>VLOOKUP(Table2[[#This Row],[Tulu/kulu liik2]],Table5[[Tulu/kulu liik]:[Kontode koondnimetus]],4,FALSE)</f>
        <v>Muud tegevuskulud</v>
      </c>
      <c r="O543" s="3" t="str">
        <f>VLOOKUP(Table2[[#This Row],[Tulu/kulu liik2]],Table5[],6,FALSE)</f>
        <v>Majandamiskulud</v>
      </c>
      <c r="P543" s="3" t="str">
        <f>VLOOKUP(Table2[[#This Row],[Tulu/kulu liik2]],Table5[],5,FALSE)</f>
        <v>Põhitegevuse kulu</v>
      </c>
    </row>
    <row r="544" spans="1:16" x14ac:dyDescent="0.25">
      <c r="A544" t="str">
        <f t="shared" si="16"/>
        <v>08</v>
      </c>
      <c r="B544" t="s">
        <v>323</v>
      </c>
      <c r="C544" s="3" t="str">
        <f>VLOOKUP(Table2[[#This Row],[Tegevusala]],Table4[],2,FALSE)</f>
        <v xml:space="preserve"> Ulvi Klubi</v>
      </c>
      <c r="D544" s="3" t="str">
        <f>VLOOKUP(Table2[[#This Row],[Tegevusala]],Table4[[Tegevusala kood]:[Tegevusala alanimetus]],4,FALSE)</f>
        <v>Rahvakultuur</v>
      </c>
      <c r="E544" s="3" t="str">
        <f>VLOOKUP(Table2[[#This Row],[Tegevusala nimetus2]],Table4[[Tegevusala nimetus]:[Tegevusala koondnimetus]],2,FALSE)</f>
        <v>Vabaaeg, kultuur ja religioon</v>
      </c>
      <c r="F544" t="s">
        <v>1142</v>
      </c>
      <c r="G544" t="s">
        <v>1177</v>
      </c>
      <c r="H544" s="40">
        <v>150</v>
      </c>
      <c r="I544" s="2" t="s">
        <v>1178</v>
      </c>
      <c r="J544">
        <v>5525</v>
      </c>
      <c r="K544" s="3" t="str">
        <f>VLOOKUP(Table2[[#This Row],[Konto]],Table5[[Konto]:[Konto nimetus]],2,FALSE)</f>
        <v>Kommunikatsiooni-, kultuuri- ja vaba aja sisustamise kulud</v>
      </c>
      <c r="L544">
        <v>55</v>
      </c>
      <c r="M544" t="str">
        <f t="shared" si="17"/>
        <v>55</v>
      </c>
      <c r="N544" s="3" t="str">
        <f>VLOOKUP(Table2[[#This Row],[Tulu/kulu liik2]],Table5[[Tulu/kulu liik]:[Kontode koondnimetus]],4,FALSE)</f>
        <v>Muud tegevuskulud</v>
      </c>
      <c r="O544" s="3" t="str">
        <f>VLOOKUP(Table2[[#This Row],[Tulu/kulu liik2]],Table5[],6,FALSE)</f>
        <v>Majandamiskulud</v>
      </c>
      <c r="P544" s="3" t="str">
        <f>VLOOKUP(Table2[[#This Row],[Tulu/kulu liik2]],Table5[],5,FALSE)</f>
        <v>Põhitegevuse kulu</v>
      </c>
    </row>
    <row r="545" spans="1:16" x14ac:dyDescent="0.25">
      <c r="A545" t="str">
        <f t="shared" si="16"/>
        <v>08</v>
      </c>
      <c r="B545" t="s">
        <v>323</v>
      </c>
      <c r="C545" s="3" t="str">
        <f>VLOOKUP(Table2[[#This Row],[Tegevusala]],Table4[],2,FALSE)</f>
        <v xml:space="preserve"> Ulvi Klubi</v>
      </c>
      <c r="D545" s="3" t="str">
        <f>VLOOKUP(Table2[[#This Row],[Tegevusala]],Table4[[Tegevusala kood]:[Tegevusala alanimetus]],4,FALSE)</f>
        <v>Rahvakultuur</v>
      </c>
      <c r="E545" s="3" t="str">
        <f>VLOOKUP(Table2[[#This Row],[Tegevusala nimetus2]],Table4[[Tegevusala nimetus]:[Tegevusala koondnimetus]],2,FALSE)</f>
        <v>Vabaaeg, kultuur ja religioon</v>
      </c>
      <c r="F545" t="s">
        <v>1142</v>
      </c>
      <c r="G545" t="s">
        <v>1179</v>
      </c>
      <c r="H545" s="40">
        <v>200</v>
      </c>
      <c r="I545" s="2" t="s">
        <v>1180</v>
      </c>
      <c r="J545">
        <v>5525</v>
      </c>
      <c r="K545" s="3" t="str">
        <f>VLOOKUP(Table2[[#This Row],[Konto]],Table5[[Konto]:[Konto nimetus]],2,FALSE)</f>
        <v>Kommunikatsiooni-, kultuuri- ja vaba aja sisustamise kulud</v>
      </c>
      <c r="L545">
        <v>55</v>
      </c>
      <c r="M545" t="str">
        <f t="shared" si="17"/>
        <v>55</v>
      </c>
      <c r="N545" s="3" t="str">
        <f>VLOOKUP(Table2[[#This Row],[Tulu/kulu liik2]],Table5[[Tulu/kulu liik]:[Kontode koondnimetus]],4,FALSE)</f>
        <v>Muud tegevuskulud</v>
      </c>
      <c r="O545" s="3" t="str">
        <f>VLOOKUP(Table2[[#This Row],[Tulu/kulu liik2]],Table5[],6,FALSE)</f>
        <v>Majandamiskulud</v>
      </c>
      <c r="P545" s="3" t="str">
        <f>VLOOKUP(Table2[[#This Row],[Tulu/kulu liik2]],Table5[],5,FALSE)</f>
        <v>Põhitegevuse kulu</v>
      </c>
    </row>
    <row r="546" spans="1:16" x14ac:dyDescent="0.25">
      <c r="A546" t="str">
        <f t="shared" si="16"/>
        <v>08</v>
      </c>
      <c r="B546" t="s">
        <v>323</v>
      </c>
      <c r="C546" s="3" t="str">
        <f>VLOOKUP(Table2[[#This Row],[Tegevusala]],Table4[],2,FALSE)</f>
        <v xml:space="preserve"> Ulvi Klubi</v>
      </c>
      <c r="D546" s="3" t="str">
        <f>VLOOKUP(Table2[[#This Row],[Tegevusala]],Table4[[Tegevusala kood]:[Tegevusala alanimetus]],4,FALSE)</f>
        <v>Rahvakultuur</v>
      </c>
      <c r="E546" s="3" t="str">
        <f>VLOOKUP(Table2[[#This Row],[Tegevusala nimetus2]],Table4[[Tegevusala nimetus]:[Tegevusala koondnimetus]],2,FALSE)</f>
        <v>Vabaaeg, kultuur ja religioon</v>
      </c>
      <c r="F546" t="s">
        <v>1142</v>
      </c>
      <c r="G546" t="s">
        <v>1181</v>
      </c>
      <c r="H546" s="40">
        <v>1000</v>
      </c>
      <c r="I546" s="2" t="s">
        <v>1182</v>
      </c>
      <c r="J546">
        <v>5525</v>
      </c>
      <c r="K546" s="3" t="str">
        <f>VLOOKUP(Table2[[#This Row],[Konto]],Table5[[Konto]:[Konto nimetus]],2,FALSE)</f>
        <v>Kommunikatsiooni-, kultuuri- ja vaba aja sisustamise kulud</v>
      </c>
      <c r="L546">
        <v>55</v>
      </c>
      <c r="M546" t="str">
        <f t="shared" si="17"/>
        <v>55</v>
      </c>
      <c r="N546" s="3" t="str">
        <f>VLOOKUP(Table2[[#This Row],[Tulu/kulu liik2]],Table5[[Tulu/kulu liik]:[Kontode koondnimetus]],4,FALSE)</f>
        <v>Muud tegevuskulud</v>
      </c>
      <c r="O546" s="3" t="str">
        <f>VLOOKUP(Table2[[#This Row],[Tulu/kulu liik2]],Table5[],6,FALSE)</f>
        <v>Majandamiskulud</v>
      </c>
      <c r="P546" s="3" t="str">
        <f>VLOOKUP(Table2[[#This Row],[Tulu/kulu liik2]],Table5[],5,FALSE)</f>
        <v>Põhitegevuse kulu</v>
      </c>
    </row>
    <row r="547" spans="1:16" x14ac:dyDescent="0.25">
      <c r="A547" t="str">
        <f t="shared" si="16"/>
        <v>08</v>
      </c>
      <c r="B547" t="s">
        <v>323</v>
      </c>
      <c r="C547" s="3" t="str">
        <f>VLOOKUP(Table2[[#This Row],[Tegevusala]],Table4[],2,FALSE)</f>
        <v xml:space="preserve"> Ulvi Klubi</v>
      </c>
      <c r="D547" s="3" t="str">
        <f>VLOOKUP(Table2[[#This Row],[Tegevusala]],Table4[[Tegevusala kood]:[Tegevusala alanimetus]],4,FALSE)</f>
        <v>Rahvakultuur</v>
      </c>
      <c r="E547" s="3" t="str">
        <f>VLOOKUP(Table2[[#This Row],[Tegevusala nimetus2]],Table4[[Tegevusala nimetus]:[Tegevusala koondnimetus]],2,FALSE)</f>
        <v>Vabaaeg, kultuur ja religioon</v>
      </c>
      <c r="F547" t="s">
        <v>1142</v>
      </c>
      <c r="G547" t="s">
        <v>1183</v>
      </c>
      <c r="H547" s="40">
        <v>100</v>
      </c>
      <c r="I547" s="2" t="s">
        <v>1184</v>
      </c>
      <c r="J547">
        <v>5525</v>
      </c>
      <c r="K547" s="3" t="str">
        <f>VLOOKUP(Table2[[#This Row],[Konto]],Table5[[Konto]:[Konto nimetus]],2,FALSE)</f>
        <v>Kommunikatsiooni-, kultuuri- ja vaba aja sisustamise kulud</v>
      </c>
      <c r="L547">
        <v>55</v>
      </c>
      <c r="M547" t="str">
        <f t="shared" si="17"/>
        <v>55</v>
      </c>
      <c r="N547" s="3" t="str">
        <f>VLOOKUP(Table2[[#This Row],[Tulu/kulu liik2]],Table5[[Tulu/kulu liik]:[Kontode koondnimetus]],4,FALSE)</f>
        <v>Muud tegevuskulud</v>
      </c>
      <c r="O547" s="3" t="str">
        <f>VLOOKUP(Table2[[#This Row],[Tulu/kulu liik2]],Table5[],6,FALSE)</f>
        <v>Majandamiskulud</v>
      </c>
      <c r="P547" s="3" t="str">
        <f>VLOOKUP(Table2[[#This Row],[Tulu/kulu liik2]],Table5[],5,FALSE)</f>
        <v>Põhitegevuse kulu</v>
      </c>
    </row>
    <row r="548" spans="1:16" x14ac:dyDescent="0.25">
      <c r="A548" t="str">
        <f t="shared" si="16"/>
        <v>08</v>
      </c>
      <c r="B548" t="s">
        <v>323</v>
      </c>
      <c r="C548" s="3" t="str">
        <f>VLOOKUP(Table2[[#This Row],[Tegevusala]],Table4[],2,FALSE)</f>
        <v xml:space="preserve"> Ulvi Klubi</v>
      </c>
      <c r="D548" s="3" t="str">
        <f>VLOOKUP(Table2[[#This Row],[Tegevusala]],Table4[[Tegevusala kood]:[Tegevusala alanimetus]],4,FALSE)</f>
        <v>Rahvakultuur</v>
      </c>
      <c r="E548" s="3" t="str">
        <f>VLOOKUP(Table2[[#This Row],[Tegevusala nimetus2]],Table4[[Tegevusala nimetus]:[Tegevusala koondnimetus]],2,FALSE)</f>
        <v>Vabaaeg, kultuur ja religioon</v>
      </c>
      <c r="F548" t="s">
        <v>1142</v>
      </c>
      <c r="G548" t="s">
        <v>1185</v>
      </c>
      <c r="H548" s="40">
        <v>1500</v>
      </c>
      <c r="I548" s="2" t="s">
        <v>1186</v>
      </c>
      <c r="J548">
        <v>5525</v>
      </c>
      <c r="K548" s="3" t="str">
        <f>VLOOKUP(Table2[[#This Row],[Konto]],Table5[[Konto]:[Konto nimetus]],2,FALSE)</f>
        <v>Kommunikatsiooni-, kultuuri- ja vaba aja sisustamise kulud</v>
      </c>
      <c r="L548">
        <v>55</v>
      </c>
      <c r="M548" t="str">
        <f t="shared" si="17"/>
        <v>55</v>
      </c>
      <c r="N548" s="3" t="str">
        <f>VLOOKUP(Table2[[#This Row],[Tulu/kulu liik2]],Table5[[Tulu/kulu liik]:[Kontode koondnimetus]],4,FALSE)</f>
        <v>Muud tegevuskulud</v>
      </c>
      <c r="O548" s="3" t="str">
        <f>VLOOKUP(Table2[[#This Row],[Tulu/kulu liik2]],Table5[],6,FALSE)</f>
        <v>Majandamiskulud</v>
      </c>
      <c r="P548" s="3" t="str">
        <f>VLOOKUP(Table2[[#This Row],[Tulu/kulu liik2]],Table5[],5,FALSE)</f>
        <v>Põhitegevuse kulu</v>
      </c>
    </row>
    <row r="549" spans="1:16" x14ac:dyDescent="0.25">
      <c r="A549" t="str">
        <f t="shared" si="16"/>
        <v>08</v>
      </c>
      <c r="B549" t="s">
        <v>323</v>
      </c>
      <c r="C549" s="3" t="str">
        <f>VLOOKUP(Table2[[#This Row],[Tegevusala]],Table4[],2,FALSE)</f>
        <v xml:space="preserve"> Ulvi Klubi</v>
      </c>
      <c r="D549" s="3" t="str">
        <f>VLOOKUP(Table2[[#This Row],[Tegevusala]],Table4[[Tegevusala kood]:[Tegevusala alanimetus]],4,FALSE)</f>
        <v>Rahvakultuur</v>
      </c>
      <c r="E549" s="3" t="str">
        <f>VLOOKUP(Table2[[#This Row],[Tegevusala nimetus2]],Table4[[Tegevusala nimetus]:[Tegevusala koondnimetus]],2,FALSE)</f>
        <v>Vabaaeg, kultuur ja religioon</v>
      </c>
      <c r="F549" t="s">
        <v>1142</v>
      </c>
      <c r="G549" t="s">
        <v>1187</v>
      </c>
      <c r="H549" s="40">
        <v>100</v>
      </c>
      <c r="I549" s="2" t="s">
        <v>1188</v>
      </c>
      <c r="J549">
        <v>5525</v>
      </c>
      <c r="K549" s="3" t="str">
        <f>VLOOKUP(Table2[[#This Row],[Konto]],Table5[[Konto]:[Konto nimetus]],2,FALSE)</f>
        <v>Kommunikatsiooni-, kultuuri- ja vaba aja sisustamise kulud</v>
      </c>
      <c r="L549">
        <v>55</v>
      </c>
      <c r="M549" t="str">
        <f t="shared" si="17"/>
        <v>55</v>
      </c>
      <c r="N549" s="3" t="str">
        <f>VLOOKUP(Table2[[#This Row],[Tulu/kulu liik2]],Table5[[Tulu/kulu liik]:[Kontode koondnimetus]],4,FALSE)</f>
        <v>Muud tegevuskulud</v>
      </c>
      <c r="O549" s="3" t="str">
        <f>VLOOKUP(Table2[[#This Row],[Tulu/kulu liik2]],Table5[],6,FALSE)</f>
        <v>Majandamiskulud</v>
      </c>
      <c r="P549" s="3" t="str">
        <f>VLOOKUP(Table2[[#This Row],[Tulu/kulu liik2]],Table5[],5,FALSE)</f>
        <v>Põhitegevuse kulu</v>
      </c>
    </row>
    <row r="550" spans="1:16" x14ac:dyDescent="0.25">
      <c r="A550" t="str">
        <f t="shared" si="16"/>
        <v>08</v>
      </c>
      <c r="B550" t="s">
        <v>323</v>
      </c>
      <c r="C550" s="3" t="str">
        <f>VLOOKUP(Table2[[#This Row],[Tegevusala]],Table4[],2,FALSE)</f>
        <v xml:space="preserve"> Ulvi Klubi</v>
      </c>
      <c r="D550" s="3" t="str">
        <f>VLOOKUP(Table2[[#This Row],[Tegevusala]],Table4[[Tegevusala kood]:[Tegevusala alanimetus]],4,FALSE)</f>
        <v>Rahvakultuur</v>
      </c>
      <c r="E550" s="3" t="str">
        <f>VLOOKUP(Table2[[#This Row],[Tegevusala nimetus2]],Table4[[Tegevusala nimetus]:[Tegevusala koondnimetus]],2,FALSE)</f>
        <v>Vabaaeg, kultuur ja religioon</v>
      </c>
      <c r="F550" t="s">
        <v>1142</v>
      </c>
      <c r="G550" t="s">
        <v>1189</v>
      </c>
      <c r="H550" s="40">
        <v>200</v>
      </c>
      <c r="I550" s="2" t="s">
        <v>1190</v>
      </c>
      <c r="J550">
        <v>5525</v>
      </c>
      <c r="K550" s="3" t="str">
        <f>VLOOKUP(Table2[[#This Row],[Konto]],Table5[[Konto]:[Konto nimetus]],2,FALSE)</f>
        <v>Kommunikatsiooni-, kultuuri- ja vaba aja sisustamise kulud</v>
      </c>
      <c r="L550">
        <v>55</v>
      </c>
      <c r="M550" t="str">
        <f t="shared" si="17"/>
        <v>55</v>
      </c>
      <c r="N550" s="3" t="str">
        <f>VLOOKUP(Table2[[#This Row],[Tulu/kulu liik2]],Table5[[Tulu/kulu liik]:[Kontode koondnimetus]],4,FALSE)</f>
        <v>Muud tegevuskulud</v>
      </c>
      <c r="O550" s="3" t="str">
        <f>VLOOKUP(Table2[[#This Row],[Tulu/kulu liik2]],Table5[],6,FALSE)</f>
        <v>Majandamiskulud</v>
      </c>
      <c r="P550" s="3" t="str">
        <f>VLOOKUP(Table2[[#This Row],[Tulu/kulu liik2]],Table5[],5,FALSE)</f>
        <v>Põhitegevuse kulu</v>
      </c>
    </row>
    <row r="551" spans="1:16" x14ac:dyDescent="0.25">
      <c r="A551" t="str">
        <f t="shared" si="16"/>
        <v>08</v>
      </c>
      <c r="B551" t="s">
        <v>323</v>
      </c>
      <c r="C551" s="3" t="str">
        <f>VLOOKUP(Table2[[#This Row],[Tegevusala]],Table4[],2,FALSE)</f>
        <v xml:space="preserve"> Ulvi Klubi</v>
      </c>
      <c r="D551" s="3" t="str">
        <f>VLOOKUP(Table2[[#This Row],[Tegevusala]],Table4[[Tegevusala kood]:[Tegevusala alanimetus]],4,FALSE)</f>
        <v>Rahvakultuur</v>
      </c>
      <c r="E551" s="3" t="str">
        <f>VLOOKUP(Table2[[#This Row],[Tegevusala nimetus2]],Table4[[Tegevusala nimetus]:[Tegevusala koondnimetus]],2,FALSE)</f>
        <v>Vabaaeg, kultuur ja religioon</v>
      </c>
      <c r="F551" t="s">
        <v>1142</v>
      </c>
      <c r="G551" t="s">
        <v>1191</v>
      </c>
      <c r="H551" s="40">
        <v>300</v>
      </c>
      <c r="I551" s="2" t="s">
        <v>1192</v>
      </c>
      <c r="J551">
        <v>5525</v>
      </c>
      <c r="K551" s="3" t="str">
        <f>VLOOKUP(Table2[[#This Row],[Konto]],Table5[[Konto]:[Konto nimetus]],2,FALSE)</f>
        <v>Kommunikatsiooni-, kultuuri- ja vaba aja sisustamise kulud</v>
      </c>
      <c r="L551">
        <v>55</v>
      </c>
      <c r="M551" t="str">
        <f t="shared" si="17"/>
        <v>55</v>
      </c>
      <c r="N551" s="3" t="str">
        <f>VLOOKUP(Table2[[#This Row],[Tulu/kulu liik2]],Table5[[Tulu/kulu liik]:[Kontode koondnimetus]],4,FALSE)</f>
        <v>Muud tegevuskulud</v>
      </c>
      <c r="O551" s="3" t="str">
        <f>VLOOKUP(Table2[[#This Row],[Tulu/kulu liik2]],Table5[],6,FALSE)</f>
        <v>Majandamiskulud</v>
      </c>
      <c r="P551" s="3" t="str">
        <f>VLOOKUP(Table2[[#This Row],[Tulu/kulu liik2]],Table5[],5,FALSE)</f>
        <v>Põhitegevuse kulu</v>
      </c>
    </row>
    <row r="552" spans="1:16" x14ac:dyDescent="0.25">
      <c r="A552" t="str">
        <f t="shared" si="16"/>
        <v>08</v>
      </c>
      <c r="B552" t="s">
        <v>323</v>
      </c>
      <c r="C552" s="3" t="str">
        <f>VLOOKUP(Table2[[#This Row],[Tegevusala]],Table4[],2,FALSE)</f>
        <v xml:space="preserve"> Ulvi Klubi</v>
      </c>
      <c r="D552" s="3" t="str">
        <f>VLOOKUP(Table2[[#This Row],[Tegevusala]],Table4[[Tegevusala kood]:[Tegevusala alanimetus]],4,FALSE)</f>
        <v>Rahvakultuur</v>
      </c>
      <c r="E552" s="3" t="str">
        <f>VLOOKUP(Table2[[#This Row],[Tegevusala nimetus2]],Table4[[Tegevusala nimetus]:[Tegevusala koondnimetus]],2,FALSE)</f>
        <v>Vabaaeg, kultuur ja religioon</v>
      </c>
      <c r="F552" t="s">
        <v>1142</v>
      </c>
      <c r="G552" t="s">
        <v>1193</v>
      </c>
      <c r="H552" s="40">
        <v>150</v>
      </c>
      <c r="I552" s="2" t="s">
        <v>1194</v>
      </c>
      <c r="J552">
        <v>5525</v>
      </c>
      <c r="K552" s="3" t="str">
        <f>VLOOKUP(Table2[[#This Row],[Konto]],Table5[[Konto]:[Konto nimetus]],2,FALSE)</f>
        <v>Kommunikatsiooni-, kultuuri- ja vaba aja sisustamise kulud</v>
      </c>
      <c r="L552">
        <v>55</v>
      </c>
      <c r="M552" t="str">
        <f t="shared" si="17"/>
        <v>55</v>
      </c>
      <c r="N552" s="3" t="str">
        <f>VLOOKUP(Table2[[#This Row],[Tulu/kulu liik2]],Table5[[Tulu/kulu liik]:[Kontode koondnimetus]],4,FALSE)</f>
        <v>Muud tegevuskulud</v>
      </c>
      <c r="O552" s="3" t="str">
        <f>VLOOKUP(Table2[[#This Row],[Tulu/kulu liik2]],Table5[],6,FALSE)</f>
        <v>Majandamiskulud</v>
      </c>
      <c r="P552" s="3" t="str">
        <f>VLOOKUP(Table2[[#This Row],[Tulu/kulu liik2]],Table5[],5,FALSE)</f>
        <v>Põhitegevuse kulu</v>
      </c>
    </row>
    <row r="553" spans="1:16" x14ac:dyDescent="0.25">
      <c r="A553" t="str">
        <f t="shared" si="16"/>
        <v>08</v>
      </c>
      <c r="B553" t="s">
        <v>323</v>
      </c>
      <c r="C553" s="3" t="str">
        <f>VLOOKUP(Table2[[#This Row],[Tegevusala]],Table4[],2,FALSE)</f>
        <v xml:space="preserve"> Ulvi Klubi</v>
      </c>
      <c r="D553" s="3" t="str">
        <f>VLOOKUP(Table2[[#This Row],[Tegevusala]],Table4[[Tegevusala kood]:[Tegevusala alanimetus]],4,FALSE)</f>
        <v>Rahvakultuur</v>
      </c>
      <c r="E553" s="3" t="str">
        <f>VLOOKUP(Table2[[#This Row],[Tegevusala nimetus2]],Table4[[Tegevusala nimetus]:[Tegevusala koondnimetus]],2,FALSE)</f>
        <v>Vabaaeg, kultuur ja religioon</v>
      </c>
      <c r="F553" t="s">
        <v>1142</v>
      </c>
      <c r="G553" t="s">
        <v>1195</v>
      </c>
      <c r="H553" s="40">
        <v>150</v>
      </c>
      <c r="J553">
        <v>5525</v>
      </c>
      <c r="K553" s="3" t="str">
        <f>VLOOKUP(Table2[[#This Row],[Konto]],Table5[[Konto]:[Konto nimetus]],2,FALSE)</f>
        <v>Kommunikatsiooni-, kultuuri- ja vaba aja sisustamise kulud</v>
      </c>
      <c r="L553">
        <v>55</v>
      </c>
      <c r="M553" t="str">
        <f t="shared" si="17"/>
        <v>55</v>
      </c>
      <c r="N553" s="3" t="str">
        <f>VLOOKUP(Table2[[#This Row],[Tulu/kulu liik2]],Table5[[Tulu/kulu liik]:[Kontode koondnimetus]],4,FALSE)</f>
        <v>Muud tegevuskulud</v>
      </c>
      <c r="O553" s="3" t="str">
        <f>VLOOKUP(Table2[[#This Row],[Tulu/kulu liik2]],Table5[],6,FALSE)</f>
        <v>Majandamiskulud</v>
      </c>
      <c r="P553" s="3" t="str">
        <f>VLOOKUP(Table2[[#This Row],[Tulu/kulu liik2]],Table5[],5,FALSE)</f>
        <v>Põhitegevuse kulu</v>
      </c>
    </row>
    <row r="554" spans="1:16" x14ac:dyDescent="0.25">
      <c r="A554" t="str">
        <f t="shared" si="16"/>
        <v>08</v>
      </c>
      <c r="B554" t="s">
        <v>323</v>
      </c>
      <c r="C554" s="3" t="str">
        <f>VLOOKUP(Table2[[#This Row],[Tegevusala]],Table4[],2,FALSE)</f>
        <v xml:space="preserve"> Ulvi Klubi</v>
      </c>
      <c r="D554" s="3" t="str">
        <f>VLOOKUP(Table2[[#This Row],[Tegevusala]],Table4[[Tegevusala kood]:[Tegevusala alanimetus]],4,FALSE)</f>
        <v>Rahvakultuur</v>
      </c>
      <c r="E554" s="3" t="str">
        <f>VLOOKUP(Table2[[#This Row],[Tegevusala nimetus2]],Table4[[Tegevusala nimetus]:[Tegevusala koondnimetus]],2,FALSE)</f>
        <v>Vabaaeg, kultuur ja religioon</v>
      </c>
      <c r="F554" t="s">
        <v>1142</v>
      </c>
      <c r="G554" t="s">
        <v>1196</v>
      </c>
      <c r="H554" s="40">
        <v>100</v>
      </c>
      <c r="J554">
        <v>5525</v>
      </c>
      <c r="K554" s="3" t="str">
        <f>VLOOKUP(Table2[[#This Row],[Konto]],Table5[[Konto]:[Konto nimetus]],2,FALSE)</f>
        <v>Kommunikatsiooni-, kultuuri- ja vaba aja sisustamise kulud</v>
      </c>
      <c r="L554">
        <v>55</v>
      </c>
      <c r="M554" t="str">
        <f t="shared" si="17"/>
        <v>55</v>
      </c>
      <c r="N554" s="3" t="str">
        <f>VLOOKUP(Table2[[#This Row],[Tulu/kulu liik2]],Table5[[Tulu/kulu liik]:[Kontode koondnimetus]],4,FALSE)</f>
        <v>Muud tegevuskulud</v>
      </c>
      <c r="O554" s="3" t="str">
        <f>VLOOKUP(Table2[[#This Row],[Tulu/kulu liik2]],Table5[],6,FALSE)</f>
        <v>Majandamiskulud</v>
      </c>
      <c r="P554" s="3" t="str">
        <f>VLOOKUP(Table2[[#This Row],[Tulu/kulu liik2]],Table5[],5,FALSE)</f>
        <v>Põhitegevuse kulu</v>
      </c>
    </row>
    <row r="555" spans="1:16" x14ac:dyDescent="0.25">
      <c r="A555" t="str">
        <f t="shared" si="16"/>
        <v>08</v>
      </c>
      <c r="B555" t="s">
        <v>323</v>
      </c>
      <c r="C555" s="3" t="str">
        <f>VLOOKUP(Table2[[#This Row],[Tegevusala]],Table4[],2,FALSE)</f>
        <v xml:space="preserve"> Ulvi Klubi</v>
      </c>
      <c r="D555" s="3" t="str">
        <f>VLOOKUP(Table2[[#This Row],[Tegevusala]],Table4[[Tegevusala kood]:[Tegevusala alanimetus]],4,FALSE)</f>
        <v>Rahvakultuur</v>
      </c>
      <c r="E555" s="3" t="str">
        <f>VLOOKUP(Table2[[#This Row],[Tegevusala nimetus2]],Table4[[Tegevusala nimetus]:[Tegevusala koondnimetus]],2,FALSE)</f>
        <v>Vabaaeg, kultuur ja religioon</v>
      </c>
      <c r="F555" t="s">
        <v>1142</v>
      </c>
      <c r="G555" t="s">
        <v>1151</v>
      </c>
      <c r="H555" s="40">
        <v>100</v>
      </c>
      <c r="I555" s="2" t="s">
        <v>1152</v>
      </c>
      <c r="J555">
        <v>5511</v>
      </c>
      <c r="K555" s="3" t="str">
        <f>VLOOKUP(Table2[[#This Row],[Konto]],Table5[[Konto]:[Konto nimetus]],2,FALSE)</f>
        <v>Kinnistute, hoonete ja ruumide majandamiskulud</v>
      </c>
      <c r="L555">
        <v>55</v>
      </c>
      <c r="M555" t="str">
        <f t="shared" si="17"/>
        <v>55</v>
      </c>
      <c r="N555" s="3" t="str">
        <f>VLOOKUP(Table2[[#This Row],[Tulu/kulu liik2]],Table5[[Tulu/kulu liik]:[Kontode koondnimetus]],4,FALSE)</f>
        <v>Muud tegevuskulud</v>
      </c>
      <c r="O555" s="3" t="str">
        <f>VLOOKUP(Table2[[#This Row],[Tulu/kulu liik2]],Table5[],6,FALSE)</f>
        <v>Majandamiskulud</v>
      </c>
      <c r="P555" s="3" t="str">
        <f>VLOOKUP(Table2[[#This Row],[Tulu/kulu liik2]],Table5[],5,FALSE)</f>
        <v>Põhitegevuse kulu</v>
      </c>
    </row>
    <row r="556" spans="1:16" x14ac:dyDescent="0.25">
      <c r="A556" t="str">
        <f t="shared" si="16"/>
        <v>08</v>
      </c>
      <c r="B556" t="s">
        <v>323</v>
      </c>
      <c r="C556" s="3" t="str">
        <f>VLOOKUP(Table2[[#This Row],[Tegevusala]],Table4[],2,FALSE)</f>
        <v xml:space="preserve"> Ulvi Klubi</v>
      </c>
      <c r="D556" s="3" t="str">
        <f>VLOOKUP(Table2[[#This Row],[Tegevusala]],Table4[[Tegevusala kood]:[Tegevusala alanimetus]],4,FALSE)</f>
        <v>Rahvakultuur</v>
      </c>
      <c r="E556" s="3" t="str">
        <f>VLOOKUP(Table2[[#This Row],[Tegevusala nimetus2]],Table4[[Tegevusala nimetus]:[Tegevusala koondnimetus]],2,FALSE)</f>
        <v>Vabaaeg, kultuur ja religioon</v>
      </c>
      <c r="F556" t="s">
        <v>1142</v>
      </c>
      <c r="G556" t="s">
        <v>1153</v>
      </c>
      <c r="H556" s="40">
        <v>400</v>
      </c>
      <c r="I556" s="2" t="s">
        <v>1154</v>
      </c>
      <c r="J556">
        <v>5511</v>
      </c>
      <c r="K556" s="3" t="str">
        <f>VLOOKUP(Table2[[#This Row],[Konto]],Table5[[Konto]:[Konto nimetus]],2,FALSE)</f>
        <v>Kinnistute, hoonete ja ruumide majandamiskulud</v>
      </c>
      <c r="L556">
        <v>55</v>
      </c>
      <c r="M556" t="str">
        <f t="shared" si="17"/>
        <v>55</v>
      </c>
      <c r="N556" s="3" t="str">
        <f>VLOOKUP(Table2[[#This Row],[Tulu/kulu liik2]],Table5[[Tulu/kulu liik]:[Kontode koondnimetus]],4,FALSE)</f>
        <v>Muud tegevuskulud</v>
      </c>
      <c r="O556" s="3" t="str">
        <f>VLOOKUP(Table2[[#This Row],[Tulu/kulu liik2]],Table5[],6,FALSE)</f>
        <v>Majandamiskulud</v>
      </c>
      <c r="P556" s="3" t="str">
        <f>VLOOKUP(Table2[[#This Row],[Tulu/kulu liik2]],Table5[],5,FALSE)</f>
        <v>Põhitegevuse kulu</v>
      </c>
    </row>
    <row r="557" spans="1:16" x14ac:dyDescent="0.25">
      <c r="A557" t="str">
        <f t="shared" si="16"/>
        <v>08</v>
      </c>
      <c r="B557" t="s">
        <v>323</v>
      </c>
      <c r="C557" s="3" t="str">
        <f>VLOOKUP(Table2[[#This Row],[Tegevusala]],Table4[],2,FALSE)</f>
        <v xml:space="preserve"> Ulvi Klubi</v>
      </c>
      <c r="D557" s="3" t="str">
        <f>VLOOKUP(Table2[[#This Row],[Tegevusala]],Table4[[Tegevusala kood]:[Tegevusala alanimetus]],4,FALSE)</f>
        <v>Rahvakultuur</v>
      </c>
      <c r="E557" s="3" t="str">
        <f>VLOOKUP(Table2[[#This Row],[Tegevusala nimetus2]],Table4[[Tegevusala nimetus]:[Tegevusala koondnimetus]],2,FALSE)</f>
        <v>Vabaaeg, kultuur ja religioon</v>
      </c>
      <c r="F557" t="s">
        <v>1142</v>
      </c>
      <c r="G557" t="s">
        <v>1155</v>
      </c>
      <c r="H557" s="40">
        <v>100</v>
      </c>
      <c r="I557" s="2" t="s">
        <v>1156</v>
      </c>
      <c r="J557">
        <v>5511</v>
      </c>
      <c r="K557" s="3" t="str">
        <f>VLOOKUP(Table2[[#This Row],[Konto]],Table5[[Konto]:[Konto nimetus]],2,FALSE)</f>
        <v>Kinnistute, hoonete ja ruumide majandamiskulud</v>
      </c>
      <c r="L557">
        <v>55</v>
      </c>
      <c r="M557" t="str">
        <f t="shared" si="17"/>
        <v>55</v>
      </c>
      <c r="N557" s="3" t="str">
        <f>VLOOKUP(Table2[[#This Row],[Tulu/kulu liik2]],Table5[[Tulu/kulu liik]:[Kontode koondnimetus]],4,FALSE)</f>
        <v>Muud tegevuskulud</v>
      </c>
      <c r="O557" s="3" t="str">
        <f>VLOOKUP(Table2[[#This Row],[Tulu/kulu liik2]],Table5[],6,FALSE)</f>
        <v>Majandamiskulud</v>
      </c>
      <c r="P557" s="3" t="str">
        <f>VLOOKUP(Table2[[#This Row],[Tulu/kulu liik2]],Table5[],5,FALSE)</f>
        <v>Põhitegevuse kulu</v>
      </c>
    </row>
    <row r="558" spans="1:16" x14ac:dyDescent="0.25">
      <c r="A558" t="str">
        <f t="shared" si="16"/>
        <v>08</v>
      </c>
      <c r="B558" t="s">
        <v>323</v>
      </c>
      <c r="C558" s="3" t="str">
        <f>VLOOKUP(Table2[[#This Row],[Tegevusala]],Table4[],2,FALSE)</f>
        <v xml:space="preserve"> Ulvi Klubi</v>
      </c>
      <c r="D558" s="3" t="str">
        <f>VLOOKUP(Table2[[#This Row],[Tegevusala]],Table4[[Tegevusala kood]:[Tegevusala alanimetus]],4,FALSE)</f>
        <v>Rahvakultuur</v>
      </c>
      <c r="E558" s="3" t="str">
        <f>VLOOKUP(Table2[[#This Row],[Tegevusala nimetus2]],Table4[[Tegevusala nimetus]:[Tegevusala koondnimetus]],2,FALSE)</f>
        <v>Vabaaeg, kultuur ja religioon</v>
      </c>
      <c r="F558" t="s">
        <v>1142</v>
      </c>
      <c r="G558" t="s">
        <v>178</v>
      </c>
      <c r="H558" s="40">
        <v>10000</v>
      </c>
      <c r="I558" s="2" t="s">
        <v>1157</v>
      </c>
      <c r="J558">
        <v>5511</v>
      </c>
      <c r="K558" s="3" t="str">
        <f>VLOOKUP(Table2[[#This Row],[Konto]],Table5[[Konto]:[Konto nimetus]],2,FALSE)</f>
        <v>Kinnistute, hoonete ja ruumide majandamiskulud</v>
      </c>
      <c r="L558">
        <v>55</v>
      </c>
      <c r="M558" t="str">
        <f t="shared" si="17"/>
        <v>55</v>
      </c>
      <c r="N558" s="3" t="str">
        <f>VLOOKUP(Table2[[#This Row],[Tulu/kulu liik2]],Table5[[Tulu/kulu liik]:[Kontode koondnimetus]],4,FALSE)</f>
        <v>Muud tegevuskulud</v>
      </c>
      <c r="O558" s="3" t="str">
        <f>VLOOKUP(Table2[[#This Row],[Tulu/kulu liik2]],Table5[],6,FALSE)</f>
        <v>Majandamiskulud</v>
      </c>
      <c r="P558" s="3" t="str">
        <f>VLOOKUP(Table2[[#This Row],[Tulu/kulu liik2]],Table5[],5,FALSE)</f>
        <v>Põhitegevuse kulu</v>
      </c>
    </row>
    <row r="559" spans="1:16" x14ac:dyDescent="0.25">
      <c r="A559" t="str">
        <f t="shared" si="16"/>
        <v>08</v>
      </c>
      <c r="B559" t="s">
        <v>323</v>
      </c>
      <c r="C559" s="3" t="str">
        <f>VLOOKUP(Table2[[#This Row],[Tegevusala]],Table4[],2,FALSE)</f>
        <v xml:space="preserve"> Ulvi Klubi</v>
      </c>
      <c r="D559" s="3" t="str">
        <f>VLOOKUP(Table2[[#This Row],[Tegevusala]],Table4[[Tegevusala kood]:[Tegevusala alanimetus]],4,FALSE)</f>
        <v>Rahvakultuur</v>
      </c>
      <c r="E559" s="3" t="str">
        <f>VLOOKUP(Table2[[#This Row],[Tegevusala nimetus2]],Table4[[Tegevusala nimetus]:[Tegevusala koondnimetus]],2,FALSE)</f>
        <v>Vabaaeg, kultuur ja religioon</v>
      </c>
      <c r="F559" t="s">
        <v>1142</v>
      </c>
      <c r="G559" t="s">
        <v>1158</v>
      </c>
      <c r="H559" s="40">
        <v>1000</v>
      </c>
      <c r="I559" s="2" t="s">
        <v>1159</v>
      </c>
      <c r="J559">
        <v>5511</v>
      </c>
      <c r="K559" s="3" t="str">
        <f>VLOOKUP(Table2[[#This Row],[Konto]],Table5[[Konto]:[Konto nimetus]],2,FALSE)</f>
        <v>Kinnistute, hoonete ja ruumide majandamiskulud</v>
      </c>
      <c r="L559">
        <v>55</v>
      </c>
      <c r="M559" t="str">
        <f t="shared" si="17"/>
        <v>55</v>
      </c>
      <c r="N559" s="3" t="str">
        <f>VLOOKUP(Table2[[#This Row],[Tulu/kulu liik2]],Table5[[Tulu/kulu liik]:[Kontode koondnimetus]],4,FALSE)</f>
        <v>Muud tegevuskulud</v>
      </c>
      <c r="O559" s="3" t="str">
        <f>VLOOKUP(Table2[[#This Row],[Tulu/kulu liik2]],Table5[],6,FALSE)</f>
        <v>Majandamiskulud</v>
      </c>
      <c r="P559" s="3" t="str">
        <f>VLOOKUP(Table2[[#This Row],[Tulu/kulu liik2]],Table5[],5,FALSE)</f>
        <v>Põhitegevuse kulu</v>
      </c>
    </row>
    <row r="560" spans="1:16" x14ac:dyDescent="0.25">
      <c r="A560" t="str">
        <f t="shared" si="16"/>
        <v>08</v>
      </c>
      <c r="B560" t="s">
        <v>323</v>
      </c>
      <c r="C560" s="3" t="str">
        <f>VLOOKUP(Table2[[#This Row],[Tegevusala]],Table4[],2,FALSE)</f>
        <v xml:space="preserve"> Ulvi Klubi</v>
      </c>
      <c r="D560" s="3" t="str">
        <f>VLOOKUP(Table2[[#This Row],[Tegevusala]],Table4[[Tegevusala kood]:[Tegevusala alanimetus]],4,FALSE)</f>
        <v>Rahvakultuur</v>
      </c>
      <c r="E560" s="3" t="str">
        <f>VLOOKUP(Table2[[#This Row],[Tegevusala nimetus2]],Table4[[Tegevusala nimetus]:[Tegevusala koondnimetus]],2,FALSE)</f>
        <v>Vabaaeg, kultuur ja religioon</v>
      </c>
      <c r="F560" t="s">
        <v>1142</v>
      </c>
      <c r="G560" t="s">
        <v>1160</v>
      </c>
      <c r="H560" s="40">
        <v>200</v>
      </c>
      <c r="I560" s="2" t="s">
        <v>1161</v>
      </c>
      <c r="J560">
        <v>5511</v>
      </c>
      <c r="K560" s="3" t="str">
        <f>VLOOKUP(Table2[[#This Row],[Konto]],Table5[[Konto]:[Konto nimetus]],2,FALSE)</f>
        <v>Kinnistute, hoonete ja ruumide majandamiskulud</v>
      </c>
      <c r="L560">
        <v>55</v>
      </c>
      <c r="M560" t="str">
        <f t="shared" si="17"/>
        <v>55</v>
      </c>
      <c r="N560" s="3" t="str">
        <f>VLOOKUP(Table2[[#This Row],[Tulu/kulu liik2]],Table5[[Tulu/kulu liik]:[Kontode koondnimetus]],4,FALSE)</f>
        <v>Muud tegevuskulud</v>
      </c>
      <c r="O560" s="3" t="str">
        <f>VLOOKUP(Table2[[#This Row],[Tulu/kulu liik2]],Table5[],6,FALSE)</f>
        <v>Majandamiskulud</v>
      </c>
      <c r="P560" s="3" t="str">
        <f>VLOOKUP(Table2[[#This Row],[Tulu/kulu liik2]],Table5[],5,FALSE)</f>
        <v>Põhitegevuse kulu</v>
      </c>
    </row>
    <row r="561" spans="1:16" x14ac:dyDescent="0.25">
      <c r="A561" t="str">
        <f t="shared" si="16"/>
        <v>08</v>
      </c>
      <c r="B561" t="s">
        <v>323</v>
      </c>
      <c r="C561" s="3" t="str">
        <f>VLOOKUP(Table2[[#This Row],[Tegevusala]],Table4[],2,FALSE)</f>
        <v xml:space="preserve"> Ulvi Klubi</v>
      </c>
      <c r="D561" s="3" t="str">
        <f>VLOOKUP(Table2[[#This Row],[Tegevusala]],Table4[[Tegevusala kood]:[Tegevusala alanimetus]],4,FALSE)</f>
        <v>Rahvakultuur</v>
      </c>
      <c r="E561" s="3" t="str">
        <f>VLOOKUP(Table2[[#This Row],[Tegevusala nimetus2]],Table4[[Tegevusala nimetus]:[Tegevusala koondnimetus]],2,FALSE)</f>
        <v>Vabaaeg, kultuur ja religioon</v>
      </c>
      <c r="F561" t="s">
        <v>1142</v>
      </c>
      <c r="G561" t="s">
        <v>1162</v>
      </c>
      <c r="H561" s="40">
        <v>120</v>
      </c>
      <c r="I561" s="2" t="s">
        <v>1163</v>
      </c>
      <c r="J561">
        <v>5511</v>
      </c>
      <c r="K561" s="3" t="str">
        <f>VLOOKUP(Table2[[#This Row],[Konto]],Table5[[Konto]:[Konto nimetus]],2,FALSE)</f>
        <v>Kinnistute, hoonete ja ruumide majandamiskulud</v>
      </c>
      <c r="L561">
        <v>55</v>
      </c>
      <c r="M561" t="str">
        <f t="shared" si="17"/>
        <v>55</v>
      </c>
      <c r="N561" s="3" t="str">
        <f>VLOOKUP(Table2[[#This Row],[Tulu/kulu liik2]],Table5[[Tulu/kulu liik]:[Kontode koondnimetus]],4,FALSE)</f>
        <v>Muud tegevuskulud</v>
      </c>
      <c r="O561" s="3" t="str">
        <f>VLOOKUP(Table2[[#This Row],[Tulu/kulu liik2]],Table5[],6,FALSE)</f>
        <v>Majandamiskulud</v>
      </c>
      <c r="P561" s="3" t="str">
        <f>VLOOKUP(Table2[[#This Row],[Tulu/kulu liik2]],Table5[],5,FALSE)</f>
        <v>Põhitegevuse kulu</v>
      </c>
    </row>
    <row r="562" spans="1:16" x14ac:dyDescent="0.25">
      <c r="A562" t="str">
        <f t="shared" si="16"/>
        <v>08</v>
      </c>
      <c r="B562" t="s">
        <v>323</v>
      </c>
      <c r="C562" s="3" t="str">
        <f>VLOOKUP(Table2[[#This Row],[Tegevusala]],Table4[],2,FALSE)</f>
        <v xml:space="preserve"> Ulvi Klubi</v>
      </c>
      <c r="D562" s="3" t="str">
        <f>VLOOKUP(Table2[[#This Row],[Tegevusala]],Table4[[Tegevusala kood]:[Tegevusala alanimetus]],4,FALSE)</f>
        <v>Rahvakultuur</v>
      </c>
      <c r="E562" s="3" t="str">
        <f>VLOOKUP(Table2[[#This Row],[Tegevusala nimetus2]],Table4[[Tegevusala nimetus]:[Tegevusala koondnimetus]],2,FALSE)</f>
        <v>Vabaaeg, kultuur ja religioon</v>
      </c>
      <c r="F562" t="s">
        <v>1142</v>
      </c>
      <c r="G562" t="s">
        <v>1164</v>
      </c>
      <c r="H562" s="40">
        <v>1000</v>
      </c>
      <c r="I562" s="2" t="s">
        <v>1165</v>
      </c>
      <c r="J562">
        <v>5511</v>
      </c>
      <c r="K562" s="3" t="str">
        <f>VLOOKUP(Table2[[#This Row],[Konto]],Table5[[Konto]:[Konto nimetus]],2,FALSE)</f>
        <v>Kinnistute, hoonete ja ruumide majandamiskulud</v>
      </c>
      <c r="L562">
        <v>55</v>
      </c>
      <c r="M562" t="str">
        <f t="shared" si="17"/>
        <v>55</v>
      </c>
      <c r="N562" s="3" t="str">
        <f>VLOOKUP(Table2[[#This Row],[Tulu/kulu liik2]],Table5[[Tulu/kulu liik]:[Kontode koondnimetus]],4,FALSE)</f>
        <v>Muud tegevuskulud</v>
      </c>
      <c r="O562" s="3" t="str">
        <f>VLOOKUP(Table2[[#This Row],[Tulu/kulu liik2]],Table5[],6,FALSE)</f>
        <v>Majandamiskulud</v>
      </c>
      <c r="P562" s="3" t="str">
        <f>VLOOKUP(Table2[[#This Row],[Tulu/kulu liik2]],Table5[],5,FALSE)</f>
        <v>Põhitegevuse kulu</v>
      </c>
    </row>
    <row r="563" spans="1:16" x14ac:dyDescent="0.25">
      <c r="A563" t="str">
        <f t="shared" si="16"/>
        <v>08</v>
      </c>
      <c r="B563" t="s">
        <v>323</v>
      </c>
      <c r="C563" s="3" t="str">
        <f>VLOOKUP(Table2[[#This Row],[Tegevusala]],Table4[],2,FALSE)</f>
        <v xml:space="preserve"> Ulvi Klubi</v>
      </c>
      <c r="D563" s="3" t="str">
        <f>VLOOKUP(Table2[[#This Row],[Tegevusala]],Table4[[Tegevusala kood]:[Tegevusala alanimetus]],4,FALSE)</f>
        <v>Rahvakultuur</v>
      </c>
      <c r="E563" s="3" t="str">
        <f>VLOOKUP(Table2[[#This Row],[Tegevusala nimetus2]],Table4[[Tegevusala nimetus]:[Tegevusala koondnimetus]],2,FALSE)</f>
        <v>Vabaaeg, kultuur ja religioon</v>
      </c>
      <c r="F563" t="s">
        <v>1142</v>
      </c>
      <c r="G563" t="s">
        <v>1166</v>
      </c>
      <c r="H563" s="40">
        <v>800</v>
      </c>
      <c r="I563" s="2" t="s">
        <v>1167</v>
      </c>
      <c r="J563">
        <v>5511</v>
      </c>
      <c r="K563" s="3" t="str">
        <f>VLOOKUP(Table2[[#This Row],[Konto]],Table5[[Konto]:[Konto nimetus]],2,FALSE)</f>
        <v>Kinnistute, hoonete ja ruumide majandamiskulud</v>
      </c>
      <c r="L563">
        <v>55</v>
      </c>
      <c r="M563" t="str">
        <f t="shared" si="17"/>
        <v>55</v>
      </c>
      <c r="N563" s="3" t="str">
        <f>VLOOKUP(Table2[[#This Row],[Tulu/kulu liik2]],Table5[[Tulu/kulu liik]:[Kontode koondnimetus]],4,FALSE)</f>
        <v>Muud tegevuskulud</v>
      </c>
      <c r="O563" s="3" t="str">
        <f>VLOOKUP(Table2[[#This Row],[Tulu/kulu liik2]],Table5[],6,FALSE)</f>
        <v>Majandamiskulud</v>
      </c>
      <c r="P563" s="3" t="str">
        <f>VLOOKUP(Table2[[#This Row],[Tulu/kulu liik2]],Table5[],5,FALSE)</f>
        <v>Põhitegevuse kulu</v>
      </c>
    </row>
    <row r="564" spans="1:16" x14ac:dyDescent="0.25">
      <c r="A564" t="str">
        <f t="shared" si="16"/>
        <v>08</v>
      </c>
      <c r="B564" t="s">
        <v>323</v>
      </c>
      <c r="C564" s="3" t="str">
        <f>VLOOKUP(Table2[[#This Row],[Tegevusala]],Table4[],2,FALSE)</f>
        <v xml:space="preserve"> Ulvi Klubi</v>
      </c>
      <c r="D564" s="3" t="str">
        <f>VLOOKUP(Table2[[#This Row],[Tegevusala]],Table4[[Tegevusala kood]:[Tegevusala alanimetus]],4,FALSE)</f>
        <v>Rahvakultuur</v>
      </c>
      <c r="E564" s="3" t="str">
        <f>VLOOKUP(Table2[[#This Row],[Tegevusala nimetus2]],Table4[[Tegevusala nimetus]:[Tegevusala koondnimetus]],2,FALSE)</f>
        <v>Vabaaeg, kultuur ja religioon</v>
      </c>
      <c r="F564" t="s">
        <v>1142</v>
      </c>
      <c r="G564" t="s">
        <v>1168</v>
      </c>
      <c r="H564" s="40">
        <v>1000</v>
      </c>
      <c r="I564" s="2" t="s">
        <v>1169</v>
      </c>
      <c r="J564">
        <v>5511</v>
      </c>
      <c r="K564" s="3" t="str">
        <f>VLOOKUP(Table2[[#This Row],[Konto]],Table5[[Konto]:[Konto nimetus]],2,FALSE)</f>
        <v>Kinnistute, hoonete ja ruumide majandamiskulud</v>
      </c>
      <c r="L564">
        <v>55</v>
      </c>
      <c r="M564" t="str">
        <f t="shared" si="17"/>
        <v>55</v>
      </c>
      <c r="N564" s="3" t="str">
        <f>VLOOKUP(Table2[[#This Row],[Tulu/kulu liik2]],Table5[[Tulu/kulu liik]:[Kontode koondnimetus]],4,FALSE)</f>
        <v>Muud tegevuskulud</v>
      </c>
      <c r="O564" s="3" t="str">
        <f>VLOOKUP(Table2[[#This Row],[Tulu/kulu liik2]],Table5[],6,FALSE)</f>
        <v>Majandamiskulud</v>
      </c>
      <c r="P564" s="3" t="str">
        <f>VLOOKUP(Table2[[#This Row],[Tulu/kulu liik2]],Table5[],5,FALSE)</f>
        <v>Põhitegevuse kulu</v>
      </c>
    </row>
    <row r="565" spans="1:16" x14ac:dyDescent="0.25">
      <c r="A565" t="str">
        <f t="shared" si="16"/>
        <v>08</v>
      </c>
      <c r="B565" t="s">
        <v>323</v>
      </c>
      <c r="C565" s="3" t="str">
        <f>VLOOKUP(Table2[[#This Row],[Tegevusala]],Table4[],2,FALSE)</f>
        <v xml:space="preserve"> Ulvi Klubi</v>
      </c>
      <c r="D565" s="3" t="str">
        <f>VLOOKUP(Table2[[#This Row],[Tegevusala]],Table4[[Tegevusala kood]:[Tegevusala alanimetus]],4,FALSE)</f>
        <v>Rahvakultuur</v>
      </c>
      <c r="E565" s="3" t="str">
        <f>VLOOKUP(Table2[[#This Row],[Tegevusala nimetus2]],Table4[[Tegevusala nimetus]:[Tegevusala koondnimetus]],2,FALSE)</f>
        <v>Vabaaeg, kultuur ja religioon</v>
      </c>
      <c r="F565" t="s">
        <v>1142</v>
      </c>
      <c r="G565" t="s">
        <v>1170</v>
      </c>
      <c r="H565" s="40">
        <v>100</v>
      </c>
      <c r="J565">
        <v>5511</v>
      </c>
      <c r="K565" s="3" t="str">
        <f>VLOOKUP(Table2[[#This Row],[Konto]],Table5[[Konto]:[Konto nimetus]],2,FALSE)</f>
        <v>Kinnistute, hoonete ja ruumide majandamiskulud</v>
      </c>
      <c r="L565">
        <v>55</v>
      </c>
      <c r="M565" t="str">
        <f t="shared" si="17"/>
        <v>55</v>
      </c>
      <c r="N565" s="3" t="str">
        <f>VLOOKUP(Table2[[#This Row],[Tulu/kulu liik2]],Table5[[Tulu/kulu liik]:[Kontode koondnimetus]],4,FALSE)</f>
        <v>Muud tegevuskulud</v>
      </c>
      <c r="O565" s="3" t="str">
        <f>VLOOKUP(Table2[[#This Row],[Tulu/kulu liik2]],Table5[],6,FALSE)</f>
        <v>Majandamiskulud</v>
      </c>
      <c r="P565" s="3" t="str">
        <f>VLOOKUP(Table2[[#This Row],[Tulu/kulu liik2]],Table5[],5,FALSE)</f>
        <v>Põhitegevuse kulu</v>
      </c>
    </row>
    <row r="566" spans="1:16" x14ac:dyDescent="0.25">
      <c r="A566" t="str">
        <f t="shared" si="16"/>
        <v>08</v>
      </c>
      <c r="B566" t="s">
        <v>323</v>
      </c>
      <c r="C566" s="3" t="str">
        <f>VLOOKUP(Table2[[#This Row],[Tegevusala]],Table4[],2,FALSE)</f>
        <v xml:space="preserve"> Ulvi Klubi</v>
      </c>
      <c r="D566" s="3" t="str">
        <f>VLOOKUP(Table2[[#This Row],[Tegevusala]],Table4[[Tegevusala kood]:[Tegevusala alanimetus]],4,FALSE)</f>
        <v>Rahvakultuur</v>
      </c>
      <c r="E566" s="3" t="str">
        <f>VLOOKUP(Table2[[#This Row],[Tegevusala nimetus2]],Table4[[Tegevusala nimetus]:[Tegevusala koondnimetus]],2,FALSE)</f>
        <v>Vabaaeg, kultuur ja religioon</v>
      </c>
      <c r="F566" t="s">
        <v>1142</v>
      </c>
      <c r="G566" t="s">
        <v>1171</v>
      </c>
      <c r="H566" s="40">
        <v>300</v>
      </c>
      <c r="J566">
        <v>5511</v>
      </c>
      <c r="K566" s="3" t="str">
        <f>VLOOKUP(Table2[[#This Row],[Konto]],Table5[[Konto]:[Konto nimetus]],2,FALSE)</f>
        <v>Kinnistute, hoonete ja ruumide majandamiskulud</v>
      </c>
      <c r="L566">
        <v>55</v>
      </c>
      <c r="M566" t="str">
        <f t="shared" si="17"/>
        <v>55</v>
      </c>
      <c r="N566" s="3" t="str">
        <f>VLOOKUP(Table2[[#This Row],[Tulu/kulu liik2]],Table5[[Tulu/kulu liik]:[Kontode koondnimetus]],4,FALSE)</f>
        <v>Muud tegevuskulud</v>
      </c>
      <c r="O566" s="3" t="str">
        <f>VLOOKUP(Table2[[#This Row],[Tulu/kulu liik2]],Table5[],6,FALSE)</f>
        <v>Majandamiskulud</v>
      </c>
      <c r="P566" s="3" t="str">
        <f>VLOOKUP(Table2[[#This Row],[Tulu/kulu liik2]],Table5[],5,FALSE)</f>
        <v>Põhitegevuse kulu</v>
      </c>
    </row>
    <row r="567" spans="1:16" x14ac:dyDescent="0.25">
      <c r="A567" t="str">
        <f t="shared" si="16"/>
        <v>08</v>
      </c>
      <c r="B567" t="s">
        <v>323</v>
      </c>
      <c r="C567" s="3" t="str">
        <f>VLOOKUP(Table2[[#This Row],[Tegevusala]],Table4[],2,FALSE)</f>
        <v xml:space="preserve"> Ulvi Klubi</v>
      </c>
      <c r="D567" s="3" t="str">
        <f>VLOOKUP(Table2[[#This Row],[Tegevusala]],Table4[[Tegevusala kood]:[Tegevusala alanimetus]],4,FALSE)</f>
        <v>Rahvakultuur</v>
      </c>
      <c r="E567" s="3" t="str">
        <f>VLOOKUP(Table2[[#This Row],[Tegevusala nimetus2]],Table4[[Tegevusala nimetus]:[Tegevusala koondnimetus]],2,FALSE)</f>
        <v>Vabaaeg, kultuur ja religioon</v>
      </c>
      <c r="F567" t="s">
        <v>1142</v>
      </c>
      <c r="G567" t="s">
        <v>1174</v>
      </c>
      <c r="H567" s="40">
        <v>300</v>
      </c>
      <c r="J567">
        <v>5514</v>
      </c>
      <c r="K567" s="3" t="str">
        <f>VLOOKUP(Table2[[#This Row],[Konto]],Table5[[Konto]:[Konto nimetus]],2,FALSE)</f>
        <v>Info- ja kommunikatsioonitehnoliigised kulud</v>
      </c>
      <c r="L567">
        <v>55</v>
      </c>
      <c r="M567" t="str">
        <f t="shared" si="17"/>
        <v>55</v>
      </c>
      <c r="N567" s="3" t="str">
        <f>VLOOKUP(Table2[[#This Row],[Tulu/kulu liik2]],Table5[[Tulu/kulu liik]:[Kontode koondnimetus]],4,FALSE)</f>
        <v>Muud tegevuskulud</v>
      </c>
      <c r="O567" s="3" t="str">
        <f>VLOOKUP(Table2[[#This Row],[Tulu/kulu liik2]],Table5[],6,FALSE)</f>
        <v>Majandamiskulud</v>
      </c>
      <c r="P567" s="3" t="str">
        <f>VLOOKUP(Table2[[#This Row],[Tulu/kulu liik2]],Table5[],5,FALSE)</f>
        <v>Põhitegevuse kulu</v>
      </c>
    </row>
    <row r="568" spans="1:16" x14ac:dyDescent="0.25">
      <c r="A568" t="str">
        <f t="shared" si="16"/>
        <v>08</v>
      </c>
      <c r="B568" t="s">
        <v>2076</v>
      </c>
      <c r="C568" s="3" t="str">
        <f>VLOOKUP(Table2[[#This Row],[Tegevusala]],Table4[],2,FALSE)</f>
        <v>Vinni Vallamuuseum</v>
      </c>
      <c r="D568" s="3" t="str">
        <f>VLOOKUP(Table2[[#This Row],[Tegevusala]],Table4[[Tegevusala kood]:[Tegevusala alanimetus]],4,FALSE)</f>
        <v>Muuseumid</v>
      </c>
      <c r="E568" s="3" t="str">
        <f>VLOOKUP(Table2[[#This Row],[Tegevusala nimetus2]],Table4[[Tegevusala nimetus]:[Tegevusala koondnimetus]],2,FALSE)</f>
        <v>Vabaaeg, kultuur ja religioon</v>
      </c>
      <c r="F568" t="s">
        <v>2081</v>
      </c>
      <c r="G568" t="s">
        <v>2082</v>
      </c>
      <c r="H568" s="40">
        <f>300+300+400</f>
        <v>1000</v>
      </c>
      <c r="I568" s="2" t="s">
        <v>2083</v>
      </c>
      <c r="J568">
        <v>5540</v>
      </c>
      <c r="K568" s="3" t="str">
        <f>VLOOKUP(Table2[[#This Row],[Konto]],Table5[[Konto]:[Konto nimetus]],2,FALSE)</f>
        <v>Mitmesugused majanduskulud</v>
      </c>
      <c r="L568">
        <v>55</v>
      </c>
      <c r="M568" t="str">
        <f t="shared" si="17"/>
        <v>55</v>
      </c>
      <c r="N568" s="3" t="str">
        <f>VLOOKUP(Table2[[#This Row],[Tulu/kulu liik2]],Table5[[Tulu/kulu liik]:[Kontode koondnimetus]],4,FALSE)</f>
        <v>Muud tegevuskulud</v>
      </c>
      <c r="O568" s="34" t="str">
        <f>VLOOKUP(Table2[[#This Row],[Tulu/kulu liik2]],Table5[],6,FALSE)</f>
        <v>Majandamiskulud</v>
      </c>
      <c r="P568" s="3" t="str">
        <f>VLOOKUP(Table2[[#This Row],[Tulu/kulu liik2]],Table5[],5,FALSE)</f>
        <v>Põhitegevuse kulu</v>
      </c>
    </row>
    <row r="569" spans="1:16" x14ac:dyDescent="0.25">
      <c r="A569" t="str">
        <f t="shared" si="16"/>
        <v>08</v>
      </c>
      <c r="B569" t="s">
        <v>2076</v>
      </c>
      <c r="C569" s="3" t="str">
        <f>VLOOKUP(Table2[[#This Row],[Tegevusala]],Table4[],2,FALSE)</f>
        <v>Vinni Vallamuuseum</v>
      </c>
      <c r="D569" s="3" t="str">
        <f>VLOOKUP(Table2[[#This Row],[Tegevusala]],Table4[[Tegevusala kood]:[Tegevusala alanimetus]],4,FALSE)</f>
        <v>Muuseumid</v>
      </c>
      <c r="E569" s="3" t="str">
        <f>VLOOKUP(Table2[[#This Row],[Tegevusala nimetus2]],Table4[[Tegevusala nimetus]:[Tegevusala koondnimetus]],2,FALSE)</f>
        <v>Vabaaeg, kultuur ja religioon</v>
      </c>
      <c r="F569" t="s">
        <v>2081</v>
      </c>
      <c r="G569" t="s">
        <v>2084</v>
      </c>
      <c r="H569" s="40">
        <f>90+90+90+90+90+90</f>
        <v>540</v>
      </c>
      <c r="I569" s="2" t="s">
        <v>2086</v>
      </c>
      <c r="J569">
        <v>5514</v>
      </c>
      <c r="K569" s="3" t="str">
        <f>VLOOKUP(Table2[[#This Row],[Konto]],Table5[[Konto]:[Konto nimetus]],2,FALSE)</f>
        <v>Info- ja kommunikatsioonitehnoliigised kulud</v>
      </c>
      <c r="L569">
        <v>55</v>
      </c>
      <c r="M569" t="str">
        <f t="shared" si="17"/>
        <v>55</v>
      </c>
      <c r="N569" s="3" t="str">
        <f>VLOOKUP(Table2[[#This Row],[Tulu/kulu liik2]],Table5[[Tulu/kulu liik]:[Kontode koondnimetus]],4,FALSE)</f>
        <v>Muud tegevuskulud</v>
      </c>
      <c r="O569" s="34" t="str">
        <f>VLOOKUP(Table2[[#This Row],[Tulu/kulu liik2]],Table5[],6,FALSE)</f>
        <v>Majandamiskulud</v>
      </c>
      <c r="P569" s="3" t="str">
        <f>VLOOKUP(Table2[[#This Row],[Tulu/kulu liik2]],Table5[],5,FALSE)</f>
        <v>Põhitegevuse kulu</v>
      </c>
    </row>
    <row r="570" spans="1:16" x14ac:dyDescent="0.25">
      <c r="A570" t="str">
        <f t="shared" si="16"/>
        <v>08</v>
      </c>
      <c r="B570" t="s">
        <v>2076</v>
      </c>
      <c r="C570" s="3" t="str">
        <f>VLOOKUP(Table2[[#This Row],[Tegevusala]],Table4[],2,FALSE)</f>
        <v>Vinni Vallamuuseum</v>
      </c>
      <c r="D570" s="3" t="str">
        <f>VLOOKUP(Table2[[#This Row],[Tegevusala]],Table4[[Tegevusala kood]:[Tegevusala alanimetus]],4,FALSE)</f>
        <v>Muuseumid</v>
      </c>
      <c r="E570" s="3" t="str">
        <f>VLOOKUP(Table2[[#This Row],[Tegevusala nimetus2]],Table4[[Tegevusala nimetus]:[Tegevusala koondnimetus]],2,FALSE)</f>
        <v>Vabaaeg, kultuur ja religioon</v>
      </c>
      <c r="F570" t="s">
        <v>2081</v>
      </c>
      <c r="G570" t="s">
        <v>2085</v>
      </c>
      <c r="H570" s="40">
        <f>400+400+400+400+400+400</f>
        <v>2400</v>
      </c>
      <c r="I570" s="2" t="s">
        <v>2086</v>
      </c>
      <c r="J570">
        <v>5500</v>
      </c>
      <c r="K570" s="3" t="str">
        <f>VLOOKUP(Table2[[#This Row],[Konto]],Table5[[Konto]:[Konto nimetus]],2,FALSE)</f>
        <v>Administreerimiskulud</v>
      </c>
      <c r="L570">
        <v>55</v>
      </c>
      <c r="M570" t="str">
        <f t="shared" si="17"/>
        <v>55</v>
      </c>
      <c r="N570" s="3" t="str">
        <f>VLOOKUP(Table2[[#This Row],[Tulu/kulu liik2]],Table5[[Tulu/kulu liik]:[Kontode koondnimetus]],4,FALSE)</f>
        <v>Muud tegevuskulud</v>
      </c>
      <c r="O570" s="34" t="str">
        <f>VLOOKUP(Table2[[#This Row],[Tulu/kulu liik2]],Table5[],6,FALSE)</f>
        <v>Majandamiskulud</v>
      </c>
      <c r="P570" s="3" t="str">
        <f>VLOOKUP(Table2[[#This Row],[Tulu/kulu liik2]],Table5[],5,FALSE)</f>
        <v>Põhitegevuse kulu</v>
      </c>
    </row>
    <row r="571" spans="1:16" x14ac:dyDescent="0.25">
      <c r="A571" t="str">
        <f t="shared" si="16"/>
        <v>08</v>
      </c>
      <c r="B571" t="s">
        <v>2076</v>
      </c>
      <c r="C571" s="3" t="str">
        <f>VLOOKUP(Table2[[#This Row],[Tegevusala]],Table4[],2,FALSE)</f>
        <v>Vinni Vallamuuseum</v>
      </c>
      <c r="D571" s="3" t="str">
        <f>VLOOKUP(Table2[[#This Row],[Tegevusala]],Table4[[Tegevusala kood]:[Tegevusala alanimetus]],4,FALSE)</f>
        <v>Muuseumid</v>
      </c>
      <c r="E571" s="3" t="str">
        <f>VLOOKUP(Table2[[#This Row],[Tegevusala nimetus2]],Table4[[Tegevusala nimetus]:[Tegevusala koondnimetus]],2,FALSE)</f>
        <v>Vabaaeg, kultuur ja religioon</v>
      </c>
      <c r="F571" t="s">
        <v>2081</v>
      </c>
      <c r="G571" t="s">
        <v>2087</v>
      </c>
      <c r="H571" s="40">
        <f>500+500+500</f>
        <v>1500</v>
      </c>
      <c r="I571" s="2" t="s">
        <v>2088</v>
      </c>
      <c r="J571">
        <v>5540</v>
      </c>
      <c r="K571" s="3" t="str">
        <f>VLOOKUP(Table2[[#This Row],[Konto]],Table5[[Konto]:[Konto nimetus]],2,FALSE)</f>
        <v>Mitmesugused majanduskulud</v>
      </c>
      <c r="L571">
        <v>55</v>
      </c>
      <c r="M571" t="str">
        <f t="shared" si="17"/>
        <v>55</v>
      </c>
      <c r="N571" s="3" t="str">
        <f>VLOOKUP(Table2[[#This Row],[Tulu/kulu liik2]],Table5[[Tulu/kulu liik]:[Kontode koondnimetus]],4,FALSE)</f>
        <v>Muud tegevuskulud</v>
      </c>
      <c r="O571" s="34" t="str">
        <f>VLOOKUP(Table2[[#This Row],[Tulu/kulu liik2]],Table5[],6,FALSE)</f>
        <v>Majandamiskulud</v>
      </c>
      <c r="P571" s="3" t="str">
        <f>VLOOKUP(Table2[[#This Row],[Tulu/kulu liik2]],Table5[],5,FALSE)</f>
        <v>Põhitegevuse kulu</v>
      </c>
    </row>
    <row r="572" spans="1:16" x14ac:dyDescent="0.25">
      <c r="A572" t="str">
        <f t="shared" si="16"/>
        <v>08</v>
      </c>
      <c r="B572" t="s">
        <v>2076</v>
      </c>
      <c r="C572" s="3" t="str">
        <f>VLOOKUP(Table2[[#This Row],[Tegevusala]],Table4[],2,FALSE)</f>
        <v>Vinni Vallamuuseum</v>
      </c>
      <c r="D572" s="3" t="str">
        <f>VLOOKUP(Table2[[#This Row],[Tegevusala]],Table4[[Tegevusala kood]:[Tegevusala alanimetus]],4,FALSE)</f>
        <v>Muuseumid</v>
      </c>
      <c r="E572" s="3" t="str">
        <f>VLOOKUP(Table2[[#This Row],[Tegevusala nimetus2]],Table4[[Tegevusala nimetus]:[Tegevusala koondnimetus]],2,FALSE)</f>
        <v>Vabaaeg, kultuur ja religioon</v>
      </c>
      <c r="F572" t="s">
        <v>2081</v>
      </c>
      <c r="G572" t="s">
        <v>442</v>
      </c>
      <c r="H572" s="40">
        <f>12*335</f>
        <v>4020</v>
      </c>
      <c r="J572">
        <v>5513</v>
      </c>
      <c r="K572" s="3" t="str">
        <f>VLOOKUP(Table2[[#This Row],[Konto]],Table5[[Konto]:[Konto nimetus]],2,FALSE)</f>
        <v>Sõidukite ülalpidamise kulud</v>
      </c>
      <c r="L572">
        <v>55</v>
      </c>
      <c r="M572" t="str">
        <f t="shared" si="17"/>
        <v>55</v>
      </c>
      <c r="N572" s="3" t="str">
        <f>VLOOKUP(Table2[[#This Row],[Tulu/kulu liik2]],Table5[[Tulu/kulu liik]:[Kontode koondnimetus]],4,FALSE)</f>
        <v>Muud tegevuskulud</v>
      </c>
      <c r="O572" s="34" t="str">
        <f>VLOOKUP(Table2[[#This Row],[Tulu/kulu liik2]],Table5[],6,FALSE)</f>
        <v>Majandamiskulud</v>
      </c>
      <c r="P572" s="3" t="str">
        <f>VLOOKUP(Table2[[#This Row],[Tulu/kulu liik2]],Table5[],5,FALSE)</f>
        <v>Põhitegevuse kulu</v>
      </c>
    </row>
    <row r="573" spans="1:16" x14ac:dyDescent="0.25">
      <c r="A573" t="str">
        <f t="shared" si="16"/>
        <v>08</v>
      </c>
      <c r="B573" t="s">
        <v>2076</v>
      </c>
      <c r="C573" s="3" t="str">
        <f>VLOOKUP(Table2[[#This Row],[Tegevusala]],Table4[],2,FALSE)</f>
        <v>Vinni Vallamuuseum</v>
      </c>
      <c r="D573" s="3" t="str">
        <f>VLOOKUP(Table2[[#This Row],[Tegevusala]],Table4[[Tegevusala kood]:[Tegevusala alanimetus]],4,FALSE)</f>
        <v>Muuseumid</v>
      </c>
      <c r="E573" s="3" t="str">
        <f>VLOOKUP(Table2[[#This Row],[Tegevusala nimetus2]],Table4[[Tegevusala nimetus]:[Tegevusala koondnimetus]],2,FALSE)</f>
        <v>Vabaaeg, kultuur ja religioon</v>
      </c>
      <c r="F573" t="s">
        <v>2081</v>
      </c>
      <c r="G573" t="s">
        <v>794</v>
      </c>
      <c r="H573" s="40">
        <f>15*12</f>
        <v>180</v>
      </c>
      <c r="J573">
        <v>5500</v>
      </c>
      <c r="K573" s="3" t="str">
        <f>VLOOKUP(Table2[[#This Row],[Konto]],Table5[[Konto]:[Konto nimetus]],2,FALSE)</f>
        <v>Administreerimiskulud</v>
      </c>
      <c r="L573">
        <v>55</v>
      </c>
      <c r="M573" t="str">
        <f t="shared" si="17"/>
        <v>55</v>
      </c>
      <c r="N573" s="3" t="str">
        <f>VLOOKUP(Table2[[#This Row],[Tulu/kulu liik2]],Table5[[Tulu/kulu liik]:[Kontode koondnimetus]],4,FALSE)</f>
        <v>Muud tegevuskulud</v>
      </c>
      <c r="O573" s="34" t="str">
        <f>VLOOKUP(Table2[[#This Row],[Tulu/kulu liik2]],Table5[],6,FALSE)</f>
        <v>Majandamiskulud</v>
      </c>
      <c r="P573" s="3" t="str">
        <f>VLOOKUP(Table2[[#This Row],[Tulu/kulu liik2]],Table5[],5,FALSE)</f>
        <v>Põhitegevuse kulu</v>
      </c>
    </row>
    <row r="574" spans="1:16" x14ac:dyDescent="0.25">
      <c r="A574" t="str">
        <f t="shared" si="16"/>
        <v>08</v>
      </c>
      <c r="B574" t="s">
        <v>2076</v>
      </c>
      <c r="C574" s="3" t="str">
        <f>VLOOKUP(Table2[[#This Row],[Tegevusala]],Table4[],2,FALSE)</f>
        <v>Vinni Vallamuuseum</v>
      </c>
      <c r="D574" s="3" t="str">
        <f>VLOOKUP(Table2[[#This Row],[Tegevusala]],Table4[[Tegevusala kood]:[Tegevusala alanimetus]],4,FALSE)</f>
        <v>Muuseumid</v>
      </c>
      <c r="E574" s="3" t="str">
        <f>VLOOKUP(Table2[[#This Row],[Tegevusala nimetus2]],Table4[[Tegevusala nimetus]:[Tegevusala koondnimetus]],2,FALSE)</f>
        <v>Vabaaeg, kultuur ja religioon</v>
      </c>
      <c r="F574" t="s">
        <v>2081</v>
      </c>
      <c r="G574" t="s">
        <v>2090</v>
      </c>
      <c r="H574" s="40">
        <v>300</v>
      </c>
      <c r="J574">
        <v>5514</v>
      </c>
      <c r="K574" s="3" t="str">
        <f>VLOOKUP(Table2[[#This Row],[Konto]],Table5[[Konto]:[Konto nimetus]],2,FALSE)</f>
        <v>Info- ja kommunikatsioonitehnoliigised kulud</v>
      </c>
      <c r="L574">
        <v>55</v>
      </c>
      <c r="M574" t="str">
        <f t="shared" si="17"/>
        <v>55</v>
      </c>
      <c r="N574" s="3" t="str">
        <f>VLOOKUP(Table2[[#This Row],[Tulu/kulu liik2]],Table5[[Tulu/kulu liik]:[Kontode koondnimetus]],4,FALSE)</f>
        <v>Muud tegevuskulud</v>
      </c>
      <c r="O574" s="34" t="str">
        <f>VLOOKUP(Table2[[#This Row],[Tulu/kulu liik2]],Table5[],6,FALSE)</f>
        <v>Majandamiskulud</v>
      </c>
      <c r="P574" s="3" t="str">
        <f>VLOOKUP(Table2[[#This Row],[Tulu/kulu liik2]],Table5[],5,FALSE)</f>
        <v>Põhitegevuse kulu</v>
      </c>
    </row>
    <row r="575" spans="1:16" x14ac:dyDescent="0.25">
      <c r="A575" t="str">
        <f t="shared" si="16"/>
        <v>08</v>
      </c>
      <c r="B575" t="s">
        <v>2076</v>
      </c>
      <c r="C575" s="3" t="str">
        <f>VLOOKUP(Table2[[#This Row],[Tegevusala]],Table4[],2,FALSE)</f>
        <v>Vinni Vallamuuseum</v>
      </c>
      <c r="D575" s="3" t="str">
        <f>VLOOKUP(Table2[[#This Row],[Tegevusala]],Table4[[Tegevusala kood]:[Tegevusala alanimetus]],4,FALSE)</f>
        <v>Muuseumid</v>
      </c>
      <c r="E575" s="3" t="str">
        <f>VLOOKUP(Table2[[#This Row],[Tegevusala nimetus2]],Table4[[Tegevusala nimetus]:[Tegevusala koondnimetus]],2,FALSE)</f>
        <v>Vabaaeg, kultuur ja religioon</v>
      </c>
      <c r="F575" t="s">
        <v>2081</v>
      </c>
      <c r="G575" t="s">
        <v>2091</v>
      </c>
      <c r="H575" s="40">
        <v>200</v>
      </c>
      <c r="J575">
        <v>5504</v>
      </c>
      <c r="K575" s="3" t="str">
        <f>VLOOKUP(Table2[[#This Row],[Konto]],Table5[[Konto]:[Konto nimetus]],2,FALSE)</f>
        <v>Koolituskulud</v>
      </c>
      <c r="L575">
        <v>55</v>
      </c>
      <c r="M575" t="str">
        <f t="shared" si="17"/>
        <v>55</v>
      </c>
      <c r="N575" s="3" t="str">
        <f>VLOOKUP(Table2[[#This Row],[Tulu/kulu liik2]],Table5[[Tulu/kulu liik]:[Kontode koondnimetus]],4,FALSE)</f>
        <v>Muud tegevuskulud</v>
      </c>
      <c r="O575" s="34" t="str">
        <f>VLOOKUP(Table2[[#This Row],[Tulu/kulu liik2]],Table5[],6,FALSE)</f>
        <v>Majandamiskulud</v>
      </c>
      <c r="P575" s="3" t="str">
        <f>VLOOKUP(Table2[[#This Row],[Tulu/kulu liik2]],Table5[],5,FALSE)</f>
        <v>Põhitegevuse kulu</v>
      </c>
    </row>
    <row r="576" spans="1:16" x14ac:dyDescent="0.25">
      <c r="A576" t="str">
        <f t="shared" si="16"/>
        <v>08</v>
      </c>
      <c r="B576" t="s">
        <v>2076</v>
      </c>
      <c r="C576" s="3" t="str">
        <f>VLOOKUP(Table2[[#This Row],[Tegevusala]],Table4[],2,FALSE)</f>
        <v>Vinni Vallamuuseum</v>
      </c>
      <c r="D576" s="3" t="str">
        <f>VLOOKUP(Table2[[#This Row],[Tegevusala]],Table4[[Tegevusala kood]:[Tegevusala alanimetus]],4,FALSE)</f>
        <v>Muuseumid</v>
      </c>
      <c r="E576" s="3" t="str">
        <f>VLOOKUP(Table2[[#This Row],[Tegevusala nimetus2]],Table4[[Tegevusala nimetus]:[Tegevusala koondnimetus]],2,FALSE)</f>
        <v>Vabaaeg, kultuur ja religioon</v>
      </c>
      <c r="F576" t="s">
        <v>2081</v>
      </c>
      <c r="G576" t="s">
        <v>2092</v>
      </c>
      <c r="H576" s="40">
        <v>1200</v>
      </c>
      <c r="I576" s="2" t="s">
        <v>2093</v>
      </c>
      <c r="J576">
        <v>5540</v>
      </c>
      <c r="K576" s="3" t="str">
        <f>VLOOKUP(Table2[[#This Row],[Konto]],Table5[[Konto]:[Konto nimetus]],2,FALSE)</f>
        <v>Mitmesugused majanduskulud</v>
      </c>
      <c r="L576">
        <v>55</v>
      </c>
      <c r="M576" t="str">
        <f t="shared" si="17"/>
        <v>55</v>
      </c>
      <c r="N576" s="3" t="str">
        <f>VLOOKUP(Table2[[#This Row],[Tulu/kulu liik2]],Table5[[Tulu/kulu liik]:[Kontode koondnimetus]],4,FALSE)</f>
        <v>Muud tegevuskulud</v>
      </c>
      <c r="O576" s="34" t="str">
        <f>VLOOKUP(Table2[[#This Row],[Tulu/kulu liik2]],Table5[],6,FALSE)</f>
        <v>Majandamiskulud</v>
      </c>
      <c r="P576" s="3" t="str">
        <f>VLOOKUP(Table2[[#This Row],[Tulu/kulu liik2]],Table5[],5,FALSE)</f>
        <v>Põhitegevuse kulu</v>
      </c>
    </row>
    <row r="577" spans="1:16" x14ac:dyDescent="0.25">
      <c r="A577" t="str">
        <f t="shared" si="16"/>
        <v>08</v>
      </c>
      <c r="B577" t="s">
        <v>2076</v>
      </c>
      <c r="C577" s="3" t="str">
        <f>VLOOKUP(Table2[[#This Row],[Tegevusala]],Table4[],2,FALSE)</f>
        <v>Vinni Vallamuuseum</v>
      </c>
      <c r="D577" s="3" t="str">
        <f>VLOOKUP(Table2[[#This Row],[Tegevusala]],Table4[[Tegevusala kood]:[Tegevusala alanimetus]],4,FALSE)</f>
        <v>Muuseumid</v>
      </c>
      <c r="E577" s="3" t="str">
        <f>VLOOKUP(Table2[[#This Row],[Tegevusala nimetus2]],Table4[[Tegevusala nimetus]:[Tegevusala koondnimetus]],2,FALSE)</f>
        <v>Vabaaeg, kultuur ja religioon</v>
      </c>
      <c r="F577" t="s">
        <v>2081</v>
      </c>
      <c r="G577" t="s">
        <v>2085</v>
      </c>
      <c r="H577" s="40">
        <v>1000</v>
      </c>
      <c r="J577">
        <v>5500</v>
      </c>
      <c r="K577" s="3" t="str">
        <f>VLOOKUP(Table2[[#This Row],[Konto]],Table5[[Konto]:[Konto nimetus]],2,FALSE)</f>
        <v>Administreerimiskulud</v>
      </c>
      <c r="L577">
        <v>55</v>
      </c>
      <c r="M577" t="str">
        <f t="shared" si="17"/>
        <v>55</v>
      </c>
      <c r="N577" s="3" t="str">
        <f>VLOOKUP(Table2[[#This Row],[Tulu/kulu liik2]],Table5[[Tulu/kulu liik]:[Kontode koondnimetus]],4,FALSE)</f>
        <v>Muud tegevuskulud</v>
      </c>
      <c r="O577" s="34" t="str">
        <f>VLOOKUP(Table2[[#This Row],[Tulu/kulu liik2]],Table5[],6,FALSE)</f>
        <v>Majandamiskulud</v>
      </c>
      <c r="P577" s="3" t="str">
        <f>VLOOKUP(Table2[[#This Row],[Tulu/kulu liik2]],Table5[],5,FALSE)</f>
        <v>Põhitegevuse kulu</v>
      </c>
    </row>
    <row r="578" spans="1:16" x14ac:dyDescent="0.25">
      <c r="A578" t="str">
        <f t="shared" ref="A578:A641" si="18">LEFT(B578,2)</f>
        <v>08</v>
      </c>
      <c r="B578" t="s">
        <v>2076</v>
      </c>
      <c r="C578" s="3" t="str">
        <f>VLOOKUP(Table2[[#This Row],[Tegevusala]],Table4[],2,FALSE)</f>
        <v>Vinni Vallamuuseum</v>
      </c>
      <c r="D578" s="3" t="str">
        <f>VLOOKUP(Table2[[#This Row],[Tegevusala]],Table4[[Tegevusala kood]:[Tegevusala alanimetus]],4,FALSE)</f>
        <v>Muuseumid</v>
      </c>
      <c r="E578" s="3" t="str">
        <f>VLOOKUP(Table2[[#This Row],[Tegevusala nimetus2]],Table4[[Tegevusala nimetus]:[Tegevusala koondnimetus]],2,FALSE)</f>
        <v>Vabaaeg, kultuur ja religioon</v>
      </c>
      <c r="F578" t="s">
        <v>2081</v>
      </c>
      <c r="G578" t="s">
        <v>409</v>
      </c>
      <c r="H578" s="40">
        <v>500</v>
      </c>
      <c r="J578">
        <v>5504</v>
      </c>
      <c r="K578" s="3" t="str">
        <f>VLOOKUP(Table2[[#This Row],[Konto]],Table5[[Konto]:[Konto nimetus]],2,FALSE)</f>
        <v>Koolituskulud</v>
      </c>
      <c r="L578">
        <v>55</v>
      </c>
      <c r="M578" t="str">
        <f t="shared" ref="M578:M641" si="19">LEFT(J578,2)</f>
        <v>55</v>
      </c>
      <c r="N578" s="3" t="str">
        <f>VLOOKUP(Table2[[#This Row],[Tulu/kulu liik2]],Table5[[Tulu/kulu liik]:[Kontode koondnimetus]],4,FALSE)</f>
        <v>Muud tegevuskulud</v>
      </c>
      <c r="O578" s="34" t="str">
        <f>VLOOKUP(Table2[[#This Row],[Tulu/kulu liik2]],Table5[],6,FALSE)</f>
        <v>Majandamiskulud</v>
      </c>
      <c r="P578" s="3" t="str">
        <f>VLOOKUP(Table2[[#This Row],[Tulu/kulu liik2]],Table5[],5,FALSE)</f>
        <v>Põhitegevuse kulu</v>
      </c>
    </row>
    <row r="579" spans="1:16" x14ac:dyDescent="0.25">
      <c r="A579" t="str">
        <f t="shared" si="18"/>
        <v>08</v>
      </c>
      <c r="B579" t="s">
        <v>2076</v>
      </c>
      <c r="C579" s="3" t="str">
        <f>VLOOKUP(Table2[[#This Row],[Tegevusala]],Table4[],2,FALSE)</f>
        <v>Vinni Vallamuuseum</v>
      </c>
      <c r="D579" s="3" t="str">
        <f>VLOOKUP(Table2[[#This Row],[Tegevusala]],Table4[[Tegevusala kood]:[Tegevusala alanimetus]],4,FALSE)</f>
        <v>Muuseumid</v>
      </c>
      <c r="E579" s="3" t="str">
        <f>VLOOKUP(Table2[[#This Row],[Tegevusala nimetus2]],Table4[[Tegevusala nimetus]:[Tegevusala koondnimetus]],2,FALSE)</f>
        <v>Vabaaeg, kultuur ja religioon</v>
      </c>
      <c r="F579" t="s">
        <v>2081</v>
      </c>
      <c r="G579" t="s">
        <v>2094</v>
      </c>
      <c r="H579" s="40">
        <v>600</v>
      </c>
      <c r="J579">
        <v>5540</v>
      </c>
      <c r="K579" s="3" t="str">
        <f>VLOOKUP(Table2[[#This Row],[Konto]],Table5[[Konto]:[Konto nimetus]],2,FALSE)</f>
        <v>Mitmesugused majanduskulud</v>
      </c>
      <c r="L579">
        <v>55</v>
      </c>
      <c r="M579" t="str">
        <f t="shared" si="19"/>
        <v>55</v>
      </c>
      <c r="N579" s="3" t="str">
        <f>VLOOKUP(Table2[[#This Row],[Tulu/kulu liik2]],Table5[[Tulu/kulu liik]:[Kontode koondnimetus]],4,FALSE)</f>
        <v>Muud tegevuskulud</v>
      </c>
      <c r="O579" s="34" t="str">
        <f>VLOOKUP(Table2[[#This Row],[Tulu/kulu liik2]],Table5[],6,FALSE)</f>
        <v>Majandamiskulud</v>
      </c>
      <c r="P579" s="3" t="str">
        <f>VLOOKUP(Table2[[#This Row],[Tulu/kulu liik2]],Table5[],5,FALSE)</f>
        <v>Põhitegevuse kulu</v>
      </c>
    </row>
    <row r="580" spans="1:16" x14ac:dyDescent="0.25">
      <c r="A580" s="83" t="str">
        <f t="shared" si="18"/>
        <v>08</v>
      </c>
      <c r="B580" s="83" t="s">
        <v>2076</v>
      </c>
      <c r="C580" s="84" t="str">
        <f>VLOOKUP(Table2[[#This Row],[Tegevusala]],Table4[],2,FALSE)</f>
        <v>Vinni Vallamuuseum</v>
      </c>
      <c r="D580" s="84" t="str">
        <f>VLOOKUP(Table2[[#This Row],[Tegevusala]],Table4[[Tegevusala kood]:[Tegevusala alanimetus]],4,FALSE)</f>
        <v>Muuseumid</v>
      </c>
      <c r="E580" s="84" t="str">
        <f>VLOOKUP(Table2[[#This Row],[Tegevusala nimetus2]],Table4[[Tegevusala nimetus]:[Tegevusala koondnimetus]],2,FALSE)</f>
        <v>Vabaaeg, kultuur ja religioon</v>
      </c>
      <c r="F580" s="83" t="s">
        <v>2081</v>
      </c>
      <c r="G580" s="83" t="s">
        <v>1074</v>
      </c>
      <c r="H580" s="85">
        <v>2500</v>
      </c>
      <c r="I580" s="86"/>
      <c r="J580" s="83">
        <v>5540</v>
      </c>
      <c r="K580" s="84" t="str">
        <f>VLOOKUP(Table2[[#This Row],[Konto]],Table5[[Konto]:[Konto nimetus]],2,FALSE)</f>
        <v>Mitmesugused majanduskulud</v>
      </c>
      <c r="L580" s="83">
        <v>55</v>
      </c>
      <c r="M580" s="83" t="str">
        <f t="shared" si="19"/>
        <v>55</v>
      </c>
      <c r="N580" s="84" t="str">
        <f>VLOOKUP(Table2[[#This Row],[Tulu/kulu liik2]],Table5[[Tulu/kulu liik]:[Kontode koondnimetus]],4,FALSE)</f>
        <v>Muud tegevuskulud</v>
      </c>
      <c r="O580" s="84" t="str">
        <f>VLOOKUP(Table2[[#This Row],[Tulu/kulu liik2]],Table5[],6,FALSE)</f>
        <v>Majandamiskulud</v>
      </c>
      <c r="P580" s="84" t="str">
        <f>VLOOKUP(Table2[[#This Row],[Tulu/kulu liik2]],Table5[],5,FALSE)</f>
        <v>Põhitegevuse kulu</v>
      </c>
    </row>
    <row r="581" spans="1:16" x14ac:dyDescent="0.25">
      <c r="A581" t="str">
        <f t="shared" si="18"/>
        <v>08</v>
      </c>
      <c r="B581" t="s">
        <v>45</v>
      </c>
      <c r="C581" s="3" t="str">
        <f>VLOOKUP(Table2[[#This Row],[Tegevusala]],Table4[],2,FALSE)</f>
        <v xml:space="preserve"> Ringhäälingu- ja kirjastamisteenused</v>
      </c>
      <c r="D581" s="3" t="str">
        <f>VLOOKUP(Table2[[#This Row],[Tegevusala]],Table4[[Tegevusala kood]:[Tegevusala alanimetus]],4,FALSE)</f>
        <v>Ringhäälingu- ja kirjastamisteenused</v>
      </c>
      <c r="E581" s="3" t="str">
        <f>VLOOKUP(Table2[[#This Row],[Tegevusala nimetus2]],Table4[[Tegevusala nimetus]:[Tegevusala koondnimetus]],2,FALSE)</f>
        <v>Vabaaeg, kultuur ja religioon</v>
      </c>
      <c r="F581" t="s">
        <v>1837</v>
      </c>
      <c r="G581" t="s">
        <v>1843</v>
      </c>
      <c r="H581" s="40">
        <v>14000</v>
      </c>
      <c r="J581">
        <v>5500</v>
      </c>
      <c r="K581" s="3" t="str">
        <f>VLOOKUP(Table2[[#This Row],[Konto]],Table5[[Konto]:[Konto nimetus]],2,FALSE)</f>
        <v>Administreerimiskulud</v>
      </c>
      <c r="L581">
        <v>55</v>
      </c>
      <c r="M581" t="str">
        <f t="shared" si="19"/>
        <v>55</v>
      </c>
      <c r="N581" s="3" t="str">
        <f>VLOOKUP(Table2[[#This Row],[Tulu/kulu liik2]],Table5[[Tulu/kulu liik]:[Kontode koondnimetus]],4,FALSE)</f>
        <v>Muud tegevuskulud</v>
      </c>
      <c r="O581" s="3" t="str">
        <f>VLOOKUP(Table2[[#This Row],[Tulu/kulu liik2]],Table5[],6,FALSE)</f>
        <v>Majandamiskulud</v>
      </c>
      <c r="P581" s="3" t="str">
        <f>VLOOKUP(Table2[[#This Row],[Tulu/kulu liik2]],Table5[],5,FALSE)</f>
        <v>Põhitegevuse kulu</v>
      </c>
    </row>
    <row r="582" spans="1:16" x14ac:dyDescent="0.25">
      <c r="A582" s="83" t="str">
        <f t="shared" si="18"/>
        <v>08</v>
      </c>
      <c r="B582" s="83" t="s">
        <v>47</v>
      </c>
      <c r="C582" s="84" t="str">
        <f>VLOOKUP(Table2[[#This Row],[Tegevusala]],Table4[],2,FALSE)</f>
        <v xml:space="preserve"> Muu vaba aeg, kultuur, religioon, sh haldus</v>
      </c>
      <c r="D582" s="84" t="str">
        <f>VLOOKUP(Table2[[#This Row],[Tegevusala]],Table4[[Tegevusala kood]:[Tegevusala alanimetus]],4,FALSE)</f>
        <v>Muu vaba aeg, kultuur, religioon, sh haldus</v>
      </c>
      <c r="E582" s="84" t="str">
        <f>VLOOKUP(Table2[[#This Row],[Tegevusala nimetus2]],Table4[[Tegevusala nimetus]:[Tegevusala koondnimetus]],2,FALSE)</f>
        <v>Vabaaeg, kultuur ja religioon</v>
      </c>
      <c r="F582" s="83" t="s">
        <v>818</v>
      </c>
      <c r="G582" s="83" t="s">
        <v>442</v>
      </c>
      <c r="H582" s="85">
        <f>12*150</f>
        <v>1800</v>
      </c>
      <c r="I582" s="86" t="s">
        <v>2073</v>
      </c>
      <c r="J582" s="83">
        <v>5513</v>
      </c>
      <c r="K582" s="84" t="str">
        <f>VLOOKUP(Table2[[#This Row],[Konto]],Table5[[Konto]:[Konto nimetus]],2,FALSE)</f>
        <v>Sõidukite ülalpidamise kulud</v>
      </c>
      <c r="L582" s="83">
        <v>55</v>
      </c>
      <c r="M582" s="83" t="str">
        <f t="shared" si="19"/>
        <v>55</v>
      </c>
      <c r="N582" s="84" t="str">
        <f>VLOOKUP(Table2[[#This Row],[Tulu/kulu liik2]],Table5[[Tulu/kulu liik]:[Kontode koondnimetus]],4,FALSE)</f>
        <v>Muud tegevuskulud</v>
      </c>
      <c r="O582" s="84" t="str">
        <f>VLOOKUP(Table2[[#This Row],[Tulu/kulu liik2]],Table5[],6,FALSE)</f>
        <v>Majandamiskulud</v>
      </c>
      <c r="P582" s="84" t="str">
        <f>VLOOKUP(Table2[[#This Row],[Tulu/kulu liik2]],Table5[],5,FALSE)</f>
        <v>Põhitegevuse kulu</v>
      </c>
    </row>
    <row r="583" spans="1:16" x14ac:dyDescent="0.25">
      <c r="A583" s="83" t="str">
        <f t="shared" si="18"/>
        <v>08</v>
      </c>
      <c r="B583" s="83" t="s">
        <v>47</v>
      </c>
      <c r="C583" s="84" t="str">
        <f>VLOOKUP(Table2[[#This Row],[Tegevusala]],Table4[],2,FALSE)</f>
        <v xml:space="preserve"> Muu vaba aeg, kultuur, religioon, sh haldus</v>
      </c>
      <c r="D583" s="84" t="str">
        <f>VLOOKUP(Table2[[#This Row],[Tegevusala]],Table4[[Tegevusala kood]:[Tegevusala alanimetus]],4,FALSE)</f>
        <v>Muu vaba aeg, kultuur, religioon, sh haldus</v>
      </c>
      <c r="E583" s="84" t="str">
        <f>VLOOKUP(Table2[[#This Row],[Tegevusala nimetus2]],Table4[[Tegevusala nimetus]:[Tegevusala koondnimetus]],2,FALSE)</f>
        <v>Vabaaeg, kultuur ja religioon</v>
      </c>
      <c r="F583" s="83" t="s">
        <v>818</v>
      </c>
      <c r="G583" s="83" t="s">
        <v>1521</v>
      </c>
      <c r="H583" s="85">
        <v>350</v>
      </c>
      <c r="I583" s="86"/>
      <c r="J583" s="83">
        <v>5504</v>
      </c>
      <c r="K583" s="84" t="str">
        <f>VLOOKUP(Table2[[#This Row],[Konto]],Table5[[Konto]:[Konto nimetus]],2,FALSE)</f>
        <v>Koolituskulud</v>
      </c>
      <c r="L583" s="83">
        <v>55</v>
      </c>
      <c r="M583" s="83" t="str">
        <f t="shared" si="19"/>
        <v>55</v>
      </c>
      <c r="N583" s="84" t="str">
        <f>VLOOKUP(Table2[[#This Row],[Tulu/kulu liik2]],Table5[[Tulu/kulu liik]:[Kontode koondnimetus]],4,FALSE)</f>
        <v>Muud tegevuskulud</v>
      </c>
      <c r="O583" s="84" t="str">
        <f>VLOOKUP(Table2[[#This Row],[Tulu/kulu liik2]],Table5[],6,FALSE)</f>
        <v>Majandamiskulud</v>
      </c>
      <c r="P583" s="84" t="str">
        <f>VLOOKUP(Table2[[#This Row],[Tulu/kulu liik2]],Table5[],5,FALSE)</f>
        <v>Põhitegevuse kulu</v>
      </c>
    </row>
    <row r="584" spans="1:16" x14ac:dyDescent="0.25">
      <c r="A584" s="83" t="str">
        <f t="shared" si="18"/>
        <v>08</v>
      </c>
      <c r="B584" s="83" t="s">
        <v>47</v>
      </c>
      <c r="C584" s="84" t="str">
        <f>VLOOKUP(Table2[[#This Row],[Tegevusala]],Table4[],2,FALSE)</f>
        <v xml:space="preserve"> Muu vaba aeg, kultuur, religioon, sh haldus</v>
      </c>
      <c r="D584" s="84" t="str">
        <f>VLOOKUP(Table2[[#This Row],[Tegevusala]],Table4[[Tegevusala kood]:[Tegevusala alanimetus]],4,FALSE)</f>
        <v>Muu vaba aeg, kultuur, religioon, sh haldus</v>
      </c>
      <c r="E584" s="84" t="str">
        <f>VLOOKUP(Table2[[#This Row],[Tegevusala nimetus2]],Table4[[Tegevusala nimetus]:[Tegevusala koondnimetus]],2,FALSE)</f>
        <v>Vabaaeg, kultuur ja religioon</v>
      </c>
      <c r="F584" s="83" t="s">
        <v>818</v>
      </c>
      <c r="G584" s="83" t="s">
        <v>794</v>
      </c>
      <c r="H584" s="85">
        <v>120</v>
      </c>
      <c r="I584" s="86"/>
      <c r="J584" s="83">
        <v>5500</v>
      </c>
      <c r="K584" s="84" t="str">
        <f>VLOOKUP(Table2[[#This Row],[Konto]],Table5[[Konto]:[Konto nimetus]],2,FALSE)</f>
        <v>Administreerimiskulud</v>
      </c>
      <c r="L584" s="83">
        <v>55</v>
      </c>
      <c r="M584" s="83" t="str">
        <f t="shared" si="19"/>
        <v>55</v>
      </c>
      <c r="N584" s="84" t="str">
        <f>VLOOKUP(Table2[[#This Row],[Tulu/kulu liik2]],Table5[[Tulu/kulu liik]:[Kontode koondnimetus]],4,FALSE)</f>
        <v>Muud tegevuskulud</v>
      </c>
      <c r="O584" s="84" t="str">
        <f>VLOOKUP(Table2[[#This Row],[Tulu/kulu liik2]],Table5[],6,FALSE)</f>
        <v>Majandamiskulud</v>
      </c>
      <c r="P584" s="84" t="str">
        <f>VLOOKUP(Table2[[#This Row],[Tulu/kulu liik2]],Table5[],5,FALSE)</f>
        <v>Põhitegevuse kulu</v>
      </c>
    </row>
    <row r="585" spans="1:16" hidden="1" x14ac:dyDescent="0.25">
      <c r="A585" s="33" t="str">
        <f t="shared" si="18"/>
        <v>08</v>
      </c>
      <c r="B585" s="33" t="s">
        <v>47</v>
      </c>
      <c r="C585" s="34" t="str">
        <f>VLOOKUP(Table2[[#This Row],[Tegevusala]],Table4[],2,FALSE)</f>
        <v xml:space="preserve"> Muu vaba aeg, kultuur, religioon, sh haldus</v>
      </c>
      <c r="D585" s="34" t="str">
        <f>VLOOKUP(Table2[[#This Row],[Tegevusala]],Table4[[Tegevusala kood]:[Tegevusala alanimetus]],4,FALSE)</f>
        <v>Muu vaba aeg, kultuur, religioon, sh haldus</v>
      </c>
      <c r="E585" s="34" t="str">
        <f>VLOOKUP(Table2[[#This Row],[Tegevusala nimetus2]],Table4[[Tegevusala nimetus]:[Tegevusala koondnimetus]],2,FALSE)</f>
        <v>Vabaaeg, kultuur ja religioon</v>
      </c>
      <c r="F585" s="33" t="s">
        <v>648</v>
      </c>
      <c r="G585" s="33" t="s">
        <v>2056</v>
      </c>
      <c r="H585" s="47">
        <v>20000</v>
      </c>
      <c r="I585" s="35"/>
      <c r="J585" s="33">
        <v>1551</v>
      </c>
      <c r="K585" s="34" t="str">
        <f>VLOOKUP(Table2[[#This Row],[Konto]],Table5[[Konto]:[Konto nimetus]],2,FALSE)</f>
        <v>Rajatiste ja hoonete soetamine ja renoveerimine</v>
      </c>
      <c r="L585" s="33">
        <v>15</v>
      </c>
      <c r="M585" s="33" t="str">
        <f t="shared" si="19"/>
        <v>15</v>
      </c>
      <c r="N585" s="34" t="str">
        <f>VLOOKUP(Table2[[#This Row],[Tulu/kulu liik2]],Table5[[Tulu/kulu liik]:[Kontode koondnimetus]],4,FALSE)</f>
        <v>Põhivara soetus (-)</v>
      </c>
      <c r="O585" s="34" t="str">
        <f>VLOOKUP(Table2[[#This Row],[Tulu/kulu liik2]],Table5[],6,FALSE)</f>
        <v>Põhivara soetus (-)</v>
      </c>
      <c r="P585" s="34" t="str">
        <f>VLOOKUP(Table2[[#This Row],[Tulu/kulu liik2]],Table5[],5,FALSE)</f>
        <v>Investeerimistegevus</v>
      </c>
    </row>
    <row r="586" spans="1:16" x14ac:dyDescent="0.25">
      <c r="A586" t="str">
        <f t="shared" si="18"/>
        <v>09</v>
      </c>
      <c r="B586" t="s">
        <v>325</v>
      </c>
      <c r="C586" s="3" t="str">
        <f>VLOOKUP(Table2[[#This Row],[Tegevusala]],Table4[],2,FALSE)</f>
        <v xml:space="preserve"> Vinni Lasteaed</v>
      </c>
      <c r="D586" s="3" t="str">
        <f>VLOOKUP(Table2[[#This Row],[Tegevusala]],Table4[[Tegevusala kood]:[Tegevusala alanimetus]],4,FALSE)</f>
        <v>Alusharidus</v>
      </c>
      <c r="E586" s="3" t="str">
        <f>VLOOKUP(Table2[[#This Row],[Tegevusala nimetus2]],Table4[[Tegevusala nimetus]:[Tegevusala koondnimetus]],2,FALSE)</f>
        <v>Haridus</v>
      </c>
      <c r="F586" t="s">
        <v>1203</v>
      </c>
      <c r="G586" t="s">
        <v>1215</v>
      </c>
      <c r="H586" s="40">
        <v>800</v>
      </c>
      <c r="I586" s="2" t="s">
        <v>1216</v>
      </c>
      <c r="J586">
        <v>5500</v>
      </c>
      <c r="K586" s="3" t="str">
        <f>VLOOKUP(Table2[[#This Row],[Konto]],Table5[[Konto]:[Konto nimetus]],2,FALSE)</f>
        <v>Administreerimiskulud</v>
      </c>
      <c r="L586">
        <v>55</v>
      </c>
      <c r="M586" t="str">
        <f t="shared" si="19"/>
        <v>55</v>
      </c>
      <c r="N586" s="3" t="str">
        <f>VLOOKUP(Table2[[#This Row],[Tulu/kulu liik2]],Table5[[Tulu/kulu liik]:[Kontode koondnimetus]],4,FALSE)</f>
        <v>Muud tegevuskulud</v>
      </c>
      <c r="O586" s="3" t="str">
        <f>VLOOKUP(Table2[[#This Row],[Tulu/kulu liik2]],Table5[],6,FALSE)</f>
        <v>Majandamiskulud</v>
      </c>
      <c r="P586" s="3" t="str">
        <f>VLOOKUP(Table2[[#This Row],[Tulu/kulu liik2]],Table5[],5,FALSE)</f>
        <v>Põhitegevuse kulu</v>
      </c>
    </row>
    <row r="587" spans="1:16" x14ac:dyDescent="0.25">
      <c r="A587" t="str">
        <f t="shared" si="18"/>
        <v>09</v>
      </c>
      <c r="B587" t="s">
        <v>325</v>
      </c>
      <c r="C587" s="3" t="str">
        <f>VLOOKUP(Table2[[#This Row],[Tegevusala]],Table4[],2,FALSE)</f>
        <v xml:space="preserve"> Vinni Lasteaed</v>
      </c>
      <c r="D587" s="3" t="str">
        <f>VLOOKUP(Table2[[#This Row],[Tegevusala]],Table4[[Tegevusala kood]:[Tegevusala alanimetus]],4,FALSE)</f>
        <v>Alusharidus</v>
      </c>
      <c r="E587" s="3" t="str">
        <f>VLOOKUP(Table2[[#This Row],[Tegevusala nimetus2]],Table4[[Tegevusala nimetus]:[Tegevusala koondnimetus]],2,FALSE)</f>
        <v>Haridus</v>
      </c>
      <c r="F587" t="s">
        <v>1203</v>
      </c>
      <c r="G587" t="s">
        <v>1217</v>
      </c>
      <c r="H587" s="40">
        <v>500</v>
      </c>
      <c r="I587" s="2" t="s">
        <v>1218</v>
      </c>
      <c r="J587">
        <v>5500</v>
      </c>
      <c r="K587" s="3" t="str">
        <f>VLOOKUP(Table2[[#This Row],[Konto]],Table5[[Konto]:[Konto nimetus]],2,FALSE)</f>
        <v>Administreerimiskulud</v>
      </c>
      <c r="L587">
        <v>55</v>
      </c>
      <c r="M587" t="str">
        <f t="shared" si="19"/>
        <v>55</v>
      </c>
      <c r="N587" s="3" t="str">
        <f>VLOOKUP(Table2[[#This Row],[Tulu/kulu liik2]],Table5[[Tulu/kulu liik]:[Kontode koondnimetus]],4,FALSE)</f>
        <v>Muud tegevuskulud</v>
      </c>
      <c r="O587" s="3" t="str">
        <f>VLOOKUP(Table2[[#This Row],[Tulu/kulu liik2]],Table5[],6,FALSE)</f>
        <v>Majandamiskulud</v>
      </c>
      <c r="P587" s="3" t="str">
        <f>VLOOKUP(Table2[[#This Row],[Tulu/kulu liik2]],Table5[],5,FALSE)</f>
        <v>Põhitegevuse kulu</v>
      </c>
    </row>
    <row r="588" spans="1:16" x14ac:dyDescent="0.25">
      <c r="A588" t="str">
        <f t="shared" si="18"/>
        <v>09</v>
      </c>
      <c r="B588" t="s">
        <v>325</v>
      </c>
      <c r="C588" s="3" t="str">
        <f>VLOOKUP(Table2[[#This Row],[Tegevusala]],Table4[],2,FALSE)</f>
        <v xml:space="preserve"> Vinni Lasteaed</v>
      </c>
      <c r="D588" s="3" t="str">
        <f>VLOOKUP(Table2[[#This Row],[Tegevusala]],Table4[[Tegevusala kood]:[Tegevusala alanimetus]],4,FALSE)</f>
        <v>Alusharidus</v>
      </c>
      <c r="E588" s="3" t="str">
        <f>VLOOKUP(Table2[[#This Row],[Tegevusala nimetus2]],Table4[[Tegevusala nimetus]:[Tegevusala koondnimetus]],2,FALSE)</f>
        <v>Haridus</v>
      </c>
      <c r="F588" t="s">
        <v>1203</v>
      </c>
      <c r="G588" t="s">
        <v>1219</v>
      </c>
      <c r="H588" s="40">
        <v>450</v>
      </c>
      <c r="I588" s="2" t="s">
        <v>1220</v>
      </c>
      <c r="J588">
        <v>5500</v>
      </c>
      <c r="K588" s="3" t="str">
        <f>VLOOKUP(Table2[[#This Row],[Konto]],Table5[[Konto]:[Konto nimetus]],2,FALSE)</f>
        <v>Administreerimiskulud</v>
      </c>
      <c r="L588">
        <v>55</v>
      </c>
      <c r="M588" t="str">
        <f t="shared" si="19"/>
        <v>55</v>
      </c>
      <c r="N588" s="3" t="str">
        <f>VLOOKUP(Table2[[#This Row],[Tulu/kulu liik2]],Table5[[Tulu/kulu liik]:[Kontode koondnimetus]],4,FALSE)</f>
        <v>Muud tegevuskulud</v>
      </c>
      <c r="O588" s="3" t="str">
        <f>VLOOKUP(Table2[[#This Row],[Tulu/kulu liik2]],Table5[],6,FALSE)</f>
        <v>Majandamiskulud</v>
      </c>
      <c r="P588" s="3" t="str">
        <f>VLOOKUP(Table2[[#This Row],[Tulu/kulu liik2]],Table5[],5,FALSE)</f>
        <v>Põhitegevuse kulu</v>
      </c>
    </row>
    <row r="589" spans="1:16" x14ac:dyDescent="0.25">
      <c r="A589" t="str">
        <f t="shared" si="18"/>
        <v>09</v>
      </c>
      <c r="B589" t="s">
        <v>325</v>
      </c>
      <c r="C589" s="3" t="str">
        <f>VLOOKUP(Table2[[#This Row],[Tegevusala]],Table4[],2,FALSE)</f>
        <v xml:space="preserve"> Vinni Lasteaed</v>
      </c>
      <c r="D589" s="3" t="str">
        <f>VLOOKUP(Table2[[#This Row],[Tegevusala]],Table4[[Tegevusala kood]:[Tegevusala alanimetus]],4,FALSE)</f>
        <v>Alusharidus</v>
      </c>
      <c r="E589" s="3" t="str">
        <f>VLOOKUP(Table2[[#This Row],[Tegevusala nimetus2]],Table4[[Tegevusala nimetus]:[Tegevusala koondnimetus]],2,FALSE)</f>
        <v>Haridus</v>
      </c>
      <c r="F589" t="s">
        <v>1203</v>
      </c>
      <c r="G589" t="s">
        <v>1221</v>
      </c>
      <c r="H589" s="40">
        <v>1200</v>
      </c>
      <c r="J589">
        <v>5504</v>
      </c>
      <c r="K589" s="3" t="str">
        <f>VLOOKUP(Table2[[#This Row],[Konto]],Table5[[Konto]:[Konto nimetus]],2,FALSE)</f>
        <v>Koolituskulud</v>
      </c>
      <c r="L589">
        <v>55</v>
      </c>
      <c r="M589" t="str">
        <f t="shared" si="19"/>
        <v>55</v>
      </c>
      <c r="N589" s="3" t="str">
        <f>VLOOKUP(Table2[[#This Row],[Tulu/kulu liik2]],Table5[[Tulu/kulu liik]:[Kontode koondnimetus]],4,FALSE)</f>
        <v>Muud tegevuskulud</v>
      </c>
      <c r="O589" s="3" t="str">
        <f>VLOOKUP(Table2[[#This Row],[Tulu/kulu liik2]],Table5[],6,FALSE)</f>
        <v>Majandamiskulud</v>
      </c>
      <c r="P589" s="3" t="str">
        <f>VLOOKUP(Table2[[#This Row],[Tulu/kulu liik2]],Table5[],5,FALSE)</f>
        <v>Põhitegevuse kulu</v>
      </c>
    </row>
    <row r="590" spans="1:16" x14ac:dyDescent="0.25">
      <c r="A590" t="str">
        <f t="shared" si="18"/>
        <v>09</v>
      </c>
      <c r="B590" t="s">
        <v>325</v>
      </c>
      <c r="C590" s="3" t="str">
        <f>VLOOKUP(Table2[[#This Row],[Tegevusala]],Table4[],2,FALSE)</f>
        <v xml:space="preserve"> Vinni Lasteaed</v>
      </c>
      <c r="D590" s="3" t="str">
        <f>VLOOKUP(Table2[[#This Row],[Tegevusala]],Table4[[Tegevusala kood]:[Tegevusala alanimetus]],4,FALSE)</f>
        <v>Alusharidus</v>
      </c>
      <c r="E590" s="3" t="str">
        <f>VLOOKUP(Table2[[#This Row],[Tegevusala nimetus2]],Table4[[Tegevusala nimetus]:[Tegevusala koondnimetus]],2,FALSE)</f>
        <v>Haridus</v>
      </c>
      <c r="F590" t="s">
        <v>1203</v>
      </c>
      <c r="G590" t="s">
        <v>1222</v>
      </c>
      <c r="H590" s="40">
        <v>500</v>
      </c>
      <c r="J590">
        <v>5504</v>
      </c>
      <c r="K590" s="3" t="str">
        <f>VLOOKUP(Table2[[#This Row],[Konto]],Table5[[Konto]:[Konto nimetus]],2,FALSE)</f>
        <v>Koolituskulud</v>
      </c>
      <c r="L590">
        <v>55</v>
      </c>
      <c r="M590" t="str">
        <f t="shared" si="19"/>
        <v>55</v>
      </c>
      <c r="N590" s="3" t="str">
        <f>VLOOKUP(Table2[[#This Row],[Tulu/kulu liik2]],Table5[[Tulu/kulu liik]:[Kontode koondnimetus]],4,FALSE)</f>
        <v>Muud tegevuskulud</v>
      </c>
      <c r="O590" s="3" t="str">
        <f>VLOOKUP(Table2[[#This Row],[Tulu/kulu liik2]],Table5[],6,FALSE)</f>
        <v>Majandamiskulud</v>
      </c>
      <c r="P590" s="3" t="str">
        <f>VLOOKUP(Table2[[#This Row],[Tulu/kulu liik2]],Table5[],5,FALSE)</f>
        <v>Põhitegevuse kulu</v>
      </c>
    </row>
    <row r="591" spans="1:16" x14ac:dyDescent="0.25">
      <c r="A591" t="str">
        <f t="shared" si="18"/>
        <v>09</v>
      </c>
      <c r="B591" t="s">
        <v>325</v>
      </c>
      <c r="C591" s="3" t="str">
        <f>VLOOKUP(Table2[[#This Row],[Tegevusala]],Table4[],2,FALSE)</f>
        <v xml:space="preserve"> Vinni Lasteaed</v>
      </c>
      <c r="D591" s="3" t="str">
        <f>VLOOKUP(Table2[[#This Row],[Tegevusala]],Table4[[Tegevusala kood]:[Tegevusala alanimetus]],4,FALSE)</f>
        <v>Alusharidus</v>
      </c>
      <c r="E591" s="3" t="str">
        <f>VLOOKUP(Table2[[#This Row],[Tegevusala nimetus2]],Table4[[Tegevusala nimetus]:[Tegevusala koondnimetus]],2,FALSE)</f>
        <v>Haridus</v>
      </c>
      <c r="F591" t="s">
        <v>1203</v>
      </c>
      <c r="G591" t="s">
        <v>1223</v>
      </c>
      <c r="H591" s="40">
        <v>300</v>
      </c>
      <c r="J591">
        <v>5504</v>
      </c>
      <c r="K591" s="3" t="str">
        <f>VLOOKUP(Table2[[#This Row],[Konto]],Table5[[Konto]:[Konto nimetus]],2,FALSE)</f>
        <v>Koolituskulud</v>
      </c>
      <c r="L591">
        <v>55</v>
      </c>
      <c r="M591" t="str">
        <f t="shared" si="19"/>
        <v>55</v>
      </c>
      <c r="N591" s="3" t="str">
        <f>VLOOKUP(Table2[[#This Row],[Tulu/kulu liik2]],Table5[[Tulu/kulu liik]:[Kontode koondnimetus]],4,FALSE)</f>
        <v>Muud tegevuskulud</v>
      </c>
      <c r="O591" s="3" t="str">
        <f>VLOOKUP(Table2[[#This Row],[Tulu/kulu liik2]],Table5[],6,FALSE)</f>
        <v>Majandamiskulud</v>
      </c>
      <c r="P591" s="3" t="str">
        <f>VLOOKUP(Table2[[#This Row],[Tulu/kulu liik2]],Table5[],5,FALSE)</f>
        <v>Põhitegevuse kulu</v>
      </c>
    </row>
    <row r="592" spans="1:16" x14ac:dyDescent="0.25">
      <c r="A592" t="str">
        <f t="shared" si="18"/>
        <v>09</v>
      </c>
      <c r="B592" t="s">
        <v>325</v>
      </c>
      <c r="C592" s="3" t="str">
        <f>VLOOKUP(Table2[[#This Row],[Tegevusala]],Table4[],2,FALSE)</f>
        <v xml:space="preserve"> Vinni Lasteaed</v>
      </c>
      <c r="D592" s="3" t="str">
        <f>VLOOKUP(Table2[[#This Row],[Tegevusala]],Table4[[Tegevusala kood]:[Tegevusala alanimetus]],4,FALSE)</f>
        <v>Alusharidus</v>
      </c>
      <c r="E592" s="3" t="str">
        <f>VLOOKUP(Table2[[#This Row],[Tegevusala nimetus2]],Table4[[Tegevusala nimetus]:[Tegevusala koondnimetus]],2,FALSE)</f>
        <v>Haridus</v>
      </c>
      <c r="F592" t="s">
        <v>1203</v>
      </c>
      <c r="G592" t="s">
        <v>1224</v>
      </c>
      <c r="H592" s="40">
        <v>300</v>
      </c>
      <c r="I592" s="2" t="s">
        <v>1225</v>
      </c>
      <c r="J592">
        <v>5504</v>
      </c>
      <c r="K592" s="3" t="str">
        <f>VLOOKUP(Table2[[#This Row],[Konto]],Table5[[Konto]:[Konto nimetus]],2,FALSE)</f>
        <v>Koolituskulud</v>
      </c>
      <c r="L592">
        <v>55</v>
      </c>
      <c r="M592" t="str">
        <f t="shared" si="19"/>
        <v>55</v>
      </c>
      <c r="N592" s="3" t="str">
        <f>VLOOKUP(Table2[[#This Row],[Tulu/kulu liik2]],Table5[[Tulu/kulu liik]:[Kontode koondnimetus]],4,FALSE)</f>
        <v>Muud tegevuskulud</v>
      </c>
      <c r="O592" s="3" t="str">
        <f>VLOOKUP(Table2[[#This Row],[Tulu/kulu liik2]],Table5[],6,FALSE)</f>
        <v>Majandamiskulud</v>
      </c>
      <c r="P592" s="3" t="str">
        <f>VLOOKUP(Table2[[#This Row],[Tulu/kulu liik2]],Table5[],5,FALSE)</f>
        <v>Põhitegevuse kulu</v>
      </c>
    </row>
    <row r="593" spans="1:16" x14ac:dyDescent="0.25">
      <c r="A593" t="str">
        <f t="shared" si="18"/>
        <v>09</v>
      </c>
      <c r="B593" t="s">
        <v>325</v>
      </c>
      <c r="C593" s="3" t="str">
        <f>VLOOKUP(Table2[[#This Row],[Tegevusala]],Table4[],2,FALSE)</f>
        <v xml:space="preserve"> Vinni Lasteaed</v>
      </c>
      <c r="D593" s="3" t="str">
        <f>VLOOKUP(Table2[[#This Row],[Tegevusala]],Table4[[Tegevusala kood]:[Tegevusala alanimetus]],4,FALSE)</f>
        <v>Alusharidus</v>
      </c>
      <c r="E593" s="3" t="str">
        <f>VLOOKUP(Table2[[#This Row],[Tegevusala nimetus2]],Table4[[Tegevusala nimetus]:[Tegevusala koondnimetus]],2,FALSE)</f>
        <v>Haridus</v>
      </c>
      <c r="F593" t="s">
        <v>1203</v>
      </c>
      <c r="G593" t="s">
        <v>1244</v>
      </c>
      <c r="H593" s="40">
        <v>1536</v>
      </c>
      <c r="I593" s="2" t="s">
        <v>1245</v>
      </c>
      <c r="J593">
        <v>5513</v>
      </c>
      <c r="K593" s="3" t="str">
        <f>VLOOKUP(Table2[[#This Row],[Konto]],Table5[[Konto]:[Konto nimetus]],2,FALSE)</f>
        <v>Sõidukite ülalpidamise kulud</v>
      </c>
      <c r="L593">
        <v>55</v>
      </c>
      <c r="M593" t="str">
        <f t="shared" si="19"/>
        <v>55</v>
      </c>
      <c r="N593" s="3" t="str">
        <f>VLOOKUP(Table2[[#This Row],[Tulu/kulu liik2]],Table5[[Tulu/kulu liik]:[Kontode koondnimetus]],4,FALSE)</f>
        <v>Muud tegevuskulud</v>
      </c>
      <c r="O593" s="3" t="str">
        <f>VLOOKUP(Table2[[#This Row],[Tulu/kulu liik2]],Table5[],6,FALSE)</f>
        <v>Majandamiskulud</v>
      </c>
      <c r="P593" s="3" t="str">
        <f>VLOOKUP(Table2[[#This Row],[Tulu/kulu liik2]],Table5[],5,FALSE)</f>
        <v>Põhitegevuse kulu</v>
      </c>
    </row>
    <row r="594" spans="1:16" x14ac:dyDescent="0.25">
      <c r="A594" t="str">
        <f t="shared" si="18"/>
        <v>09</v>
      </c>
      <c r="B594" t="s">
        <v>325</v>
      </c>
      <c r="C594" s="3" t="str">
        <f>VLOOKUP(Table2[[#This Row],[Tegevusala]],Table4[],2,FALSE)</f>
        <v xml:space="preserve"> Vinni Lasteaed</v>
      </c>
      <c r="D594" s="3" t="str">
        <f>VLOOKUP(Table2[[#This Row],[Tegevusala]],Table4[[Tegevusala kood]:[Tegevusala alanimetus]],4,FALSE)</f>
        <v>Alusharidus</v>
      </c>
      <c r="E594" s="3" t="str">
        <f>VLOOKUP(Table2[[#This Row],[Tegevusala nimetus2]],Table4[[Tegevusala nimetus]:[Tegevusala koondnimetus]],2,FALSE)</f>
        <v>Haridus</v>
      </c>
      <c r="F594" t="s">
        <v>1203</v>
      </c>
      <c r="G594" t="s">
        <v>1250</v>
      </c>
      <c r="H594" s="40">
        <v>1500</v>
      </c>
      <c r="J594">
        <v>5515</v>
      </c>
      <c r="K594" s="3" t="str">
        <f>VLOOKUP(Table2[[#This Row],[Konto]],Table5[[Konto]:[Konto nimetus]],2,FALSE)</f>
        <v>Inventari kulud, v.a infotehnoloogia ja kaitseotstarbelised kulud</v>
      </c>
      <c r="L594">
        <v>55</v>
      </c>
      <c r="M594" t="str">
        <f t="shared" si="19"/>
        <v>55</v>
      </c>
      <c r="N594" s="3" t="str">
        <f>VLOOKUP(Table2[[#This Row],[Tulu/kulu liik2]],Table5[[Tulu/kulu liik]:[Kontode koondnimetus]],4,FALSE)</f>
        <v>Muud tegevuskulud</v>
      </c>
      <c r="O594" s="3" t="str">
        <f>VLOOKUP(Table2[[#This Row],[Tulu/kulu liik2]],Table5[],6,FALSE)</f>
        <v>Majandamiskulud</v>
      </c>
      <c r="P594" s="3" t="str">
        <f>VLOOKUP(Table2[[#This Row],[Tulu/kulu liik2]],Table5[],5,FALSE)</f>
        <v>Põhitegevuse kulu</v>
      </c>
    </row>
    <row r="595" spans="1:16" x14ac:dyDescent="0.25">
      <c r="A595" t="str">
        <f t="shared" si="18"/>
        <v>09</v>
      </c>
      <c r="B595" t="s">
        <v>325</v>
      </c>
      <c r="C595" s="3" t="str">
        <f>VLOOKUP(Table2[[#This Row],[Tegevusala]],Table4[],2,FALSE)</f>
        <v xml:space="preserve"> Vinni Lasteaed</v>
      </c>
      <c r="D595" s="3" t="str">
        <f>VLOOKUP(Table2[[#This Row],[Tegevusala]],Table4[[Tegevusala kood]:[Tegevusala alanimetus]],4,FALSE)</f>
        <v>Alusharidus</v>
      </c>
      <c r="E595" s="3" t="str">
        <f>VLOOKUP(Table2[[#This Row],[Tegevusala nimetus2]],Table4[[Tegevusala nimetus]:[Tegevusala koondnimetus]],2,FALSE)</f>
        <v>Haridus</v>
      </c>
      <c r="F595" t="s">
        <v>1203</v>
      </c>
      <c r="G595" t="s">
        <v>1251</v>
      </c>
      <c r="H595" s="40">
        <v>1000</v>
      </c>
      <c r="J595">
        <v>5515</v>
      </c>
      <c r="K595" s="3" t="str">
        <f>VLOOKUP(Table2[[#This Row],[Konto]],Table5[[Konto]:[Konto nimetus]],2,FALSE)</f>
        <v>Inventari kulud, v.a infotehnoloogia ja kaitseotstarbelised kulud</v>
      </c>
      <c r="L595">
        <v>55</v>
      </c>
      <c r="M595" t="str">
        <f t="shared" si="19"/>
        <v>55</v>
      </c>
      <c r="N595" s="3" t="str">
        <f>VLOOKUP(Table2[[#This Row],[Tulu/kulu liik2]],Table5[[Tulu/kulu liik]:[Kontode koondnimetus]],4,FALSE)</f>
        <v>Muud tegevuskulud</v>
      </c>
      <c r="O595" s="3" t="str">
        <f>VLOOKUP(Table2[[#This Row],[Tulu/kulu liik2]],Table5[],6,FALSE)</f>
        <v>Majandamiskulud</v>
      </c>
      <c r="P595" s="3" t="str">
        <f>VLOOKUP(Table2[[#This Row],[Tulu/kulu liik2]],Table5[],5,FALSE)</f>
        <v>Põhitegevuse kulu</v>
      </c>
    </row>
    <row r="596" spans="1:16" x14ac:dyDescent="0.25">
      <c r="A596" t="str">
        <f t="shared" si="18"/>
        <v>09</v>
      </c>
      <c r="B596" t="s">
        <v>325</v>
      </c>
      <c r="C596" s="3" t="str">
        <f>VLOOKUP(Table2[[#This Row],[Tegevusala]],Table4[],2,FALSE)</f>
        <v xml:space="preserve"> Vinni Lasteaed</v>
      </c>
      <c r="D596" s="3" t="str">
        <f>VLOOKUP(Table2[[#This Row],[Tegevusala]],Table4[[Tegevusala kood]:[Tegevusala alanimetus]],4,FALSE)</f>
        <v>Alusharidus</v>
      </c>
      <c r="E596" s="3" t="str">
        <f>VLOOKUP(Table2[[#This Row],[Tegevusala nimetus2]],Table4[[Tegevusala nimetus]:[Tegevusala koondnimetus]],2,FALSE)</f>
        <v>Haridus</v>
      </c>
      <c r="F596" t="s">
        <v>1203</v>
      </c>
      <c r="G596" t="s">
        <v>1252</v>
      </c>
      <c r="H596" s="40">
        <v>22000</v>
      </c>
      <c r="J596">
        <v>5521</v>
      </c>
      <c r="K596" s="3" t="str">
        <f>VLOOKUP(Table2[[#This Row],[Konto]],Table5[[Konto]:[Konto nimetus]],2,FALSE)</f>
        <v>Toiduained ja toitlustusteenused</v>
      </c>
      <c r="L596">
        <v>55</v>
      </c>
      <c r="M596" t="str">
        <f t="shared" si="19"/>
        <v>55</v>
      </c>
      <c r="N596" s="3" t="str">
        <f>VLOOKUP(Table2[[#This Row],[Tulu/kulu liik2]],Table5[[Tulu/kulu liik]:[Kontode koondnimetus]],4,FALSE)</f>
        <v>Muud tegevuskulud</v>
      </c>
      <c r="O596" s="3" t="str">
        <f>VLOOKUP(Table2[[#This Row],[Tulu/kulu liik2]],Table5[],6,FALSE)</f>
        <v>Majandamiskulud</v>
      </c>
      <c r="P596" s="3" t="str">
        <f>VLOOKUP(Table2[[#This Row],[Tulu/kulu liik2]],Table5[],5,FALSE)</f>
        <v>Põhitegevuse kulu</v>
      </c>
    </row>
    <row r="597" spans="1:16" x14ac:dyDescent="0.25">
      <c r="A597" t="str">
        <f t="shared" si="18"/>
        <v>09</v>
      </c>
      <c r="B597" t="s">
        <v>325</v>
      </c>
      <c r="C597" s="3" t="str">
        <f>VLOOKUP(Table2[[#This Row],[Tegevusala]],Table4[],2,FALSE)</f>
        <v xml:space="preserve"> Vinni Lasteaed</v>
      </c>
      <c r="D597" s="3" t="str">
        <f>VLOOKUP(Table2[[#This Row],[Tegevusala]],Table4[[Tegevusala kood]:[Tegevusala alanimetus]],4,FALSE)</f>
        <v>Alusharidus</v>
      </c>
      <c r="E597" s="3" t="str">
        <f>VLOOKUP(Table2[[#This Row],[Tegevusala nimetus2]],Table4[[Tegevusala nimetus]:[Tegevusala koondnimetus]],2,FALSE)</f>
        <v>Haridus</v>
      </c>
      <c r="F597" t="s">
        <v>1203</v>
      </c>
      <c r="G597" t="s">
        <v>1253</v>
      </c>
      <c r="H597" s="40">
        <v>300</v>
      </c>
      <c r="I597" s="2" t="s">
        <v>1254</v>
      </c>
      <c r="J597">
        <v>5522</v>
      </c>
      <c r="K597" s="3" t="str">
        <f>VLOOKUP(Table2[[#This Row],[Konto]],Table5[[Konto]:[Konto nimetus]],2,FALSE)</f>
        <v>Meditsiinikulud ja hügieenitarbed</v>
      </c>
      <c r="L597">
        <v>55</v>
      </c>
      <c r="M597" t="str">
        <f t="shared" si="19"/>
        <v>55</v>
      </c>
      <c r="N597" s="3" t="str">
        <f>VLOOKUP(Table2[[#This Row],[Tulu/kulu liik2]],Table5[[Tulu/kulu liik]:[Kontode koondnimetus]],4,FALSE)</f>
        <v>Muud tegevuskulud</v>
      </c>
      <c r="O597" s="3" t="str">
        <f>VLOOKUP(Table2[[#This Row],[Tulu/kulu liik2]],Table5[],6,FALSE)</f>
        <v>Majandamiskulud</v>
      </c>
      <c r="P597" s="3" t="str">
        <f>VLOOKUP(Table2[[#This Row],[Tulu/kulu liik2]],Table5[],5,FALSE)</f>
        <v>Põhitegevuse kulu</v>
      </c>
    </row>
    <row r="598" spans="1:16" x14ac:dyDescent="0.25">
      <c r="A598" t="str">
        <f t="shared" si="18"/>
        <v>09</v>
      </c>
      <c r="B598" t="s">
        <v>325</v>
      </c>
      <c r="C598" s="3" t="str">
        <f>VLOOKUP(Table2[[#This Row],[Tegevusala]],Table4[],2,FALSE)</f>
        <v xml:space="preserve"> Vinni Lasteaed</v>
      </c>
      <c r="D598" s="3" t="str">
        <f>VLOOKUP(Table2[[#This Row],[Tegevusala]],Table4[[Tegevusala kood]:[Tegevusala alanimetus]],4,FALSE)</f>
        <v>Alusharidus</v>
      </c>
      <c r="E598" s="3" t="str">
        <f>VLOOKUP(Table2[[#This Row],[Tegevusala nimetus2]],Table4[[Tegevusala nimetus]:[Tegevusala koondnimetus]],2,FALSE)</f>
        <v>Haridus</v>
      </c>
      <c r="F598" t="s">
        <v>1203</v>
      </c>
      <c r="G598" t="s">
        <v>1255</v>
      </c>
      <c r="H598" s="40">
        <v>200</v>
      </c>
      <c r="I598" s="2" t="s">
        <v>1256</v>
      </c>
      <c r="J598">
        <v>5522</v>
      </c>
      <c r="K598" s="3" t="str">
        <f>VLOOKUP(Table2[[#This Row],[Konto]],Table5[[Konto]:[Konto nimetus]],2,FALSE)</f>
        <v>Meditsiinikulud ja hügieenitarbed</v>
      </c>
      <c r="L598">
        <v>55</v>
      </c>
      <c r="M598" t="str">
        <f t="shared" si="19"/>
        <v>55</v>
      </c>
      <c r="N598" s="3" t="str">
        <f>VLOOKUP(Table2[[#This Row],[Tulu/kulu liik2]],Table5[[Tulu/kulu liik]:[Kontode koondnimetus]],4,FALSE)</f>
        <v>Muud tegevuskulud</v>
      </c>
      <c r="O598" s="3" t="str">
        <f>VLOOKUP(Table2[[#This Row],[Tulu/kulu liik2]],Table5[],6,FALSE)</f>
        <v>Majandamiskulud</v>
      </c>
      <c r="P598" s="3" t="str">
        <f>VLOOKUP(Table2[[#This Row],[Tulu/kulu liik2]],Table5[],5,FALSE)</f>
        <v>Põhitegevuse kulu</v>
      </c>
    </row>
    <row r="599" spans="1:16" x14ac:dyDescent="0.25">
      <c r="A599" t="str">
        <f t="shared" si="18"/>
        <v>09</v>
      </c>
      <c r="B599" t="s">
        <v>325</v>
      </c>
      <c r="C599" s="3" t="str">
        <f>VLOOKUP(Table2[[#This Row],[Tegevusala]],Table4[],2,FALSE)</f>
        <v xml:space="preserve"> Vinni Lasteaed</v>
      </c>
      <c r="D599" s="3" t="str">
        <f>VLOOKUP(Table2[[#This Row],[Tegevusala]],Table4[[Tegevusala kood]:[Tegevusala alanimetus]],4,FALSE)</f>
        <v>Alusharidus</v>
      </c>
      <c r="E599" s="3" t="str">
        <f>VLOOKUP(Table2[[#This Row],[Tegevusala nimetus2]],Table4[[Tegevusala nimetus]:[Tegevusala koondnimetus]],2,FALSE)</f>
        <v>Haridus</v>
      </c>
      <c r="F599" t="s">
        <v>1203</v>
      </c>
      <c r="G599" t="s">
        <v>1257</v>
      </c>
      <c r="H599" s="40">
        <v>500</v>
      </c>
      <c r="J599">
        <v>5523</v>
      </c>
      <c r="K599" s="3" t="str">
        <f>VLOOKUP(Table2[[#This Row],[Konto]],Table5[[Konto]:[Konto nimetus]],2,FALSE)</f>
        <v>Teavikud ja kunstiesemed</v>
      </c>
      <c r="L599">
        <v>55</v>
      </c>
      <c r="M599" t="str">
        <f t="shared" si="19"/>
        <v>55</v>
      </c>
      <c r="N599" s="3" t="str">
        <f>VLOOKUP(Table2[[#This Row],[Tulu/kulu liik2]],Table5[[Tulu/kulu liik]:[Kontode koondnimetus]],4,FALSE)</f>
        <v>Muud tegevuskulud</v>
      </c>
      <c r="O599" s="3" t="str">
        <f>VLOOKUP(Table2[[#This Row],[Tulu/kulu liik2]],Table5[],6,FALSE)</f>
        <v>Majandamiskulud</v>
      </c>
      <c r="P599" s="3" t="str">
        <f>VLOOKUP(Table2[[#This Row],[Tulu/kulu liik2]],Table5[],5,FALSE)</f>
        <v>Põhitegevuse kulu</v>
      </c>
    </row>
    <row r="600" spans="1:16" x14ac:dyDescent="0.25">
      <c r="A600" t="str">
        <f t="shared" si="18"/>
        <v>09</v>
      </c>
      <c r="B600" t="s">
        <v>325</v>
      </c>
      <c r="C600" s="3" t="str">
        <f>VLOOKUP(Table2[[#This Row],[Tegevusala]],Table4[],2,FALSE)</f>
        <v xml:space="preserve"> Vinni Lasteaed</v>
      </c>
      <c r="D600" s="3" t="str">
        <f>VLOOKUP(Table2[[#This Row],[Tegevusala]],Table4[[Tegevusala kood]:[Tegevusala alanimetus]],4,FALSE)</f>
        <v>Alusharidus</v>
      </c>
      <c r="E600" s="3" t="str">
        <f>VLOOKUP(Table2[[#This Row],[Tegevusala nimetus2]],Table4[[Tegevusala nimetus]:[Tegevusala koondnimetus]],2,FALSE)</f>
        <v>Haridus</v>
      </c>
      <c r="F600" t="s">
        <v>1203</v>
      </c>
      <c r="G600" t="s">
        <v>1258</v>
      </c>
      <c r="H600" s="40">
        <v>500</v>
      </c>
      <c r="J600">
        <v>5523</v>
      </c>
      <c r="K600" s="3" t="str">
        <f>VLOOKUP(Table2[[#This Row],[Konto]],Table5[[Konto]:[Konto nimetus]],2,FALSE)</f>
        <v>Teavikud ja kunstiesemed</v>
      </c>
      <c r="L600">
        <v>55</v>
      </c>
      <c r="M600" t="str">
        <f t="shared" si="19"/>
        <v>55</v>
      </c>
      <c r="N600" s="3" t="str">
        <f>VLOOKUP(Table2[[#This Row],[Tulu/kulu liik2]],Table5[[Tulu/kulu liik]:[Kontode koondnimetus]],4,FALSE)</f>
        <v>Muud tegevuskulud</v>
      </c>
      <c r="O600" s="3" t="str">
        <f>VLOOKUP(Table2[[#This Row],[Tulu/kulu liik2]],Table5[],6,FALSE)</f>
        <v>Majandamiskulud</v>
      </c>
      <c r="P600" s="3" t="str">
        <f>VLOOKUP(Table2[[#This Row],[Tulu/kulu liik2]],Table5[],5,FALSE)</f>
        <v>Põhitegevuse kulu</v>
      </c>
    </row>
    <row r="601" spans="1:16" x14ac:dyDescent="0.25">
      <c r="A601" t="str">
        <f t="shared" si="18"/>
        <v>09</v>
      </c>
      <c r="B601" t="s">
        <v>325</v>
      </c>
      <c r="C601" s="3" t="str">
        <f>VLOOKUP(Table2[[#This Row],[Tegevusala]],Table4[],2,FALSE)</f>
        <v xml:space="preserve"> Vinni Lasteaed</v>
      </c>
      <c r="D601" s="3" t="str">
        <f>VLOOKUP(Table2[[#This Row],[Tegevusala]],Table4[[Tegevusala kood]:[Tegevusala alanimetus]],4,FALSE)</f>
        <v>Alusharidus</v>
      </c>
      <c r="E601" s="3" t="str">
        <f>VLOOKUP(Table2[[#This Row],[Tegevusala nimetus2]],Table4[[Tegevusala nimetus]:[Tegevusala koondnimetus]],2,FALSE)</f>
        <v>Haridus</v>
      </c>
      <c r="F601" t="s">
        <v>1203</v>
      </c>
      <c r="G601" t="s">
        <v>1259</v>
      </c>
      <c r="H601" s="40">
        <v>4400</v>
      </c>
      <c r="J601">
        <v>5524</v>
      </c>
      <c r="K601" s="3" t="str">
        <f>VLOOKUP(Table2[[#This Row],[Konto]],Table5[[Konto]:[Konto nimetus]],2,FALSE)</f>
        <v>Õppevahendid</v>
      </c>
      <c r="L601">
        <v>55</v>
      </c>
      <c r="M601" t="str">
        <f t="shared" si="19"/>
        <v>55</v>
      </c>
      <c r="N601" s="3" t="str">
        <f>VLOOKUP(Table2[[#This Row],[Tulu/kulu liik2]],Table5[[Tulu/kulu liik]:[Kontode koondnimetus]],4,FALSE)</f>
        <v>Muud tegevuskulud</v>
      </c>
      <c r="O601" s="3" t="str">
        <f>VLOOKUP(Table2[[#This Row],[Tulu/kulu liik2]],Table5[],6,FALSE)</f>
        <v>Majandamiskulud</v>
      </c>
      <c r="P601" s="3" t="str">
        <f>VLOOKUP(Table2[[#This Row],[Tulu/kulu liik2]],Table5[],5,FALSE)</f>
        <v>Põhitegevuse kulu</v>
      </c>
    </row>
    <row r="602" spans="1:16" x14ac:dyDescent="0.25">
      <c r="A602" t="str">
        <f t="shared" si="18"/>
        <v>09</v>
      </c>
      <c r="B602" t="s">
        <v>325</v>
      </c>
      <c r="C602" s="3" t="str">
        <f>VLOOKUP(Table2[[#This Row],[Tegevusala]],Table4[],2,FALSE)</f>
        <v xml:space="preserve"> Vinni Lasteaed</v>
      </c>
      <c r="D602" s="3" t="str">
        <f>VLOOKUP(Table2[[#This Row],[Tegevusala]],Table4[[Tegevusala kood]:[Tegevusala alanimetus]],4,FALSE)</f>
        <v>Alusharidus</v>
      </c>
      <c r="E602" s="3" t="str">
        <f>VLOOKUP(Table2[[#This Row],[Tegevusala nimetus2]],Table4[[Tegevusala nimetus]:[Tegevusala koondnimetus]],2,FALSE)</f>
        <v>Haridus</v>
      </c>
      <c r="F602" t="s">
        <v>1203</v>
      </c>
      <c r="G602" t="s">
        <v>1260</v>
      </c>
      <c r="H602" s="40">
        <v>4400</v>
      </c>
      <c r="J602">
        <v>5524</v>
      </c>
      <c r="K602" s="3" t="str">
        <f>VLOOKUP(Table2[[#This Row],[Konto]],Table5[[Konto]:[Konto nimetus]],2,FALSE)</f>
        <v>Õppevahendid</v>
      </c>
      <c r="L602">
        <v>55</v>
      </c>
      <c r="M602" t="str">
        <f t="shared" si="19"/>
        <v>55</v>
      </c>
      <c r="N602" s="3" t="str">
        <f>VLOOKUP(Table2[[#This Row],[Tulu/kulu liik2]],Table5[[Tulu/kulu liik]:[Kontode koondnimetus]],4,FALSE)</f>
        <v>Muud tegevuskulud</v>
      </c>
      <c r="O602" s="3" t="str">
        <f>VLOOKUP(Table2[[#This Row],[Tulu/kulu liik2]],Table5[],6,FALSE)</f>
        <v>Majandamiskulud</v>
      </c>
      <c r="P602" s="3" t="str">
        <f>VLOOKUP(Table2[[#This Row],[Tulu/kulu liik2]],Table5[],5,FALSE)</f>
        <v>Põhitegevuse kulu</v>
      </c>
    </row>
    <row r="603" spans="1:16" x14ac:dyDescent="0.25">
      <c r="A603" t="str">
        <f t="shared" si="18"/>
        <v>09</v>
      </c>
      <c r="B603" t="s">
        <v>325</v>
      </c>
      <c r="C603" s="3" t="str">
        <f>VLOOKUP(Table2[[#This Row],[Tegevusala]],Table4[],2,FALSE)</f>
        <v xml:space="preserve"> Vinni Lasteaed</v>
      </c>
      <c r="D603" s="3" t="str">
        <f>VLOOKUP(Table2[[#This Row],[Tegevusala]],Table4[[Tegevusala kood]:[Tegevusala alanimetus]],4,FALSE)</f>
        <v>Alusharidus</v>
      </c>
      <c r="E603" s="3" t="str">
        <f>VLOOKUP(Table2[[#This Row],[Tegevusala nimetus2]],Table4[[Tegevusala nimetus]:[Tegevusala koondnimetus]],2,FALSE)</f>
        <v>Haridus</v>
      </c>
      <c r="F603" t="s">
        <v>1203</v>
      </c>
      <c r="G603" t="s">
        <v>1261</v>
      </c>
      <c r="H603" s="40">
        <v>2000</v>
      </c>
      <c r="I603" s="2" t="s">
        <v>1262</v>
      </c>
      <c r="J603">
        <v>5525</v>
      </c>
      <c r="K603" s="3" t="str">
        <f>VLOOKUP(Table2[[#This Row],[Konto]],Table5[[Konto]:[Konto nimetus]],2,FALSE)</f>
        <v>Kommunikatsiooni-, kultuuri- ja vaba aja sisustamise kulud</v>
      </c>
      <c r="L603">
        <v>55</v>
      </c>
      <c r="M603" t="str">
        <f t="shared" si="19"/>
        <v>55</v>
      </c>
      <c r="N603" s="3" t="str">
        <f>VLOOKUP(Table2[[#This Row],[Tulu/kulu liik2]],Table5[[Tulu/kulu liik]:[Kontode koondnimetus]],4,FALSE)</f>
        <v>Muud tegevuskulud</v>
      </c>
      <c r="O603" s="3" t="str">
        <f>VLOOKUP(Table2[[#This Row],[Tulu/kulu liik2]],Table5[],6,FALSE)</f>
        <v>Majandamiskulud</v>
      </c>
      <c r="P603" s="3" t="str">
        <f>VLOOKUP(Table2[[#This Row],[Tulu/kulu liik2]],Table5[],5,FALSE)</f>
        <v>Põhitegevuse kulu</v>
      </c>
    </row>
    <row r="604" spans="1:16" x14ac:dyDescent="0.25">
      <c r="A604" t="str">
        <f t="shared" si="18"/>
        <v>09</v>
      </c>
      <c r="B604" t="s">
        <v>325</v>
      </c>
      <c r="C604" s="3" t="str">
        <f>VLOOKUP(Table2[[#This Row],[Tegevusala]],Table4[],2,FALSE)</f>
        <v xml:space="preserve"> Vinni Lasteaed</v>
      </c>
      <c r="D604" s="3" t="str">
        <f>VLOOKUP(Table2[[#This Row],[Tegevusala]],Table4[[Tegevusala kood]:[Tegevusala alanimetus]],4,FALSE)</f>
        <v>Alusharidus</v>
      </c>
      <c r="E604" s="3" t="str">
        <f>VLOOKUP(Table2[[#This Row],[Tegevusala nimetus2]],Table4[[Tegevusala nimetus]:[Tegevusala koondnimetus]],2,FALSE)</f>
        <v>Haridus</v>
      </c>
      <c r="F604" t="s">
        <v>1203</v>
      </c>
      <c r="G604" t="s">
        <v>1263</v>
      </c>
      <c r="H604" s="40">
        <v>2000</v>
      </c>
      <c r="I604" s="2" t="s">
        <v>1264</v>
      </c>
      <c r="J604">
        <v>5525</v>
      </c>
      <c r="K604" s="3" t="str">
        <f>VLOOKUP(Table2[[#This Row],[Konto]],Table5[[Konto]:[Konto nimetus]],2,FALSE)</f>
        <v>Kommunikatsiooni-, kultuuri- ja vaba aja sisustamise kulud</v>
      </c>
      <c r="L604">
        <v>55</v>
      </c>
      <c r="M604" t="str">
        <f t="shared" si="19"/>
        <v>55</v>
      </c>
      <c r="N604" s="3" t="str">
        <f>VLOOKUP(Table2[[#This Row],[Tulu/kulu liik2]],Table5[[Tulu/kulu liik]:[Kontode koondnimetus]],4,FALSE)</f>
        <v>Muud tegevuskulud</v>
      </c>
      <c r="O604" s="3" t="str">
        <f>VLOOKUP(Table2[[#This Row],[Tulu/kulu liik2]],Table5[],6,FALSE)</f>
        <v>Majandamiskulud</v>
      </c>
      <c r="P604" s="3" t="str">
        <f>VLOOKUP(Table2[[#This Row],[Tulu/kulu liik2]],Table5[],5,FALSE)</f>
        <v>Põhitegevuse kulu</v>
      </c>
    </row>
    <row r="605" spans="1:16" x14ac:dyDescent="0.25">
      <c r="A605" t="str">
        <f t="shared" si="18"/>
        <v>09</v>
      </c>
      <c r="B605" t="s">
        <v>325</v>
      </c>
      <c r="C605" s="3" t="str">
        <f>VLOOKUP(Table2[[#This Row],[Tegevusala]],Table4[],2,FALSE)</f>
        <v xml:space="preserve"> Vinni Lasteaed</v>
      </c>
      <c r="D605" s="3" t="str">
        <f>VLOOKUP(Table2[[#This Row],[Tegevusala]],Table4[[Tegevusala kood]:[Tegevusala alanimetus]],4,FALSE)</f>
        <v>Alusharidus</v>
      </c>
      <c r="E605" s="3" t="str">
        <f>VLOOKUP(Table2[[#This Row],[Tegevusala nimetus2]],Table4[[Tegevusala nimetus]:[Tegevusala koondnimetus]],2,FALSE)</f>
        <v>Haridus</v>
      </c>
      <c r="F605" t="s">
        <v>1203</v>
      </c>
      <c r="G605" t="s">
        <v>1226</v>
      </c>
      <c r="H605" s="40">
        <v>18000</v>
      </c>
      <c r="I605" s="2" t="s">
        <v>1227</v>
      </c>
      <c r="J605">
        <v>5511</v>
      </c>
      <c r="K605" s="3" t="str">
        <f>VLOOKUP(Table2[[#This Row],[Konto]],Table5[[Konto]:[Konto nimetus]],2,FALSE)</f>
        <v>Kinnistute, hoonete ja ruumide majandamiskulud</v>
      </c>
      <c r="L605">
        <v>55</v>
      </c>
      <c r="M605" t="str">
        <f t="shared" si="19"/>
        <v>55</v>
      </c>
      <c r="N605" s="3" t="str">
        <f>VLOOKUP(Table2[[#This Row],[Tulu/kulu liik2]],Table5[[Tulu/kulu liik]:[Kontode koondnimetus]],4,FALSE)</f>
        <v>Muud tegevuskulud</v>
      </c>
      <c r="O605" s="3" t="str">
        <f>VLOOKUP(Table2[[#This Row],[Tulu/kulu liik2]],Table5[],6,FALSE)</f>
        <v>Majandamiskulud</v>
      </c>
      <c r="P605" s="3" t="str">
        <f>VLOOKUP(Table2[[#This Row],[Tulu/kulu liik2]],Table5[],5,FALSE)</f>
        <v>Põhitegevuse kulu</v>
      </c>
    </row>
    <row r="606" spans="1:16" x14ac:dyDescent="0.25">
      <c r="A606" t="str">
        <f t="shared" si="18"/>
        <v>09</v>
      </c>
      <c r="B606" t="s">
        <v>325</v>
      </c>
      <c r="C606" s="3" t="str">
        <f>VLOOKUP(Table2[[#This Row],[Tegevusala]],Table4[],2,FALSE)</f>
        <v xml:space="preserve"> Vinni Lasteaed</v>
      </c>
      <c r="D606" s="3" t="str">
        <f>VLOOKUP(Table2[[#This Row],[Tegevusala]],Table4[[Tegevusala kood]:[Tegevusala alanimetus]],4,FALSE)</f>
        <v>Alusharidus</v>
      </c>
      <c r="E606" s="3" t="str">
        <f>VLOOKUP(Table2[[#This Row],[Tegevusala nimetus2]],Table4[[Tegevusala nimetus]:[Tegevusala koondnimetus]],2,FALSE)</f>
        <v>Haridus</v>
      </c>
      <c r="F606" t="s">
        <v>1203</v>
      </c>
      <c r="G606" t="s">
        <v>1129</v>
      </c>
      <c r="H606" s="40">
        <v>2500</v>
      </c>
      <c r="I606" s="2" t="s">
        <v>1228</v>
      </c>
      <c r="J606">
        <v>5511</v>
      </c>
      <c r="K606" s="3" t="str">
        <f>VLOOKUP(Table2[[#This Row],[Konto]],Table5[[Konto]:[Konto nimetus]],2,FALSE)</f>
        <v>Kinnistute, hoonete ja ruumide majandamiskulud</v>
      </c>
      <c r="L606">
        <v>55</v>
      </c>
      <c r="M606" t="str">
        <f t="shared" si="19"/>
        <v>55</v>
      </c>
      <c r="N606" s="3" t="str">
        <f>VLOOKUP(Table2[[#This Row],[Tulu/kulu liik2]],Table5[[Tulu/kulu liik]:[Kontode koondnimetus]],4,FALSE)</f>
        <v>Muud tegevuskulud</v>
      </c>
      <c r="O606" s="3" t="str">
        <f>VLOOKUP(Table2[[#This Row],[Tulu/kulu liik2]],Table5[],6,FALSE)</f>
        <v>Majandamiskulud</v>
      </c>
      <c r="P606" s="3" t="str">
        <f>VLOOKUP(Table2[[#This Row],[Tulu/kulu liik2]],Table5[],5,FALSE)</f>
        <v>Põhitegevuse kulu</v>
      </c>
    </row>
    <row r="607" spans="1:16" x14ac:dyDescent="0.25">
      <c r="A607" t="str">
        <f t="shared" si="18"/>
        <v>09</v>
      </c>
      <c r="B607" t="s">
        <v>325</v>
      </c>
      <c r="C607" s="3" t="str">
        <f>VLOOKUP(Table2[[#This Row],[Tegevusala]],Table4[],2,FALSE)</f>
        <v xml:space="preserve"> Vinni Lasteaed</v>
      </c>
      <c r="D607" s="3" t="str">
        <f>VLOOKUP(Table2[[#This Row],[Tegevusala]],Table4[[Tegevusala kood]:[Tegevusala alanimetus]],4,FALSE)</f>
        <v>Alusharidus</v>
      </c>
      <c r="E607" s="3" t="str">
        <f>VLOOKUP(Table2[[#This Row],[Tegevusala nimetus2]],Table4[[Tegevusala nimetus]:[Tegevusala koondnimetus]],2,FALSE)</f>
        <v>Haridus</v>
      </c>
      <c r="F607" t="s">
        <v>1203</v>
      </c>
      <c r="G607" t="s">
        <v>943</v>
      </c>
      <c r="H607" s="40">
        <v>6000</v>
      </c>
      <c r="I607" s="2" t="s">
        <v>1157</v>
      </c>
      <c r="J607">
        <v>5511</v>
      </c>
      <c r="K607" s="3" t="str">
        <f>VLOOKUP(Table2[[#This Row],[Konto]],Table5[[Konto]:[Konto nimetus]],2,FALSE)</f>
        <v>Kinnistute, hoonete ja ruumide majandamiskulud</v>
      </c>
      <c r="L607">
        <v>55</v>
      </c>
      <c r="M607" t="str">
        <f t="shared" si="19"/>
        <v>55</v>
      </c>
      <c r="N607" s="3" t="str">
        <f>VLOOKUP(Table2[[#This Row],[Tulu/kulu liik2]],Table5[[Tulu/kulu liik]:[Kontode koondnimetus]],4,FALSE)</f>
        <v>Muud tegevuskulud</v>
      </c>
      <c r="O607" s="3" t="str">
        <f>VLOOKUP(Table2[[#This Row],[Tulu/kulu liik2]],Table5[],6,FALSE)</f>
        <v>Majandamiskulud</v>
      </c>
      <c r="P607" s="3" t="str">
        <f>VLOOKUP(Table2[[#This Row],[Tulu/kulu liik2]],Table5[],5,FALSE)</f>
        <v>Põhitegevuse kulu</v>
      </c>
    </row>
    <row r="608" spans="1:16" x14ac:dyDescent="0.25">
      <c r="A608" t="str">
        <f t="shared" si="18"/>
        <v>09</v>
      </c>
      <c r="B608" t="s">
        <v>325</v>
      </c>
      <c r="C608" s="3" t="str">
        <f>VLOOKUP(Table2[[#This Row],[Tegevusala]],Table4[],2,FALSE)</f>
        <v xml:space="preserve"> Vinni Lasteaed</v>
      </c>
      <c r="D608" s="3" t="str">
        <f>VLOOKUP(Table2[[#This Row],[Tegevusala]],Table4[[Tegevusala kood]:[Tegevusala alanimetus]],4,FALSE)</f>
        <v>Alusharidus</v>
      </c>
      <c r="E608" s="3" t="str">
        <f>VLOOKUP(Table2[[#This Row],[Tegevusala nimetus2]],Table4[[Tegevusala nimetus]:[Tegevusala koondnimetus]],2,FALSE)</f>
        <v>Haridus</v>
      </c>
      <c r="F608" t="s">
        <v>1203</v>
      </c>
      <c r="G608" t="s">
        <v>1059</v>
      </c>
      <c r="H608" s="40">
        <v>360</v>
      </c>
      <c r="I608" s="2" t="s">
        <v>1229</v>
      </c>
      <c r="J608">
        <v>5511</v>
      </c>
      <c r="K608" s="3" t="str">
        <f>VLOOKUP(Table2[[#This Row],[Konto]],Table5[[Konto]:[Konto nimetus]],2,FALSE)</f>
        <v>Kinnistute, hoonete ja ruumide majandamiskulud</v>
      </c>
      <c r="L608">
        <v>55</v>
      </c>
      <c r="M608" t="str">
        <f t="shared" si="19"/>
        <v>55</v>
      </c>
      <c r="N608" s="3" t="str">
        <f>VLOOKUP(Table2[[#This Row],[Tulu/kulu liik2]],Table5[[Tulu/kulu liik]:[Kontode koondnimetus]],4,FALSE)</f>
        <v>Muud tegevuskulud</v>
      </c>
      <c r="O608" s="3" t="str">
        <f>VLOOKUP(Table2[[#This Row],[Tulu/kulu liik2]],Table5[],6,FALSE)</f>
        <v>Majandamiskulud</v>
      </c>
      <c r="P608" s="3" t="str">
        <f>VLOOKUP(Table2[[#This Row],[Tulu/kulu liik2]],Table5[],5,FALSE)</f>
        <v>Põhitegevuse kulu</v>
      </c>
    </row>
    <row r="609" spans="1:16" x14ac:dyDescent="0.25">
      <c r="A609" t="str">
        <f t="shared" si="18"/>
        <v>09</v>
      </c>
      <c r="B609" t="s">
        <v>325</v>
      </c>
      <c r="C609" s="3" t="str">
        <f>VLOOKUP(Table2[[#This Row],[Tegevusala]],Table4[],2,FALSE)</f>
        <v xml:space="preserve"> Vinni Lasteaed</v>
      </c>
      <c r="D609" s="3" t="str">
        <f>VLOOKUP(Table2[[#This Row],[Tegevusala]],Table4[[Tegevusala kood]:[Tegevusala alanimetus]],4,FALSE)</f>
        <v>Alusharidus</v>
      </c>
      <c r="E609" s="3" t="str">
        <f>VLOOKUP(Table2[[#This Row],[Tegevusala nimetus2]],Table4[[Tegevusala nimetus]:[Tegevusala koondnimetus]],2,FALSE)</f>
        <v>Haridus</v>
      </c>
      <c r="F609" t="s">
        <v>1203</v>
      </c>
      <c r="G609" t="s">
        <v>1230</v>
      </c>
      <c r="H609" s="40">
        <v>1020</v>
      </c>
      <c r="I609" s="2" t="s">
        <v>1231</v>
      </c>
      <c r="J609">
        <v>5511</v>
      </c>
      <c r="K609" s="3" t="str">
        <f>VLOOKUP(Table2[[#This Row],[Konto]],Table5[[Konto]:[Konto nimetus]],2,FALSE)</f>
        <v>Kinnistute, hoonete ja ruumide majandamiskulud</v>
      </c>
      <c r="L609">
        <v>55</v>
      </c>
      <c r="M609" t="str">
        <f t="shared" si="19"/>
        <v>55</v>
      </c>
      <c r="N609" s="3" t="str">
        <f>VLOOKUP(Table2[[#This Row],[Tulu/kulu liik2]],Table5[[Tulu/kulu liik]:[Kontode koondnimetus]],4,FALSE)</f>
        <v>Muud tegevuskulud</v>
      </c>
      <c r="O609" s="3" t="str">
        <f>VLOOKUP(Table2[[#This Row],[Tulu/kulu liik2]],Table5[],6,FALSE)</f>
        <v>Majandamiskulud</v>
      </c>
      <c r="P609" s="3" t="str">
        <f>VLOOKUP(Table2[[#This Row],[Tulu/kulu liik2]],Table5[],5,FALSE)</f>
        <v>Põhitegevuse kulu</v>
      </c>
    </row>
    <row r="610" spans="1:16" x14ac:dyDescent="0.25">
      <c r="A610" t="str">
        <f t="shared" si="18"/>
        <v>09</v>
      </c>
      <c r="B610" t="s">
        <v>325</v>
      </c>
      <c r="C610" s="3" t="str">
        <f>VLOOKUP(Table2[[#This Row],[Tegevusala]],Table4[],2,FALSE)</f>
        <v xml:space="preserve"> Vinni Lasteaed</v>
      </c>
      <c r="D610" s="3" t="str">
        <f>VLOOKUP(Table2[[#This Row],[Tegevusala]],Table4[[Tegevusala kood]:[Tegevusala alanimetus]],4,FALSE)</f>
        <v>Alusharidus</v>
      </c>
      <c r="E610" s="3" t="str">
        <f>VLOOKUP(Table2[[#This Row],[Tegevusala nimetus2]],Table4[[Tegevusala nimetus]:[Tegevusala koondnimetus]],2,FALSE)</f>
        <v>Haridus</v>
      </c>
      <c r="F610" t="s">
        <v>1203</v>
      </c>
      <c r="G610" t="s">
        <v>1232</v>
      </c>
      <c r="H610" s="40">
        <v>460</v>
      </c>
      <c r="I610" s="2" t="s">
        <v>1233</v>
      </c>
      <c r="J610">
        <v>5511</v>
      </c>
      <c r="K610" s="3" t="str">
        <f>VLOOKUP(Table2[[#This Row],[Konto]],Table5[[Konto]:[Konto nimetus]],2,FALSE)</f>
        <v>Kinnistute, hoonete ja ruumide majandamiskulud</v>
      </c>
      <c r="L610">
        <v>55</v>
      </c>
      <c r="M610" t="str">
        <f t="shared" si="19"/>
        <v>55</v>
      </c>
      <c r="N610" s="3" t="str">
        <f>VLOOKUP(Table2[[#This Row],[Tulu/kulu liik2]],Table5[[Tulu/kulu liik]:[Kontode koondnimetus]],4,FALSE)</f>
        <v>Muud tegevuskulud</v>
      </c>
      <c r="O610" s="3" t="str">
        <f>VLOOKUP(Table2[[#This Row],[Tulu/kulu liik2]],Table5[],6,FALSE)</f>
        <v>Majandamiskulud</v>
      </c>
      <c r="P610" s="3" t="str">
        <f>VLOOKUP(Table2[[#This Row],[Tulu/kulu liik2]],Table5[],5,FALSE)</f>
        <v>Põhitegevuse kulu</v>
      </c>
    </row>
    <row r="611" spans="1:16" x14ac:dyDescent="0.25">
      <c r="A611" t="str">
        <f t="shared" si="18"/>
        <v>09</v>
      </c>
      <c r="B611" t="s">
        <v>325</v>
      </c>
      <c r="C611" s="3" t="str">
        <f>VLOOKUP(Table2[[#This Row],[Tegevusala]],Table4[],2,FALSE)</f>
        <v xml:space="preserve"> Vinni Lasteaed</v>
      </c>
      <c r="D611" s="3" t="str">
        <f>VLOOKUP(Table2[[#This Row],[Tegevusala]],Table4[[Tegevusala kood]:[Tegevusala alanimetus]],4,FALSE)</f>
        <v>Alusharidus</v>
      </c>
      <c r="E611" s="3" t="str">
        <f>VLOOKUP(Table2[[#This Row],[Tegevusala nimetus2]],Table4[[Tegevusala nimetus]:[Tegevusala koondnimetus]],2,FALSE)</f>
        <v>Haridus</v>
      </c>
      <c r="F611" t="s">
        <v>1203</v>
      </c>
      <c r="G611" t="s">
        <v>1234</v>
      </c>
      <c r="H611" s="40">
        <v>1200</v>
      </c>
      <c r="I611" s="2" t="s">
        <v>1235</v>
      </c>
      <c r="J611">
        <v>5511</v>
      </c>
      <c r="K611" s="3" t="str">
        <f>VLOOKUP(Table2[[#This Row],[Konto]],Table5[[Konto]:[Konto nimetus]],2,FALSE)</f>
        <v>Kinnistute, hoonete ja ruumide majandamiskulud</v>
      </c>
      <c r="L611">
        <v>55</v>
      </c>
      <c r="M611" t="str">
        <f t="shared" si="19"/>
        <v>55</v>
      </c>
      <c r="N611" s="3" t="str">
        <f>VLOOKUP(Table2[[#This Row],[Tulu/kulu liik2]],Table5[[Tulu/kulu liik]:[Kontode koondnimetus]],4,FALSE)</f>
        <v>Muud tegevuskulud</v>
      </c>
      <c r="O611" s="3" t="str">
        <f>VLOOKUP(Table2[[#This Row],[Tulu/kulu liik2]],Table5[],6,FALSE)</f>
        <v>Majandamiskulud</v>
      </c>
      <c r="P611" s="3" t="str">
        <f>VLOOKUP(Table2[[#This Row],[Tulu/kulu liik2]],Table5[],5,FALSE)</f>
        <v>Põhitegevuse kulu</v>
      </c>
    </row>
    <row r="612" spans="1:16" x14ac:dyDescent="0.25">
      <c r="A612" t="str">
        <f t="shared" si="18"/>
        <v>09</v>
      </c>
      <c r="B612" t="s">
        <v>325</v>
      </c>
      <c r="C612" s="3" t="str">
        <f>VLOOKUP(Table2[[#This Row],[Tegevusala]],Table4[],2,FALSE)</f>
        <v xml:space="preserve"> Vinni Lasteaed</v>
      </c>
      <c r="D612" s="3" t="str">
        <f>VLOOKUP(Table2[[#This Row],[Tegevusala]],Table4[[Tegevusala kood]:[Tegevusala alanimetus]],4,FALSE)</f>
        <v>Alusharidus</v>
      </c>
      <c r="E612" s="3" t="str">
        <f>VLOOKUP(Table2[[#This Row],[Tegevusala nimetus2]],Table4[[Tegevusala nimetus]:[Tegevusala koondnimetus]],2,FALSE)</f>
        <v>Haridus</v>
      </c>
      <c r="F612" t="s">
        <v>1203</v>
      </c>
      <c r="G612" t="s">
        <v>1236</v>
      </c>
      <c r="H612" s="40">
        <v>192</v>
      </c>
      <c r="I612" s="2" t="s">
        <v>1237</v>
      </c>
      <c r="J612">
        <v>5511</v>
      </c>
      <c r="K612" s="3" t="str">
        <f>VLOOKUP(Table2[[#This Row],[Konto]],Table5[[Konto]:[Konto nimetus]],2,FALSE)</f>
        <v>Kinnistute, hoonete ja ruumide majandamiskulud</v>
      </c>
      <c r="L612">
        <v>55</v>
      </c>
      <c r="M612" t="str">
        <f t="shared" si="19"/>
        <v>55</v>
      </c>
      <c r="N612" s="3" t="str">
        <f>VLOOKUP(Table2[[#This Row],[Tulu/kulu liik2]],Table5[[Tulu/kulu liik]:[Kontode koondnimetus]],4,FALSE)</f>
        <v>Muud tegevuskulud</v>
      </c>
      <c r="O612" s="3" t="str">
        <f>VLOOKUP(Table2[[#This Row],[Tulu/kulu liik2]],Table5[],6,FALSE)</f>
        <v>Majandamiskulud</v>
      </c>
      <c r="P612" s="3" t="str">
        <f>VLOOKUP(Table2[[#This Row],[Tulu/kulu liik2]],Table5[],5,FALSE)</f>
        <v>Põhitegevuse kulu</v>
      </c>
    </row>
    <row r="613" spans="1:16" x14ac:dyDescent="0.25">
      <c r="A613" t="str">
        <f t="shared" si="18"/>
        <v>09</v>
      </c>
      <c r="B613" t="s">
        <v>325</v>
      </c>
      <c r="C613" s="3" t="str">
        <f>VLOOKUP(Table2[[#This Row],[Tegevusala]],Table4[],2,FALSE)</f>
        <v xml:space="preserve"> Vinni Lasteaed</v>
      </c>
      <c r="D613" s="3" t="str">
        <f>VLOOKUP(Table2[[#This Row],[Tegevusala]],Table4[[Tegevusala kood]:[Tegevusala alanimetus]],4,FALSE)</f>
        <v>Alusharidus</v>
      </c>
      <c r="E613" s="3" t="str">
        <f>VLOOKUP(Table2[[#This Row],[Tegevusala nimetus2]],Table4[[Tegevusala nimetus]:[Tegevusala koondnimetus]],2,FALSE)</f>
        <v>Haridus</v>
      </c>
      <c r="F613" t="s">
        <v>1203</v>
      </c>
      <c r="G613" t="s">
        <v>1238</v>
      </c>
      <c r="H613" s="40">
        <v>200</v>
      </c>
      <c r="I613" s="2" t="s">
        <v>1239</v>
      </c>
      <c r="J613">
        <v>5511</v>
      </c>
      <c r="K613" s="3" t="str">
        <f>VLOOKUP(Table2[[#This Row],[Konto]],Table5[[Konto]:[Konto nimetus]],2,FALSE)</f>
        <v>Kinnistute, hoonete ja ruumide majandamiskulud</v>
      </c>
      <c r="L613">
        <v>55</v>
      </c>
      <c r="M613" t="str">
        <f t="shared" si="19"/>
        <v>55</v>
      </c>
      <c r="N613" s="3" t="str">
        <f>VLOOKUP(Table2[[#This Row],[Tulu/kulu liik2]],Table5[[Tulu/kulu liik]:[Kontode koondnimetus]],4,FALSE)</f>
        <v>Muud tegevuskulud</v>
      </c>
      <c r="O613" s="3" t="str">
        <f>VLOOKUP(Table2[[#This Row],[Tulu/kulu liik2]],Table5[],6,FALSE)</f>
        <v>Majandamiskulud</v>
      </c>
      <c r="P613" s="3" t="str">
        <f>VLOOKUP(Table2[[#This Row],[Tulu/kulu liik2]],Table5[],5,FALSE)</f>
        <v>Põhitegevuse kulu</v>
      </c>
    </row>
    <row r="614" spans="1:16" x14ac:dyDescent="0.25">
      <c r="A614" t="str">
        <f t="shared" si="18"/>
        <v>09</v>
      </c>
      <c r="B614" t="s">
        <v>325</v>
      </c>
      <c r="C614" s="3" t="str">
        <f>VLOOKUP(Table2[[#This Row],[Tegevusala]],Table4[],2,FALSE)</f>
        <v xml:space="preserve"> Vinni Lasteaed</v>
      </c>
      <c r="D614" s="3" t="str">
        <f>VLOOKUP(Table2[[#This Row],[Tegevusala]],Table4[[Tegevusala kood]:[Tegevusala alanimetus]],4,FALSE)</f>
        <v>Alusharidus</v>
      </c>
      <c r="E614" s="3" t="str">
        <f>VLOOKUP(Table2[[#This Row],[Tegevusala nimetus2]],Table4[[Tegevusala nimetus]:[Tegevusala koondnimetus]],2,FALSE)</f>
        <v>Haridus</v>
      </c>
      <c r="F614" t="s">
        <v>1203</v>
      </c>
      <c r="G614" t="s">
        <v>1240</v>
      </c>
      <c r="H614" s="40">
        <v>4000</v>
      </c>
      <c r="I614" s="2" t="s">
        <v>1241</v>
      </c>
      <c r="J614">
        <v>5511</v>
      </c>
      <c r="K614" s="3" t="str">
        <f>VLOOKUP(Table2[[#This Row],[Konto]],Table5[[Konto]:[Konto nimetus]],2,FALSE)</f>
        <v>Kinnistute, hoonete ja ruumide majandamiskulud</v>
      </c>
      <c r="L614">
        <v>55</v>
      </c>
      <c r="M614" t="str">
        <f t="shared" si="19"/>
        <v>55</v>
      </c>
      <c r="N614" s="3" t="str">
        <f>VLOOKUP(Table2[[#This Row],[Tulu/kulu liik2]],Table5[[Tulu/kulu liik]:[Kontode koondnimetus]],4,FALSE)</f>
        <v>Muud tegevuskulud</v>
      </c>
      <c r="O614" s="3" t="str">
        <f>VLOOKUP(Table2[[#This Row],[Tulu/kulu liik2]],Table5[],6,FALSE)</f>
        <v>Majandamiskulud</v>
      </c>
      <c r="P614" s="3" t="str">
        <f>VLOOKUP(Table2[[#This Row],[Tulu/kulu liik2]],Table5[],5,FALSE)</f>
        <v>Põhitegevuse kulu</v>
      </c>
    </row>
    <row r="615" spans="1:16" x14ac:dyDescent="0.25">
      <c r="A615" t="str">
        <f t="shared" si="18"/>
        <v>09</v>
      </c>
      <c r="B615" t="s">
        <v>325</v>
      </c>
      <c r="C615" s="3" t="str">
        <f>VLOOKUP(Table2[[#This Row],[Tegevusala]],Table4[],2,FALSE)</f>
        <v xml:space="preserve"> Vinni Lasteaed</v>
      </c>
      <c r="D615" s="3" t="str">
        <f>VLOOKUP(Table2[[#This Row],[Tegevusala]],Table4[[Tegevusala kood]:[Tegevusala alanimetus]],4,FALSE)</f>
        <v>Alusharidus</v>
      </c>
      <c r="E615" s="3" t="str">
        <f>VLOOKUP(Table2[[#This Row],[Tegevusala nimetus2]],Table4[[Tegevusala nimetus]:[Tegevusala koondnimetus]],2,FALSE)</f>
        <v>Haridus</v>
      </c>
      <c r="F615" t="s">
        <v>1203</v>
      </c>
      <c r="G615" t="s">
        <v>1242</v>
      </c>
      <c r="H615" s="40">
        <v>3000</v>
      </c>
      <c r="I615" s="2" t="s">
        <v>1243</v>
      </c>
      <c r="J615">
        <v>5511</v>
      </c>
      <c r="K615" s="3" t="str">
        <f>VLOOKUP(Table2[[#This Row],[Konto]],Table5[[Konto]:[Konto nimetus]],2,FALSE)</f>
        <v>Kinnistute, hoonete ja ruumide majandamiskulud</v>
      </c>
      <c r="L615">
        <v>55</v>
      </c>
      <c r="M615" t="str">
        <f t="shared" si="19"/>
        <v>55</v>
      </c>
      <c r="N615" s="3" t="str">
        <f>VLOOKUP(Table2[[#This Row],[Tulu/kulu liik2]],Table5[[Tulu/kulu liik]:[Kontode koondnimetus]],4,FALSE)</f>
        <v>Muud tegevuskulud</v>
      </c>
      <c r="O615" s="3" t="str">
        <f>VLOOKUP(Table2[[#This Row],[Tulu/kulu liik2]],Table5[],6,FALSE)</f>
        <v>Majandamiskulud</v>
      </c>
      <c r="P615" s="3" t="str">
        <f>VLOOKUP(Table2[[#This Row],[Tulu/kulu liik2]],Table5[],5,FALSE)</f>
        <v>Põhitegevuse kulu</v>
      </c>
    </row>
    <row r="616" spans="1:16" x14ac:dyDescent="0.25">
      <c r="A616" t="str">
        <f t="shared" si="18"/>
        <v>09</v>
      </c>
      <c r="B616" t="s">
        <v>325</v>
      </c>
      <c r="C616" s="3" t="str">
        <f>VLOOKUP(Table2[[#This Row],[Tegevusala]],Table4[],2,FALSE)</f>
        <v xml:space="preserve"> Vinni Lasteaed</v>
      </c>
      <c r="D616" s="3" t="str">
        <f>VLOOKUP(Table2[[#This Row],[Tegevusala]],Table4[[Tegevusala kood]:[Tegevusala alanimetus]],4,FALSE)</f>
        <v>Alusharidus</v>
      </c>
      <c r="E616" s="3" t="str">
        <f>VLOOKUP(Table2[[#This Row],[Tegevusala nimetus2]],Table4[[Tegevusala nimetus]:[Tegevusala koondnimetus]],2,FALSE)</f>
        <v>Haridus</v>
      </c>
      <c r="F616" t="s">
        <v>1203</v>
      </c>
      <c r="G616" t="s">
        <v>1246</v>
      </c>
      <c r="H616" s="40">
        <v>850</v>
      </c>
      <c r="J616">
        <v>5514</v>
      </c>
      <c r="K616" s="3" t="str">
        <f>VLOOKUP(Table2[[#This Row],[Konto]],Table5[[Konto]:[Konto nimetus]],2,FALSE)</f>
        <v>Info- ja kommunikatsioonitehnoliigised kulud</v>
      </c>
      <c r="L616">
        <v>55</v>
      </c>
      <c r="M616" t="str">
        <f t="shared" si="19"/>
        <v>55</v>
      </c>
      <c r="N616" s="3" t="str">
        <f>VLOOKUP(Table2[[#This Row],[Tulu/kulu liik2]],Table5[[Tulu/kulu liik]:[Kontode koondnimetus]],4,FALSE)</f>
        <v>Muud tegevuskulud</v>
      </c>
      <c r="O616" s="3" t="str">
        <f>VLOOKUP(Table2[[#This Row],[Tulu/kulu liik2]],Table5[],6,FALSE)</f>
        <v>Majandamiskulud</v>
      </c>
      <c r="P616" s="3" t="str">
        <f>VLOOKUP(Table2[[#This Row],[Tulu/kulu liik2]],Table5[],5,FALSE)</f>
        <v>Põhitegevuse kulu</v>
      </c>
    </row>
    <row r="617" spans="1:16" x14ac:dyDescent="0.25">
      <c r="A617" t="str">
        <f t="shared" si="18"/>
        <v>09</v>
      </c>
      <c r="B617" t="s">
        <v>325</v>
      </c>
      <c r="C617" s="3" t="str">
        <f>VLOOKUP(Table2[[#This Row],[Tegevusala]],Table4[],2,FALSE)</f>
        <v xml:space="preserve"> Vinni Lasteaed</v>
      </c>
      <c r="D617" s="3" t="str">
        <f>VLOOKUP(Table2[[#This Row],[Tegevusala]],Table4[[Tegevusala kood]:[Tegevusala alanimetus]],4,FALSE)</f>
        <v>Alusharidus</v>
      </c>
      <c r="E617" s="3" t="str">
        <f>VLOOKUP(Table2[[#This Row],[Tegevusala nimetus2]],Table4[[Tegevusala nimetus]:[Tegevusala koondnimetus]],2,FALSE)</f>
        <v>Haridus</v>
      </c>
      <c r="F617" t="s">
        <v>1203</v>
      </c>
      <c r="G617" t="s">
        <v>1247</v>
      </c>
      <c r="H617" s="40">
        <v>350</v>
      </c>
      <c r="I617" s="2" t="s">
        <v>1248</v>
      </c>
      <c r="J617">
        <v>5514</v>
      </c>
      <c r="K617" s="3" t="str">
        <f>VLOOKUP(Table2[[#This Row],[Konto]],Table5[[Konto]:[Konto nimetus]],2,FALSE)</f>
        <v>Info- ja kommunikatsioonitehnoliigised kulud</v>
      </c>
      <c r="L617">
        <v>55</v>
      </c>
      <c r="M617" t="str">
        <f t="shared" si="19"/>
        <v>55</v>
      </c>
      <c r="N617" s="3" t="str">
        <f>VLOOKUP(Table2[[#This Row],[Tulu/kulu liik2]],Table5[[Tulu/kulu liik]:[Kontode koondnimetus]],4,FALSE)</f>
        <v>Muud tegevuskulud</v>
      </c>
      <c r="O617" s="3" t="str">
        <f>VLOOKUP(Table2[[#This Row],[Tulu/kulu liik2]],Table5[],6,FALSE)</f>
        <v>Majandamiskulud</v>
      </c>
      <c r="P617" s="3" t="str">
        <f>VLOOKUP(Table2[[#This Row],[Tulu/kulu liik2]],Table5[],5,FALSE)</f>
        <v>Põhitegevuse kulu</v>
      </c>
    </row>
    <row r="618" spans="1:16" x14ac:dyDescent="0.25">
      <c r="A618" t="str">
        <f t="shared" si="18"/>
        <v>09</v>
      </c>
      <c r="B618" t="s">
        <v>325</v>
      </c>
      <c r="C618" s="3" t="str">
        <f>VLOOKUP(Table2[[#This Row],[Tegevusala]],Table4[],2,FALSE)</f>
        <v xml:space="preserve"> Vinni Lasteaed</v>
      </c>
      <c r="D618" s="3" t="str">
        <f>VLOOKUP(Table2[[#This Row],[Tegevusala]],Table4[[Tegevusala kood]:[Tegevusala alanimetus]],4,FALSE)</f>
        <v>Alusharidus</v>
      </c>
      <c r="E618" s="3" t="str">
        <f>VLOOKUP(Table2[[#This Row],[Tegevusala nimetus2]],Table4[[Tegevusala nimetus]:[Tegevusala koondnimetus]],2,FALSE)</f>
        <v>Haridus</v>
      </c>
      <c r="F618" t="s">
        <v>1203</v>
      </c>
      <c r="G618" t="s">
        <v>1249</v>
      </c>
      <c r="H618" s="40">
        <v>200</v>
      </c>
      <c r="J618">
        <v>5514</v>
      </c>
      <c r="K618" s="3" t="str">
        <f>VLOOKUP(Table2[[#This Row],[Konto]],Table5[[Konto]:[Konto nimetus]],2,FALSE)</f>
        <v>Info- ja kommunikatsioonitehnoliigised kulud</v>
      </c>
      <c r="L618">
        <v>55</v>
      </c>
      <c r="M618" t="str">
        <f t="shared" si="19"/>
        <v>55</v>
      </c>
      <c r="N618" s="3" t="str">
        <f>VLOOKUP(Table2[[#This Row],[Tulu/kulu liik2]],Table5[[Tulu/kulu liik]:[Kontode koondnimetus]],4,FALSE)</f>
        <v>Muud tegevuskulud</v>
      </c>
      <c r="O618" s="3" t="str">
        <f>VLOOKUP(Table2[[#This Row],[Tulu/kulu liik2]],Table5[],6,FALSE)</f>
        <v>Majandamiskulud</v>
      </c>
      <c r="P618" s="3" t="str">
        <f>VLOOKUP(Table2[[#This Row],[Tulu/kulu liik2]],Table5[],5,FALSE)</f>
        <v>Põhitegevuse kulu</v>
      </c>
    </row>
    <row r="619" spans="1:16" x14ac:dyDescent="0.25">
      <c r="A619" s="78" t="str">
        <f t="shared" si="18"/>
        <v>09</v>
      </c>
      <c r="B619" s="78" t="s">
        <v>325</v>
      </c>
      <c r="C619" s="80" t="str">
        <f>VLOOKUP(Table2[[#This Row],[Tegevusala]],Table4[],2,FALSE)</f>
        <v xml:space="preserve"> Vinni Lasteaed</v>
      </c>
      <c r="D619" s="80" t="str">
        <f>VLOOKUP(Table2[[#This Row],[Tegevusala]],Table4[[Tegevusala kood]:[Tegevusala alanimetus]],4,FALSE)</f>
        <v>Alusharidus</v>
      </c>
      <c r="E619" s="80" t="str">
        <f>VLOOKUP(Table2[[#This Row],[Tegevusala nimetus2]],Table4[[Tegevusala nimetus]:[Tegevusala koondnimetus]],2,FALSE)</f>
        <v>Haridus</v>
      </c>
      <c r="F619" s="78" t="s">
        <v>1203</v>
      </c>
      <c r="G619" s="78" t="s">
        <v>1199</v>
      </c>
      <c r="H619" s="79">
        <v>5000</v>
      </c>
      <c r="I619" s="81" t="s">
        <v>2187</v>
      </c>
      <c r="J619" s="78">
        <v>5511</v>
      </c>
      <c r="K619" s="80" t="str">
        <f>VLOOKUP(Table2[[#This Row],[Konto]],Table5[[Konto]:[Konto nimetus]],2,FALSE)</f>
        <v>Kinnistute, hoonete ja ruumide majandamiskulud</v>
      </c>
      <c r="L619" s="78">
        <v>55</v>
      </c>
      <c r="M619" s="78" t="str">
        <f t="shared" si="19"/>
        <v>55</v>
      </c>
      <c r="N619" s="80" t="str">
        <f>VLOOKUP(Table2[[#This Row],[Tulu/kulu liik2]],Table5[[Tulu/kulu liik]:[Kontode koondnimetus]],4,FALSE)</f>
        <v>Muud tegevuskulud</v>
      </c>
      <c r="O619" s="80" t="str">
        <f>VLOOKUP(Table2[[#This Row],[Tulu/kulu liik2]],Table5[],6,FALSE)</f>
        <v>Majandamiskulud</v>
      </c>
      <c r="P619" s="80" t="str">
        <f>VLOOKUP(Table2[[#This Row],[Tulu/kulu liik2]],Table5[],5,FALSE)</f>
        <v>Põhitegevuse kulu</v>
      </c>
    </row>
    <row r="620" spans="1:16" x14ac:dyDescent="0.25">
      <c r="A620" s="78" t="str">
        <f t="shared" si="18"/>
        <v>09</v>
      </c>
      <c r="B620" s="78" t="s">
        <v>325</v>
      </c>
      <c r="C620" s="80" t="str">
        <f>VLOOKUP(Table2[[#This Row],[Tegevusala]],Table4[],2,FALSE)</f>
        <v xml:space="preserve"> Vinni Lasteaed</v>
      </c>
      <c r="D620" s="80" t="str">
        <f>VLOOKUP(Table2[[#This Row],[Tegevusala]],Table4[[Tegevusala kood]:[Tegevusala alanimetus]],4,FALSE)</f>
        <v>Alusharidus</v>
      </c>
      <c r="E620" s="80" t="str">
        <f>VLOOKUP(Table2[[#This Row],[Tegevusala nimetus2]],Table4[[Tegevusala nimetus]:[Tegevusala koondnimetus]],2,FALSE)</f>
        <v>Haridus</v>
      </c>
      <c r="F620" s="78" t="s">
        <v>1203</v>
      </c>
      <c r="G620" s="78" t="s">
        <v>2186</v>
      </c>
      <c r="H620" s="79">
        <v>500</v>
      </c>
      <c r="I620" s="81" t="s">
        <v>2191</v>
      </c>
      <c r="J620" s="78">
        <v>5511</v>
      </c>
      <c r="K620" s="80" t="str">
        <f>VLOOKUP(Table2[[#This Row],[Konto]],Table5[[Konto]:[Konto nimetus]],2,FALSE)</f>
        <v>Kinnistute, hoonete ja ruumide majandamiskulud</v>
      </c>
      <c r="L620" s="78">
        <v>55</v>
      </c>
      <c r="M620" s="78" t="str">
        <f t="shared" si="19"/>
        <v>55</v>
      </c>
      <c r="N620" s="80" t="str">
        <f>VLOOKUP(Table2[[#This Row],[Tulu/kulu liik2]],Table5[[Tulu/kulu liik]:[Kontode koondnimetus]],4,FALSE)</f>
        <v>Muud tegevuskulud</v>
      </c>
      <c r="O620" s="80" t="str">
        <f>VLOOKUP(Table2[[#This Row],[Tulu/kulu liik2]],Table5[],6,FALSE)</f>
        <v>Majandamiskulud</v>
      </c>
      <c r="P620" s="80" t="str">
        <f>VLOOKUP(Table2[[#This Row],[Tulu/kulu liik2]],Table5[],5,FALSE)</f>
        <v>Põhitegevuse kulu</v>
      </c>
    </row>
    <row r="621" spans="1:16" x14ac:dyDescent="0.25">
      <c r="A621" t="str">
        <f t="shared" si="18"/>
        <v>09</v>
      </c>
      <c r="B621" t="s">
        <v>327</v>
      </c>
      <c r="C621" s="3" t="str">
        <f>VLOOKUP(Table2[[#This Row],[Tegevusala]],Table4[],2,FALSE)</f>
        <v xml:space="preserve"> Pajusti Lasteaed</v>
      </c>
      <c r="D621" s="3" t="str">
        <f>VLOOKUP(Table2[[#This Row],[Tegevusala]],Table4[[Tegevusala kood]:[Tegevusala alanimetus]],4,FALSE)</f>
        <v>Alusharidus</v>
      </c>
      <c r="E621" s="3" t="str">
        <f>VLOOKUP(Table2[[#This Row],[Tegevusala nimetus2]],Table4[[Tegevusala nimetus]:[Tegevusala koondnimetus]],2,FALSE)</f>
        <v>Haridus</v>
      </c>
      <c r="F621" t="s">
        <v>1273</v>
      </c>
      <c r="G621" t="s">
        <v>167</v>
      </c>
      <c r="H621" s="40">
        <v>760</v>
      </c>
      <c r="J621">
        <v>5500</v>
      </c>
      <c r="K621" s="3" t="str">
        <f>VLOOKUP(Table2[[#This Row],[Konto]],Table5[[Konto]:[Konto nimetus]],2,FALSE)</f>
        <v>Administreerimiskulud</v>
      </c>
      <c r="L621">
        <v>55</v>
      </c>
      <c r="M621" t="str">
        <f t="shared" si="19"/>
        <v>55</v>
      </c>
      <c r="N621" s="3" t="str">
        <f>VLOOKUP(Table2[[#This Row],[Tulu/kulu liik2]],Table5[[Tulu/kulu liik]:[Kontode koondnimetus]],4,FALSE)</f>
        <v>Muud tegevuskulud</v>
      </c>
      <c r="O621" s="3" t="str">
        <f>VLOOKUP(Table2[[#This Row],[Tulu/kulu liik2]],Table5[],6,FALSE)</f>
        <v>Majandamiskulud</v>
      </c>
      <c r="P621" s="3" t="str">
        <f>VLOOKUP(Table2[[#This Row],[Tulu/kulu liik2]],Table5[],5,FALSE)</f>
        <v>Põhitegevuse kulu</v>
      </c>
    </row>
    <row r="622" spans="1:16" x14ac:dyDescent="0.25">
      <c r="A622" t="str">
        <f t="shared" si="18"/>
        <v>09</v>
      </c>
      <c r="B622" t="s">
        <v>327</v>
      </c>
      <c r="C622" s="3" t="str">
        <f>VLOOKUP(Table2[[#This Row],[Tegevusala]],Table4[],2,FALSE)</f>
        <v xml:space="preserve"> Pajusti Lasteaed</v>
      </c>
      <c r="D622" s="3" t="str">
        <f>VLOOKUP(Table2[[#This Row],[Tegevusala]],Table4[[Tegevusala kood]:[Tegevusala alanimetus]],4,FALSE)</f>
        <v>Alusharidus</v>
      </c>
      <c r="E622" s="3" t="str">
        <f>VLOOKUP(Table2[[#This Row],[Tegevusala nimetus2]],Table4[[Tegevusala nimetus]:[Tegevusala koondnimetus]],2,FALSE)</f>
        <v>Haridus</v>
      </c>
      <c r="F622" t="s">
        <v>1273</v>
      </c>
      <c r="G622" t="s">
        <v>1281</v>
      </c>
      <c r="H622" s="40">
        <v>25</v>
      </c>
      <c r="J622">
        <v>5500</v>
      </c>
      <c r="K622" s="3" t="str">
        <f>VLOOKUP(Table2[[#This Row],[Konto]],Table5[[Konto]:[Konto nimetus]],2,FALSE)</f>
        <v>Administreerimiskulud</v>
      </c>
      <c r="L622">
        <v>55</v>
      </c>
      <c r="M622" t="str">
        <f t="shared" si="19"/>
        <v>55</v>
      </c>
      <c r="N622" s="3" t="str">
        <f>VLOOKUP(Table2[[#This Row],[Tulu/kulu liik2]],Table5[[Tulu/kulu liik]:[Kontode koondnimetus]],4,FALSE)</f>
        <v>Muud tegevuskulud</v>
      </c>
      <c r="O622" s="3" t="str">
        <f>VLOOKUP(Table2[[#This Row],[Tulu/kulu liik2]],Table5[],6,FALSE)</f>
        <v>Majandamiskulud</v>
      </c>
      <c r="P622" s="3" t="str">
        <f>VLOOKUP(Table2[[#This Row],[Tulu/kulu liik2]],Table5[],5,FALSE)</f>
        <v>Põhitegevuse kulu</v>
      </c>
    </row>
    <row r="623" spans="1:16" x14ac:dyDescent="0.25">
      <c r="A623" t="str">
        <f t="shared" si="18"/>
        <v>09</v>
      </c>
      <c r="B623" t="s">
        <v>327</v>
      </c>
      <c r="C623" s="3" t="str">
        <f>VLOOKUP(Table2[[#This Row],[Tegevusala]],Table4[],2,FALSE)</f>
        <v xml:space="preserve"> Pajusti Lasteaed</v>
      </c>
      <c r="D623" s="3" t="str">
        <f>VLOOKUP(Table2[[#This Row],[Tegevusala]],Table4[[Tegevusala kood]:[Tegevusala alanimetus]],4,FALSE)</f>
        <v>Alusharidus</v>
      </c>
      <c r="E623" s="3" t="str">
        <f>VLOOKUP(Table2[[#This Row],[Tegevusala nimetus2]],Table4[[Tegevusala nimetus]:[Tegevusala koondnimetus]],2,FALSE)</f>
        <v>Haridus</v>
      </c>
      <c r="F623" t="s">
        <v>1273</v>
      </c>
      <c r="G623" t="s">
        <v>1282</v>
      </c>
      <c r="H623" s="40">
        <v>60</v>
      </c>
      <c r="J623">
        <v>5500</v>
      </c>
      <c r="K623" s="3" t="str">
        <f>VLOOKUP(Table2[[#This Row],[Konto]],Table5[[Konto]:[Konto nimetus]],2,FALSE)</f>
        <v>Administreerimiskulud</v>
      </c>
      <c r="L623">
        <v>55</v>
      </c>
      <c r="M623" t="str">
        <f t="shared" si="19"/>
        <v>55</v>
      </c>
      <c r="N623" s="3" t="str">
        <f>VLOOKUP(Table2[[#This Row],[Tulu/kulu liik2]],Table5[[Tulu/kulu liik]:[Kontode koondnimetus]],4,FALSE)</f>
        <v>Muud tegevuskulud</v>
      </c>
      <c r="O623" s="3" t="str">
        <f>VLOOKUP(Table2[[#This Row],[Tulu/kulu liik2]],Table5[],6,FALSE)</f>
        <v>Majandamiskulud</v>
      </c>
      <c r="P623" s="3" t="str">
        <f>VLOOKUP(Table2[[#This Row],[Tulu/kulu liik2]],Table5[],5,FALSE)</f>
        <v>Põhitegevuse kulu</v>
      </c>
    </row>
    <row r="624" spans="1:16" x14ac:dyDescent="0.25">
      <c r="A624" t="str">
        <f t="shared" si="18"/>
        <v>09</v>
      </c>
      <c r="B624" t="s">
        <v>327</v>
      </c>
      <c r="C624" s="3" t="str">
        <f>VLOOKUP(Table2[[#This Row],[Tegevusala]],Table4[],2,FALSE)</f>
        <v xml:space="preserve"> Pajusti Lasteaed</v>
      </c>
      <c r="D624" s="3" t="str">
        <f>VLOOKUP(Table2[[#This Row],[Tegevusala]],Table4[[Tegevusala kood]:[Tegevusala alanimetus]],4,FALSE)</f>
        <v>Alusharidus</v>
      </c>
      <c r="E624" s="3" t="str">
        <f>VLOOKUP(Table2[[#This Row],[Tegevusala nimetus2]],Table4[[Tegevusala nimetus]:[Tegevusala koondnimetus]],2,FALSE)</f>
        <v>Haridus</v>
      </c>
      <c r="F624" t="s">
        <v>1273</v>
      </c>
      <c r="G624" t="s">
        <v>1284</v>
      </c>
      <c r="H624" s="40">
        <v>500</v>
      </c>
      <c r="J624">
        <v>5500</v>
      </c>
      <c r="K624" s="3" t="str">
        <f>VLOOKUP(Table2[[#This Row],[Konto]],Table5[[Konto]:[Konto nimetus]],2,FALSE)</f>
        <v>Administreerimiskulud</v>
      </c>
      <c r="L624">
        <v>55</v>
      </c>
      <c r="M624" t="str">
        <f t="shared" si="19"/>
        <v>55</v>
      </c>
      <c r="N624" s="3" t="str">
        <f>VLOOKUP(Table2[[#This Row],[Tulu/kulu liik2]],Table5[[Tulu/kulu liik]:[Kontode koondnimetus]],4,FALSE)</f>
        <v>Muud tegevuskulud</v>
      </c>
      <c r="O624" s="3" t="str">
        <f>VLOOKUP(Table2[[#This Row],[Tulu/kulu liik2]],Table5[],6,FALSE)</f>
        <v>Majandamiskulud</v>
      </c>
      <c r="P624" s="3" t="str">
        <f>VLOOKUP(Table2[[#This Row],[Tulu/kulu liik2]],Table5[],5,FALSE)</f>
        <v>Põhitegevuse kulu</v>
      </c>
    </row>
    <row r="625" spans="1:16" x14ac:dyDescent="0.25">
      <c r="A625" t="str">
        <f t="shared" si="18"/>
        <v>09</v>
      </c>
      <c r="B625" t="s">
        <v>327</v>
      </c>
      <c r="C625" s="3" t="str">
        <f>VLOOKUP(Table2[[#This Row],[Tegevusala]],Table4[],2,FALSE)</f>
        <v xml:space="preserve"> Pajusti Lasteaed</v>
      </c>
      <c r="D625" s="3" t="str">
        <f>VLOOKUP(Table2[[#This Row],[Tegevusala]],Table4[[Tegevusala kood]:[Tegevusala alanimetus]],4,FALSE)</f>
        <v>Alusharidus</v>
      </c>
      <c r="E625" s="3" t="str">
        <f>VLOOKUP(Table2[[#This Row],[Tegevusala nimetus2]],Table4[[Tegevusala nimetus]:[Tegevusala koondnimetus]],2,FALSE)</f>
        <v>Haridus</v>
      </c>
      <c r="F625" t="s">
        <v>1273</v>
      </c>
      <c r="G625" t="s">
        <v>409</v>
      </c>
      <c r="H625" s="40">
        <v>300</v>
      </c>
      <c r="J625">
        <v>5504</v>
      </c>
      <c r="K625" s="3" t="str">
        <f>VLOOKUP(Table2[[#This Row],[Konto]],Table5[[Konto]:[Konto nimetus]],2,FALSE)</f>
        <v>Koolituskulud</v>
      </c>
      <c r="L625">
        <v>55</v>
      </c>
      <c r="M625" t="str">
        <f t="shared" si="19"/>
        <v>55</v>
      </c>
      <c r="N625" s="3" t="str">
        <f>VLOOKUP(Table2[[#This Row],[Tulu/kulu liik2]],Table5[[Tulu/kulu liik]:[Kontode koondnimetus]],4,FALSE)</f>
        <v>Muud tegevuskulud</v>
      </c>
      <c r="O625" s="3" t="str">
        <f>VLOOKUP(Table2[[#This Row],[Tulu/kulu liik2]],Table5[],6,FALSE)</f>
        <v>Majandamiskulud</v>
      </c>
      <c r="P625" s="3" t="str">
        <f>VLOOKUP(Table2[[#This Row],[Tulu/kulu liik2]],Table5[],5,FALSE)</f>
        <v>Põhitegevuse kulu</v>
      </c>
    </row>
    <row r="626" spans="1:16" x14ac:dyDescent="0.25">
      <c r="A626" t="str">
        <f t="shared" si="18"/>
        <v>09</v>
      </c>
      <c r="B626" t="s">
        <v>327</v>
      </c>
      <c r="C626" s="3" t="str">
        <f>VLOOKUP(Table2[[#This Row],[Tegevusala]],Table4[],2,FALSE)</f>
        <v xml:space="preserve"> Pajusti Lasteaed</v>
      </c>
      <c r="D626" s="3" t="str">
        <f>VLOOKUP(Table2[[#This Row],[Tegevusala]],Table4[[Tegevusala kood]:[Tegevusala alanimetus]],4,FALSE)</f>
        <v>Alusharidus</v>
      </c>
      <c r="E626" s="3" t="str">
        <f>VLOOKUP(Table2[[#This Row],[Tegevusala nimetus2]],Table4[[Tegevusala nimetus]:[Tegevusala koondnimetus]],2,FALSE)</f>
        <v>Haridus</v>
      </c>
      <c r="F626" t="s">
        <v>1273</v>
      </c>
      <c r="G626" t="s">
        <v>1297</v>
      </c>
      <c r="H626" s="40">
        <v>704</v>
      </c>
      <c r="I626" s="2" t="s">
        <v>1298</v>
      </c>
      <c r="J626">
        <v>5513</v>
      </c>
      <c r="K626" s="3" t="str">
        <f>VLOOKUP(Table2[[#This Row],[Konto]],Table5[[Konto]:[Konto nimetus]],2,FALSE)</f>
        <v>Sõidukite ülalpidamise kulud</v>
      </c>
      <c r="L626">
        <v>55</v>
      </c>
      <c r="M626" t="str">
        <f t="shared" si="19"/>
        <v>55</v>
      </c>
      <c r="N626" s="3" t="str">
        <f>VLOOKUP(Table2[[#This Row],[Tulu/kulu liik2]],Table5[[Tulu/kulu liik]:[Kontode koondnimetus]],4,FALSE)</f>
        <v>Muud tegevuskulud</v>
      </c>
      <c r="O626" s="3" t="str">
        <f>VLOOKUP(Table2[[#This Row],[Tulu/kulu liik2]],Table5[],6,FALSE)</f>
        <v>Majandamiskulud</v>
      </c>
      <c r="P626" s="3" t="str">
        <f>VLOOKUP(Table2[[#This Row],[Tulu/kulu liik2]],Table5[],5,FALSE)</f>
        <v>Põhitegevuse kulu</v>
      </c>
    </row>
    <row r="627" spans="1:16" x14ac:dyDescent="0.25">
      <c r="A627" t="str">
        <f t="shared" si="18"/>
        <v>09</v>
      </c>
      <c r="B627" t="s">
        <v>327</v>
      </c>
      <c r="C627" s="3" t="str">
        <f>VLOOKUP(Table2[[#This Row],[Tegevusala]],Table4[],2,FALSE)</f>
        <v xml:space="preserve"> Pajusti Lasteaed</v>
      </c>
      <c r="D627" s="3" t="str">
        <f>VLOOKUP(Table2[[#This Row],[Tegevusala]],Table4[[Tegevusala kood]:[Tegevusala alanimetus]],4,FALSE)</f>
        <v>Alusharidus</v>
      </c>
      <c r="E627" s="3" t="str">
        <f>VLOOKUP(Table2[[#This Row],[Tegevusala nimetus2]],Table4[[Tegevusala nimetus]:[Tegevusala koondnimetus]],2,FALSE)</f>
        <v>Haridus</v>
      </c>
      <c r="F627" t="s">
        <v>1273</v>
      </c>
      <c r="G627" t="s">
        <v>1300</v>
      </c>
      <c r="H627" s="40">
        <v>600</v>
      </c>
      <c r="J627">
        <v>5515</v>
      </c>
      <c r="K627" s="3" t="str">
        <f>VLOOKUP(Table2[[#This Row],[Konto]],Table5[[Konto]:[Konto nimetus]],2,FALSE)</f>
        <v>Inventari kulud, v.a infotehnoloogia ja kaitseotstarbelised kulud</v>
      </c>
      <c r="L627">
        <v>55</v>
      </c>
      <c r="M627" t="str">
        <f t="shared" si="19"/>
        <v>55</v>
      </c>
      <c r="N627" s="3" t="str">
        <f>VLOOKUP(Table2[[#This Row],[Tulu/kulu liik2]],Table5[[Tulu/kulu liik]:[Kontode koondnimetus]],4,FALSE)</f>
        <v>Muud tegevuskulud</v>
      </c>
      <c r="O627" s="3" t="str">
        <f>VLOOKUP(Table2[[#This Row],[Tulu/kulu liik2]],Table5[],6,FALSE)</f>
        <v>Majandamiskulud</v>
      </c>
      <c r="P627" s="3" t="str">
        <f>VLOOKUP(Table2[[#This Row],[Tulu/kulu liik2]],Table5[],5,FALSE)</f>
        <v>Põhitegevuse kulu</v>
      </c>
    </row>
    <row r="628" spans="1:16" x14ac:dyDescent="0.25">
      <c r="A628" t="str">
        <f t="shared" si="18"/>
        <v>09</v>
      </c>
      <c r="B628" t="s">
        <v>327</v>
      </c>
      <c r="C628" s="3" t="str">
        <f>VLOOKUP(Table2[[#This Row],[Tegevusala]],Table4[],2,FALSE)</f>
        <v xml:space="preserve"> Pajusti Lasteaed</v>
      </c>
      <c r="D628" s="3" t="str">
        <f>VLOOKUP(Table2[[#This Row],[Tegevusala]],Table4[[Tegevusala kood]:[Tegevusala alanimetus]],4,FALSE)</f>
        <v>Alusharidus</v>
      </c>
      <c r="E628" s="3" t="str">
        <f>VLOOKUP(Table2[[#This Row],[Tegevusala nimetus2]],Table4[[Tegevusala nimetus]:[Tegevusala koondnimetus]],2,FALSE)</f>
        <v>Haridus</v>
      </c>
      <c r="F628" t="s">
        <v>1273</v>
      </c>
      <c r="G628" t="s">
        <v>1301</v>
      </c>
      <c r="H628" s="40">
        <v>140</v>
      </c>
      <c r="J628">
        <v>5515</v>
      </c>
      <c r="K628" s="3" t="str">
        <f>VLOOKUP(Table2[[#This Row],[Konto]],Table5[[Konto]:[Konto nimetus]],2,FALSE)</f>
        <v>Inventari kulud, v.a infotehnoloogia ja kaitseotstarbelised kulud</v>
      </c>
      <c r="L628">
        <v>55</v>
      </c>
      <c r="M628" t="str">
        <f t="shared" si="19"/>
        <v>55</v>
      </c>
      <c r="N628" s="3" t="str">
        <f>VLOOKUP(Table2[[#This Row],[Tulu/kulu liik2]],Table5[[Tulu/kulu liik]:[Kontode koondnimetus]],4,FALSE)</f>
        <v>Muud tegevuskulud</v>
      </c>
      <c r="O628" s="3" t="str">
        <f>VLOOKUP(Table2[[#This Row],[Tulu/kulu liik2]],Table5[],6,FALSE)</f>
        <v>Majandamiskulud</v>
      </c>
      <c r="P628" s="3" t="str">
        <f>VLOOKUP(Table2[[#This Row],[Tulu/kulu liik2]],Table5[],5,FALSE)</f>
        <v>Põhitegevuse kulu</v>
      </c>
    </row>
    <row r="629" spans="1:16" x14ac:dyDescent="0.25">
      <c r="A629" t="str">
        <f t="shared" si="18"/>
        <v>09</v>
      </c>
      <c r="B629" t="s">
        <v>327</v>
      </c>
      <c r="C629" s="3" t="str">
        <f>VLOOKUP(Table2[[#This Row],[Tegevusala]],Table4[],2,FALSE)</f>
        <v xml:space="preserve"> Pajusti Lasteaed</v>
      </c>
      <c r="D629" s="3" t="str">
        <f>VLOOKUP(Table2[[#This Row],[Tegevusala]],Table4[[Tegevusala kood]:[Tegevusala alanimetus]],4,FALSE)</f>
        <v>Alusharidus</v>
      </c>
      <c r="E629" s="3" t="str">
        <f>VLOOKUP(Table2[[#This Row],[Tegevusala nimetus2]],Table4[[Tegevusala nimetus]:[Tegevusala koondnimetus]],2,FALSE)</f>
        <v>Haridus</v>
      </c>
      <c r="F629" t="s">
        <v>1273</v>
      </c>
      <c r="G629" t="s">
        <v>1302</v>
      </c>
      <c r="H629" s="40">
        <v>6500</v>
      </c>
      <c r="I629" s="2" t="s">
        <v>1303</v>
      </c>
      <c r="J629">
        <v>5521</v>
      </c>
      <c r="K629" s="3" t="str">
        <f>VLOOKUP(Table2[[#This Row],[Konto]],Table5[[Konto]:[Konto nimetus]],2,FALSE)</f>
        <v>Toiduained ja toitlustusteenused</v>
      </c>
      <c r="L629">
        <v>55</v>
      </c>
      <c r="M629" t="str">
        <f t="shared" si="19"/>
        <v>55</v>
      </c>
      <c r="N629" s="3" t="str">
        <f>VLOOKUP(Table2[[#This Row],[Tulu/kulu liik2]],Table5[[Tulu/kulu liik]:[Kontode koondnimetus]],4,FALSE)</f>
        <v>Muud tegevuskulud</v>
      </c>
      <c r="O629" s="3" t="str">
        <f>VLOOKUP(Table2[[#This Row],[Tulu/kulu liik2]],Table5[],6,FALSE)</f>
        <v>Majandamiskulud</v>
      </c>
      <c r="P629" s="3" t="str">
        <f>VLOOKUP(Table2[[#This Row],[Tulu/kulu liik2]],Table5[],5,FALSE)</f>
        <v>Põhitegevuse kulu</v>
      </c>
    </row>
    <row r="630" spans="1:16" x14ac:dyDescent="0.25">
      <c r="A630" t="str">
        <f t="shared" si="18"/>
        <v>09</v>
      </c>
      <c r="B630" t="s">
        <v>327</v>
      </c>
      <c r="C630" s="3" t="str">
        <f>VLOOKUP(Table2[[#This Row],[Tegevusala]],Table4[],2,FALSE)</f>
        <v xml:space="preserve"> Pajusti Lasteaed</v>
      </c>
      <c r="D630" s="3" t="str">
        <f>VLOOKUP(Table2[[#This Row],[Tegevusala]],Table4[[Tegevusala kood]:[Tegevusala alanimetus]],4,FALSE)</f>
        <v>Alusharidus</v>
      </c>
      <c r="E630" s="3" t="str">
        <f>VLOOKUP(Table2[[#This Row],[Tegevusala nimetus2]],Table4[[Tegevusala nimetus]:[Tegevusala koondnimetus]],2,FALSE)</f>
        <v>Haridus</v>
      </c>
      <c r="F630" t="s">
        <v>1273</v>
      </c>
      <c r="G630" t="s">
        <v>1304</v>
      </c>
      <c r="H630" s="40">
        <v>80</v>
      </c>
      <c r="J630">
        <v>5522</v>
      </c>
      <c r="K630" s="3" t="str">
        <f>VLOOKUP(Table2[[#This Row],[Konto]],Table5[[Konto]:[Konto nimetus]],2,FALSE)</f>
        <v>Meditsiinikulud ja hügieenitarbed</v>
      </c>
      <c r="L630">
        <v>55</v>
      </c>
      <c r="M630" t="str">
        <f t="shared" si="19"/>
        <v>55</v>
      </c>
      <c r="N630" s="3" t="str">
        <f>VLOOKUP(Table2[[#This Row],[Tulu/kulu liik2]],Table5[[Tulu/kulu liik]:[Kontode koondnimetus]],4,FALSE)</f>
        <v>Muud tegevuskulud</v>
      </c>
      <c r="O630" s="3" t="str">
        <f>VLOOKUP(Table2[[#This Row],[Tulu/kulu liik2]],Table5[],6,FALSE)</f>
        <v>Majandamiskulud</v>
      </c>
      <c r="P630" s="3" t="str">
        <f>VLOOKUP(Table2[[#This Row],[Tulu/kulu liik2]],Table5[],5,FALSE)</f>
        <v>Põhitegevuse kulu</v>
      </c>
    </row>
    <row r="631" spans="1:16" x14ac:dyDescent="0.25">
      <c r="A631" t="str">
        <f t="shared" si="18"/>
        <v>09</v>
      </c>
      <c r="B631" t="s">
        <v>327</v>
      </c>
      <c r="C631" s="3" t="str">
        <f>VLOOKUP(Table2[[#This Row],[Tegevusala]],Table4[],2,FALSE)</f>
        <v xml:space="preserve"> Pajusti Lasteaed</v>
      </c>
      <c r="D631" s="3" t="str">
        <f>VLOOKUP(Table2[[#This Row],[Tegevusala]],Table4[[Tegevusala kood]:[Tegevusala alanimetus]],4,FALSE)</f>
        <v>Alusharidus</v>
      </c>
      <c r="E631" s="3" t="str">
        <f>VLOOKUP(Table2[[#This Row],[Tegevusala nimetus2]],Table4[[Tegevusala nimetus]:[Tegevusala koondnimetus]],2,FALSE)</f>
        <v>Haridus</v>
      </c>
      <c r="F631" t="s">
        <v>1273</v>
      </c>
      <c r="G631" t="s">
        <v>1305</v>
      </c>
      <c r="H631" s="40">
        <v>4800</v>
      </c>
      <c r="J631">
        <v>5524</v>
      </c>
      <c r="K631" s="3" t="str">
        <f>VLOOKUP(Table2[[#This Row],[Konto]],Table5[[Konto]:[Konto nimetus]],2,FALSE)</f>
        <v>Õppevahendid</v>
      </c>
      <c r="L631">
        <v>55</v>
      </c>
      <c r="M631" t="str">
        <f t="shared" si="19"/>
        <v>55</v>
      </c>
      <c r="N631" s="3" t="str">
        <f>VLOOKUP(Table2[[#This Row],[Tulu/kulu liik2]],Table5[[Tulu/kulu liik]:[Kontode koondnimetus]],4,FALSE)</f>
        <v>Muud tegevuskulud</v>
      </c>
      <c r="O631" s="3" t="str">
        <f>VLOOKUP(Table2[[#This Row],[Tulu/kulu liik2]],Table5[],6,FALSE)</f>
        <v>Majandamiskulud</v>
      </c>
      <c r="P631" s="3" t="str">
        <f>VLOOKUP(Table2[[#This Row],[Tulu/kulu liik2]],Table5[],5,FALSE)</f>
        <v>Põhitegevuse kulu</v>
      </c>
    </row>
    <row r="632" spans="1:16" x14ac:dyDescent="0.25">
      <c r="A632" t="str">
        <f t="shared" si="18"/>
        <v>09</v>
      </c>
      <c r="B632" t="s">
        <v>327</v>
      </c>
      <c r="C632" s="3" t="str">
        <f>VLOOKUP(Table2[[#This Row],[Tegevusala]],Table4[],2,FALSE)</f>
        <v xml:space="preserve"> Pajusti Lasteaed</v>
      </c>
      <c r="D632" s="3" t="str">
        <f>VLOOKUP(Table2[[#This Row],[Tegevusala]],Table4[[Tegevusala kood]:[Tegevusala alanimetus]],4,FALSE)</f>
        <v>Alusharidus</v>
      </c>
      <c r="E632" s="3" t="str">
        <f>VLOOKUP(Table2[[#This Row],[Tegevusala nimetus2]],Table4[[Tegevusala nimetus]:[Tegevusala koondnimetus]],2,FALSE)</f>
        <v>Haridus</v>
      </c>
      <c r="F632" t="s">
        <v>1273</v>
      </c>
      <c r="G632" t="s">
        <v>1306</v>
      </c>
      <c r="H632" s="40">
        <v>200</v>
      </c>
      <c r="J632">
        <v>5525</v>
      </c>
      <c r="K632" s="3" t="str">
        <f>VLOOKUP(Table2[[#This Row],[Konto]],Table5[[Konto]:[Konto nimetus]],2,FALSE)</f>
        <v>Kommunikatsiooni-, kultuuri- ja vaba aja sisustamise kulud</v>
      </c>
      <c r="L632">
        <v>55</v>
      </c>
      <c r="M632" t="str">
        <f t="shared" si="19"/>
        <v>55</v>
      </c>
      <c r="N632" s="3" t="str">
        <f>VLOOKUP(Table2[[#This Row],[Tulu/kulu liik2]],Table5[[Tulu/kulu liik]:[Kontode koondnimetus]],4,FALSE)</f>
        <v>Muud tegevuskulud</v>
      </c>
      <c r="O632" s="3" t="str">
        <f>VLOOKUP(Table2[[#This Row],[Tulu/kulu liik2]],Table5[],6,FALSE)</f>
        <v>Majandamiskulud</v>
      </c>
      <c r="P632" s="3" t="str">
        <f>VLOOKUP(Table2[[#This Row],[Tulu/kulu liik2]],Table5[],5,FALSE)</f>
        <v>Põhitegevuse kulu</v>
      </c>
    </row>
    <row r="633" spans="1:16" x14ac:dyDescent="0.25">
      <c r="A633" t="str">
        <f t="shared" si="18"/>
        <v>09</v>
      </c>
      <c r="B633" t="s">
        <v>327</v>
      </c>
      <c r="C633" s="3" t="str">
        <f>VLOOKUP(Table2[[#This Row],[Tegevusala]],Table4[],2,FALSE)</f>
        <v xml:space="preserve"> Pajusti Lasteaed</v>
      </c>
      <c r="D633" s="3" t="str">
        <f>VLOOKUP(Table2[[#This Row],[Tegevusala]],Table4[[Tegevusala kood]:[Tegevusala alanimetus]],4,FALSE)</f>
        <v>Alusharidus</v>
      </c>
      <c r="E633" s="3" t="str">
        <f>VLOOKUP(Table2[[#This Row],[Tegevusala nimetus2]],Table4[[Tegevusala nimetus]:[Tegevusala koondnimetus]],2,FALSE)</f>
        <v>Haridus</v>
      </c>
      <c r="F633" t="s">
        <v>1273</v>
      </c>
      <c r="G633" t="s">
        <v>1307</v>
      </c>
      <c r="H633" s="40">
        <v>350</v>
      </c>
      <c r="J633">
        <v>5525</v>
      </c>
      <c r="K633" s="3" t="str">
        <f>VLOOKUP(Table2[[#This Row],[Konto]],Table5[[Konto]:[Konto nimetus]],2,FALSE)</f>
        <v>Kommunikatsiooni-, kultuuri- ja vaba aja sisustamise kulud</v>
      </c>
      <c r="L633">
        <v>55</v>
      </c>
      <c r="M633" t="str">
        <f t="shared" si="19"/>
        <v>55</v>
      </c>
      <c r="N633" s="3" t="str">
        <f>VLOOKUP(Table2[[#This Row],[Tulu/kulu liik2]],Table5[[Tulu/kulu liik]:[Kontode koondnimetus]],4,FALSE)</f>
        <v>Muud tegevuskulud</v>
      </c>
      <c r="O633" s="3" t="str">
        <f>VLOOKUP(Table2[[#This Row],[Tulu/kulu liik2]],Table5[],6,FALSE)</f>
        <v>Majandamiskulud</v>
      </c>
      <c r="P633" s="3" t="str">
        <f>VLOOKUP(Table2[[#This Row],[Tulu/kulu liik2]],Table5[],5,FALSE)</f>
        <v>Põhitegevuse kulu</v>
      </c>
    </row>
    <row r="634" spans="1:16" x14ac:dyDescent="0.25">
      <c r="A634" t="str">
        <f t="shared" si="18"/>
        <v>09</v>
      </c>
      <c r="B634" t="s">
        <v>327</v>
      </c>
      <c r="C634" s="3" t="str">
        <f>VLOOKUP(Table2[[#This Row],[Tegevusala]],Table4[],2,FALSE)</f>
        <v xml:space="preserve"> Pajusti Lasteaed</v>
      </c>
      <c r="D634" s="3" t="str">
        <f>VLOOKUP(Table2[[#This Row],[Tegevusala]],Table4[[Tegevusala kood]:[Tegevusala alanimetus]],4,FALSE)</f>
        <v>Alusharidus</v>
      </c>
      <c r="E634" s="3" t="str">
        <f>VLOOKUP(Table2[[#This Row],[Tegevusala nimetus2]],Table4[[Tegevusala nimetus]:[Tegevusala koondnimetus]],2,FALSE)</f>
        <v>Haridus</v>
      </c>
      <c r="F634" t="s">
        <v>1273</v>
      </c>
      <c r="G634" t="s">
        <v>177</v>
      </c>
      <c r="H634" s="40">
        <v>6951</v>
      </c>
      <c r="I634" s="2" t="s">
        <v>1285</v>
      </c>
      <c r="J634">
        <v>5511</v>
      </c>
      <c r="K634" s="3" t="str">
        <f>VLOOKUP(Table2[[#This Row],[Konto]],Table5[[Konto]:[Konto nimetus]],2,FALSE)</f>
        <v>Kinnistute, hoonete ja ruumide majandamiskulud</v>
      </c>
      <c r="L634">
        <v>55</v>
      </c>
      <c r="M634" t="str">
        <f t="shared" si="19"/>
        <v>55</v>
      </c>
      <c r="N634" s="3" t="str">
        <f>VLOOKUP(Table2[[#This Row],[Tulu/kulu liik2]],Table5[[Tulu/kulu liik]:[Kontode koondnimetus]],4,FALSE)</f>
        <v>Muud tegevuskulud</v>
      </c>
      <c r="O634" s="3" t="str">
        <f>VLOOKUP(Table2[[#This Row],[Tulu/kulu liik2]],Table5[],6,FALSE)</f>
        <v>Majandamiskulud</v>
      </c>
      <c r="P634" s="3" t="str">
        <f>VLOOKUP(Table2[[#This Row],[Tulu/kulu liik2]],Table5[],5,FALSE)</f>
        <v>Põhitegevuse kulu</v>
      </c>
    </row>
    <row r="635" spans="1:16" x14ac:dyDescent="0.25">
      <c r="A635" t="str">
        <f t="shared" si="18"/>
        <v>09</v>
      </c>
      <c r="B635" t="s">
        <v>327</v>
      </c>
      <c r="C635" s="3" t="str">
        <f>VLOOKUP(Table2[[#This Row],[Tegevusala]],Table4[],2,FALSE)</f>
        <v xml:space="preserve"> Pajusti Lasteaed</v>
      </c>
      <c r="D635" s="3" t="str">
        <f>VLOOKUP(Table2[[#This Row],[Tegevusala]],Table4[[Tegevusala kood]:[Tegevusala alanimetus]],4,FALSE)</f>
        <v>Alusharidus</v>
      </c>
      <c r="E635" s="3" t="str">
        <f>VLOOKUP(Table2[[#This Row],[Tegevusala nimetus2]],Table4[[Tegevusala nimetus]:[Tegevusala koondnimetus]],2,FALSE)</f>
        <v>Haridus</v>
      </c>
      <c r="F635" t="s">
        <v>1273</v>
      </c>
      <c r="G635" t="s">
        <v>178</v>
      </c>
      <c r="H635" s="40">
        <v>2860</v>
      </c>
      <c r="I635" s="2" t="s">
        <v>1286</v>
      </c>
      <c r="J635">
        <v>5511</v>
      </c>
      <c r="K635" s="3" t="str">
        <f>VLOOKUP(Table2[[#This Row],[Konto]],Table5[[Konto]:[Konto nimetus]],2,FALSE)</f>
        <v>Kinnistute, hoonete ja ruumide majandamiskulud</v>
      </c>
      <c r="L635">
        <v>55</v>
      </c>
      <c r="M635" t="str">
        <f t="shared" si="19"/>
        <v>55</v>
      </c>
      <c r="N635" s="3" t="str">
        <f>VLOOKUP(Table2[[#This Row],[Tulu/kulu liik2]],Table5[[Tulu/kulu liik]:[Kontode koondnimetus]],4,FALSE)</f>
        <v>Muud tegevuskulud</v>
      </c>
      <c r="O635" s="3" t="str">
        <f>VLOOKUP(Table2[[#This Row],[Tulu/kulu liik2]],Table5[],6,FALSE)</f>
        <v>Majandamiskulud</v>
      </c>
      <c r="P635" s="3" t="str">
        <f>VLOOKUP(Table2[[#This Row],[Tulu/kulu liik2]],Table5[],5,FALSE)</f>
        <v>Põhitegevuse kulu</v>
      </c>
    </row>
    <row r="636" spans="1:16" x14ac:dyDescent="0.25">
      <c r="A636" t="str">
        <f t="shared" si="18"/>
        <v>09</v>
      </c>
      <c r="B636" t="s">
        <v>327</v>
      </c>
      <c r="C636" s="3" t="str">
        <f>VLOOKUP(Table2[[#This Row],[Tegevusala]],Table4[],2,FALSE)</f>
        <v xml:space="preserve"> Pajusti Lasteaed</v>
      </c>
      <c r="D636" s="3" t="str">
        <f>VLOOKUP(Table2[[#This Row],[Tegevusala]],Table4[[Tegevusala kood]:[Tegevusala alanimetus]],4,FALSE)</f>
        <v>Alusharidus</v>
      </c>
      <c r="E636" s="3" t="str">
        <f>VLOOKUP(Table2[[#This Row],[Tegevusala nimetus2]],Table4[[Tegevusala nimetus]:[Tegevusala koondnimetus]],2,FALSE)</f>
        <v>Haridus</v>
      </c>
      <c r="F636" t="s">
        <v>1273</v>
      </c>
      <c r="G636" t="s">
        <v>443</v>
      </c>
      <c r="H636" s="40">
        <v>927</v>
      </c>
      <c r="I636" s="2" t="s">
        <v>1287</v>
      </c>
      <c r="J636">
        <v>5511</v>
      </c>
      <c r="K636" s="3" t="str">
        <f>VLOOKUP(Table2[[#This Row],[Konto]],Table5[[Konto]:[Konto nimetus]],2,FALSE)</f>
        <v>Kinnistute, hoonete ja ruumide majandamiskulud</v>
      </c>
      <c r="L636">
        <v>55</v>
      </c>
      <c r="M636" t="str">
        <f t="shared" si="19"/>
        <v>55</v>
      </c>
      <c r="N636" s="3" t="str">
        <f>VLOOKUP(Table2[[#This Row],[Tulu/kulu liik2]],Table5[[Tulu/kulu liik]:[Kontode koondnimetus]],4,FALSE)</f>
        <v>Muud tegevuskulud</v>
      </c>
      <c r="O636" s="3" t="str">
        <f>VLOOKUP(Table2[[#This Row],[Tulu/kulu liik2]],Table5[],6,FALSE)</f>
        <v>Majandamiskulud</v>
      </c>
      <c r="P636" s="3" t="str">
        <f>VLOOKUP(Table2[[#This Row],[Tulu/kulu liik2]],Table5[],5,FALSE)</f>
        <v>Põhitegevuse kulu</v>
      </c>
    </row>
    <row r="637" spans="1:16" x14ac:dyDescent="0.25">
      <c r="A637" t="str">
        <f t="shared" si="18"/>
        <v>09</v>
      </c>
      <c r="B637" t="s">
        <v>327</v>
      </c>
      <c r="C637" s="3" t="str">
        <f>VLOOKUP(Table2[[#This Row],[Tegevusala]],Table4[],2,FALSE)</f>
        <v xml:space="preserve"> Pajusti Lasteaed</v>
      </c>
      <c r="D637" s="3" t="str">
        <f>VLOOKUP(Table2[[#This Row],[Tegevusala]],Table4[[Tegevusala kood]:[Tegevusala alanimetus]],4,FALSE)</f>
        <v>Alusharidus</v>
      </c>
      <c r="E637" s="3" t="str">
        <f>VLOOKUP(Table2[[#This Row],[Tegevusala nimetus2]],Table4[[Tegevusala nimetus]:[Tegevusala koondnimetus]],2,FALSE)</f>
        <v>Haridus</v>
      </c>
      <c r="F637" t="s">
        <v>1273</v>
      </c>
      <c r="G637" t="s">
        <v>194</v>
      </c>
      <c r="H637" s="40">
        <v>1300</v>
      </c>
      <c r="I637" s="2" t="s">
        <v>1288</v>
      </c>
      <c r="J637">
        <v>5511</v>
      </c>
      <c r="K637" s="3" t="str">
        <f>VLOOKUP(Table2[[#This Row],[Konto]],Table5[[Konto]:[Konto nimetus]],2,FALSE)</f>
        <v>Kinnistute, hoonete ja ruumide majandamiskulud</v>
      </c>
      <c r="L637">
        <v>55</v>
      </c>
      <c r="M637" t="str">
        <f t="shared" si="19"/>
        <v>55</v>
      </c>
      <c r="N637" s="3" t="str">
        <f>VLOOKUP(Table2[[#This Row],[Tulu/kulu liik2]],Table5[[Tulu/kulu liik]:[Kontode koondnimetus]],4,FALSE)</f>
        <v>Muud tegevuskulud</v>
      </c>
      <c r="O637" s="3" t="str">
        <f>VLOOKUP(Table2[[#This Row],[Tulu/kulu liik2]],Table5[],6,FALSE)</f>
        <v>Majandamiskulud</v>
      </c>
      <c r="P637" s="3" t="str">
        <f>VLOOKUP(Table2[[#This Row],[Tulu/kulu liik2]],Table5[],5,FALSE)</f>
        <v>Põhitegevuse kulu</v>
      </c>
    </row>
    <row r="638" spans="1:16" x14ac:dyDescent="0.25">
      <c r="A638" t="str">
        <f t="shared" si="18"/>
        <v>09</v>
      </c>
      <c r="B638" t="s">
        <v>327</v>
      </c>
      <c r="C638" s="3" t="str">
        <f>VLOOKUP(Table2[[#This Row],[Tegevusala]],Table4[],2,FALSE)</f>
        <v xml:space="preserve"> Pajusti Lasteaed</v>
      </c>
      <c r="D638" s="3" t="str">
        <f>VLOOKUP(Table2[[#This Row],[Tegevusala]],Table4[[Tegevusala kood]:[Tegevusala alanimetus]],4,FALSE)</f>
        <v>Alusharidus</v>
      </c>
      <c r="E638" s="3" t="str">
        <f>VLOOKUP(Table2[[#This Row],[Tegevusala nimetus2]],Table4[[Tegevusala nimetus]:[Tegevusala koondnimetus]],2,FALSE)</f>
        <v>Haridus</v>
      </c>
      <c r="F638" t="s">
        <v>1273</v>
      </c>
      <c r="G638" t="s">
        <v>1289</v>
      </c>
      <c r="H638" s="40">
        <v>184</v>
      </c>
      <c r="I638" s="2" t="s">
        <v>1290</v>
      </c>
      <c r="J638">
        <v>5511</v>
      </c>
      <c r="K638" s="3" t="str">
        <f>VLOOKUP(Table2[[#This Row],[Konto]],Table5[[Konto]:[Konto nimetus]],2,FALSE)</f>
        <v>Kinnistute, hoonete ja ruumide majandamiskulud</v>
      </c>
      <c r="L638">
        <v>55</v>
      </c>
      <c r="M638" t="str">
        <f t="shared" si="19"/>
        <v>55</v>
      </c>
      <c r="N638" s="3" t="str">
        <f>VLOOKUP(Table2[[#This Row],[Tulu/kulu liik2]],Table5[[Tulu/kulu liik]:[Kontode koondnimetus]],4,FALSE)</f>
        <v>Muud tegevuskulud</v>
      </c>
      <c r="O638" s="3" t="str">
        <f>VLOOKUP(Table2[[#This Row],[Tulu/kulu liik2]],Table5[],6,FALSE)</f>
        <v>Majandamiskulud</v>
      </c>
      <c r="P638" s="3" t="str">
        <f>VLOOKUP(Table2[[#This Row],[Tulu/kulu liik2]],Table5[],5,FALSE)</f>
        <v>Põhitegevuse kulu</v>
      </c>
    </row>
    <row r="639" spans="1:16" x14ac:dyDescent="0.25">
      <c r="A639" t="str">
        <f t="shared" si="18"/>
        <v>09</v>
      </c>
      <c r="B639" t="s">
        <v>327</v>
      </c>
      <c r="C639" s="3" t="str">
        <f>VLOOKUP(Table2[[#This Row],[Tegevusala]],Table4[],2,FALSE)</f>
        <v xml:space="preserve"> Pajusti Lasteaed</v>
      </c>
      <c r="D639" s="3" t="str">
        <f>VLOOKUP(Table2[[#This Row],[Tegevusala]],Table4[[Tegevusala kood]:[Tegevusala alanimetus]],4,FALSE)</f>
        <v>Alusharidus</v>
      </c>
      <c r="E639" s="3" t="str">
        <f>VLOOKUP(Table2[[#This Row],[Tegevusala nimetus2]],Table4[[Tegevusala nimetus]:[Tegevusala koondnimetus]],2,FALSE)</f>
        <v>Haridus</v>
      </c>
      <c r="F639" t="s">
        <v>1273</v>
      </c>
      <c r="G639" t="s">
        <v>1291</v>
      </c>
      <c r="H639" s="40">
        <v>540</v>
      </c>
      <c r="I639" s="2" t="s">
        <v>1292</v>
      </c>
      <c r="J639">
        <v>5511</v>
      </c>
      <c r="K639" s="3" t="str">
        <f>VLOOKUP(Table2[[#This Row],[Konto]],Table5[[Konto]:[Konto nimetus]],2,FALSE)</f>
        <v>Kinnistute, hoonete ja ruumide majandamiskulud</v>
      </c>
      <c r="L639">
        <v>55</v>
      </c>
      <c r="M639" t="str">
        <f t="shared" si="19"/>
        <v>55</v>
      </c>
      <c r="N639" s="3" t="str">
        <f>VLOOKUP(Table2[[#This Row],[Tulu/kulu liik2]],Table5[[Tulu/kulu liik]:[Kontode koondnimetus]],4,FALSE)</f>
        <v>Muud tegevuskulud</v>
      </c>
      <c r="O639" s="3" t="str">
        <f>VLOOKUP(Table2[[#This Row],[Tulu/kulu liik2]],Table5[],6,FALSE)</f>
        <v>Majandamiskulud</v>
      </c>
      <c r="P639" s="3" t="str">
        <f>VLOOKUP(Table2[[#This Row],[Tulu/kulu liik2]],Table5[],5,FALSE)</f>
        <v>Põhitegevuse kulu</v>
      </c>
    </row>
    <row r="640" spans="1:16" x14ac:dyDescent="0.25">
      <c r="A640" t="str">
        <f t="shared" si="18"/>
        <v>09</v>
      </c>
      <c r="B640" t="s">
        <v>327</v>
      </c>
      <c r="C640" s="3" t="str">
        <f>VLOOKUP(Table2[[#This Row],[Tegevusala]],Table4[],2,FALSE)</f>
        <v xml:space="preserve"> Pajusti Lasteaed</v>
      </c>
      <c r="D640" s="3" t="str">
        <f>VLOOKUP(Table2[[#This Row],[Tegevusala]],Table4[[Tegevusala kood]:[Tegevusala alanimetus]],4,FALSE)</f>
        <v>Alusharidus</v>
      </c>
      <c r="E640" s="3" t="str">
        <f>VLOOKUP(Table2[[#This Row],[Tegevusala nimetus2]],Table4[[Tegevusala nimetus]:[Tegevusala koondnimetus]],2,FALSE)</f>
        <v>Haridus</v>
      </c>
      <c r="F640" t="s">
        <v>1273</v>
      </c>
      <c r="G640" t="s">
        <v>1293</v>
      </c>
      <c r="H640" s="40">
        <v>240</v>
      </c>
      <c r="I640" s="2" t="s">
        <v>1294</v>
      </c>
      <c r="J640">
        <v>5511</v>
      </c>
      <c r="K640" s="3" t="str">
        <f>VLOOKUP(Table2[[#This Row],[Konto]],Table5[[Konto]:[Konto nimetus]],2,FALSE)</f>
        <v>Kinnistute, hoonete ja ruumide majandamiskulud</v>
      </c>
      <c r="L640">
        <v>55</v>
      </c>
      <c r="M640" t="str">
        <f t="shared" si="19"/>
        <v>55</v>
      </c>
      <c r="N640" s="3" t="str">
        <f>VLOOKUP(Table2[[#This Row],[Tulu/kulu liik2]],Table5[[Tulu/kulu liik]:[Kontode koondnimetus]],4,FALSE)</f>
        <v>Muud tegevuskulud</v>
      </c>
      <c r="O640" s="3" t="str">
        <f>VLOOKUP(Table2[[#This Row],[Tulu/kulu liik2]],Table5[],6,FALSE)</f>
        <v>Majandamiskulud</v>
      </c>
      <c r="P640" s="3" t="str">
        <f>VLOOKUP(Table2[[#This Row],[Tulu/kulu liik2]],Table5[],5,FALSE)</f>
        <v>Põhitegevuse kulu</v>
      </c>
    </row>
    <row r="641" spans="1:16" x14ac:dyDescent="0.25">
      <c r="A641" t="str">
        <f t="shared" si="18"/>
        <v>09</v>
      </c>
      <c r="B641" t="s">
        <v>327</v>
      </c>
      <c r="C641" s="3" t="str">
        <f>VLOOKUP(Table2[[#This Row],[Tegevusala]],Table4[],2,FALSE)</f>
        <v xml:space="preserve"> Pajusti Lasteaed</v>
      </c>
      <c r="D641" s="3" t="str">
        <f>VLOOKUP(Table2[[#This Row],[Tegevusala]],Table4[[Tegevusala kood]:[Tegevusala alanimetus]],4,FALSE)</f>
        <v>Alusharidus</v>
      </c>
      <c r="E641" s="3" t="str">
        <f>VLOOKUP(Table2[[#This Row],[Tegevusala nimetus2]],Table4[[Tegevusala nimetus]:[Tegevusala koondnimetus]],2,FALSE)</f>
        <v>Haridus</v>
      </c>
      <c r="F641" t="s">
        <v>1273</v>
      </c>
      <c r="G641" t="s">
        <v>1295</v>
      </c>
      <c r="H641" s="40">
        <v>117</v>
      </c>
      <c r="I641" s="2" t="s">
        <v>1296</v>
      </c>
      <c r="J641">
        <v>5511</v>
      </c>
      <c r="K641" s="3" t="str">
        <f>VLOOKUP(Table2[[#This Row],[Konto]],Table5[[Konto]:[Konto nimetus]],2,FALSE)</f>
        <v>Kinnistute, hoonete ja ruumide majandamiskulud</v>
      </c>
      <c r="L641">
        <v>55</v>
      </c>
      <c r="M641" t="str">
        <f t="shared" si="19"/>
        <v>55</v>
      </c>
      <c r="N641" s="3" t="str">
        <f>VLOOKUP(Table2[[#This Row],[Tulu/kulu liik2]],Table5[[Tulu/kulu liik]:[Kontode koondnimetus]],4,FALSE)</f>
        <v>Muud tegevuskulud</v>
      </c>
      <c r="O641" s="3" t="str">
        <f>VLOOKUP(Table2[[#This Row],[Tulu/kulu liik2]],Table5[],6,FALSE)</f>
        <v>Majandamiskulud</v>
      </c>
      <c r="P641" s="3" t="str">
        <f>VLOOKUP(Table2[[#This Row],[Tulu/kulu liik2]],Table5[],5,FALSE)</f>
        <v>Põhitegevuse kulu</v>
      </c>
    </row>
    <row r="642" spans="1:16" x14ac:dyDescent="0.25">
      <c r="A642" t="str">
        <f t="shared" ref="A642:A705" si="20">LEFT(B642,2)</f>
        <v>09</v>
      </c>
      <c r="B642" t="s">
        <v>327</v>
      </c>
      <c r="C642" s="3" t="str">
        <f>VLOOKUP(Table2[[#This Row],[Tegevusala]],Table4[],2,FALSE)</f>
        <v xml:space="preserve"> Pajusti Lasteaed</v>
      </c>
      <c r="D642" s="3" t="str">
        <f>VLOOKUP(Table2[[#This Row],[Tegevusala]],Table4[[Tegevusala kood]:[Tegevusala alanimetus]],4,FALSE)</f>
        <v>Alusharidus</v>
      </c>
      <c r="E642" s="3" t="str">
        <f>VLOOKUP(Table2[[#This Row],[Tegevusala nimetus2]],Table4[[Tegevusala nimetus]:[Tegevusala koondnimetus]],2,FALSE)</f>
        <v>Haridus</v>
      </c>
      <c r="F642" t="s">
        <v>1273</v>
      </c>
      <c r="G642" t="s">
        <v>1283</v>
      </c>
      <c r="H642" s="40">
        <v>260</v>
      </c>
      <c r="J642">
        <v>5514</v>
      </c>
      <c r="K642" s="3" t="str">
        <f>VLOOKUP(Table2[[#This Row],[Konto]],Table5[[Konto]:[Konto nimetus]],2,FALSE)</f>
        <v>Info- ja kommunikatsioonitehnoliigised kulud</v>
      </c>
      <c r="L642">
        <v>55</v>
      </c>
      <c r="M642" t="str">
        <f t="shared" ref="M642:M705" si="21">LEFT(J642,2)</f>
        <v>55</v>
      </c>
      <c r="N642" s="3" t="str">
        <f>VLOOKUP(Table2[[#This Row],[Tulu/kulu liik2]],Table5[[Tulu/kulu liik]:[Kontode koondnimetus]],4,FALSE)</f>
        <v>Muud tegevuskulud</v>
      </c>
      <c r="O642" s="3" t="str">
        <f>VLOOKUP(Table2[[#This Row],[Tulu/kulu liik2]],Table5[],6,FALSE)</f>
        <v>Majandamiskulud</v>
      </c>
      <c r="P642" s="3" t="str">
        <f>VLOOKUP(Table2[[#This Row],[Tulu/kulu liik2]],Table5[],5,FALSE)</f>
        <v>Põhitegevuse kulu</v>
      </c>
    </row>
    <row r="643" spans="1:16" x14ac:dyDescent="0.25">
      <c r="A643" t="str">
        <f t="shared" si="20"/>
        <v>09</v>
      </c>
      <c r="B643" t="s">
        <v>327</v>
      </c>
      <c r="C643" s="3" t="str">
        <f>VLOOKUP(Table2[[#This Row],[Tegevusala]],Table4[],2,FALSE)</f>
        <v xml:space="preserve"> Pajusti Lasteaed</v>
      </c>
      <c r="D643" s="3" t="str">
        <f>VLOOKUP(Table2[[#This Row],[Tegevusala]],Table4[[Tegevusala kood]:[Tegevusala alanimetus]],4,FALSE)</f>
        <v>Alusharidus</v>
      </c>
      <c r="E643" s="3" t="str">
        <f>VLOOKUP(Table2[[#This Row],[Tegevusala nimetus2]],Table4[[Tegevusala nimetus]:[Tegevusala koondnimetus]],2,FALSE)</f>
        <v>Haridus</v>
      </c>
      <c r="F643" t="s">
        <v>1273</v>
      </c>
      <c r="G643" t="s">
        <v>1299</v>
      </c>
      <c r="H643" s="40">
        <v>120</v>
      </c>
      <c r="J643">
        <v>5514</v>
      </c>
      <c r="K643" s="3" t="str">
        <f>VLOOKUP(Table2[[#This Row],[Konto]],Table5[[Konto]:[Konto nimetus]],2,FALSE)</f>
        <v>Info- ja kommunikatsioonitehnoliigised kulud</v>
      </c>
      <c r="L643">
        <v>55</v>
      </c>
      <c r="M643" t="str">
        <f t="shared" si="21"/>
        <v>55</v>
      </c>
      <c r="N643" s="3" t="str">
        <f>VLOOKUP(Table2[[#This Row],[Tulu/kulu liik2]],Table5[[Tulu/kulu liik]:[Kontode koondnimetus]],4,FALSE)</f>
        <v>Muud tegevuskulud</v>
      </c>
      <c r="O643" s="3" t="str">
        <f>VLOOKUP(Table2[[#This Row],[Tulu/kulu liik2]],Table5[],6,FALSE)</f>
        <v>Majandamiskulud</v>
      </c>
      <c r="P643" s="3" t="str">
        <f>VLOOKUP(Table2[[#This Row],[Tulu/kulu liik2]],Table5[],5,FALSE)</f>
        <v>Põhitegevuse kulu</v>
      </c>
    </row>
    <row r="644" spans="1:16" hidden="1" x14ac:dyDescent="0.25">
      <c r="A644" t="str">
        <f t="shared" si="20"/>
        <v>09</v>
      </c>
      <c r="B644" t="s">
        <v>327</v>
      </c>
      <c r="C644" s="3" t="str">
        <f>VLOOKUP(Table2[[#This Row],[Tegevusala]],Table4[],2,FALSE)</f>
        <v xml:space="preserve"> Pajusti Lasteaed</v>
      </c>
      <c r="D644" s="3" t="str">
        <f>VLOOKUP(Table2[[#This Row],[Tegevusala]],Table4[[Tegevusala kood]:[Tegevusala alanimetus]],4,FALSE)</f>
        <v>Alusharidus</v>
      </c>
      <c r="E644" s="3" t="str">
        <f>VLOOKUP(Table2[[#This Row],[Tegevusala nimetus2]],Table4[[Tegevusala nimetus]:[Tegevusala koondnimetus]],2,FALSE)</f>
        <v>Haridus</v>
      </c>
      <c r="F644" t="s">
        <v>841</v>
      </c>
      <c r="G644" t="s">
        <v>2240</v>
      </c>
      <c r="H644" s="40">
        <v>80000</v>
      </c>
      <c r="J644">
        <v>1551</v>
      </c>
      <c r="K644" s="3" t="str">
        <f>VLOOKUP(Table2[[#This Row],[Konto]],Table5[[Konto]:[Konto nimetus]],2,FALSE)</f>
        <v>Rajatiste ja hoonete soetamine ja renoveerimine</v>
      </c>
      <c r="L644">
        <v>15</v>
      </c>
      <c r="M644" t="str">
        <f t="shared" si="21"/>
        <v>15</v>
      </c>
      <c r="N644" s="3" t="str">
        <f>VLOOKUP(Table2[[#This Row],[Tulu/kulu liik2]],Table5[[Tulu/kulu liik]:[Kontode koondnimetus]],4,FALSE)</f>
        <v>Põhivara soetus (-)</v>
      </c>
      <c r="O644" s="34" t="str">
        <f>VLOOKUP(Table2[[#This Row],[Tulu/kulu liik2]],Table5[],6,FALSE)</f>
        <v>Põhivara soetus (-)</v>
      </c>
      <c r="P644" s="3" t="str">
        <f>VLOOKUP(Table2[[#This Row],[Tulu/kulu liik2]],Table5[],5,FALSE)</f>
        <v>Investeerimistegevus</v>
      </c>
    </row>
    <row r="645" spans="1:16" x14ac:dyDescent="0.25">
      <c r="A645" t="str">
        <f t="shared" si="20"/>
        <v>09</v>
      </c>
      <c r="B645" t="s">
        <v>327</v>
      </c>
      <c r="C645" s="3" t="str">
        <f>VLOOKUP(Table2[[#This Row],[Tegevusala]],Table4[],2,FALSE)</f>
        <v xml:space="preserve"> Pajusti Lasteaed</v>
      </c>
      <c r="D645" s="3" t="str">
        <f>VLOOKUP(Table2[[#This Row],[Tegevusala]],Table4[[Tegevusala kood]:[Tegevusala alanimetus]],4,FALSE)</f>
        <v>Alusharidus</v>
      </c>
      <c r="E645" s="3" t="str">
        <f>VLOOKUP(Table2[[#This Row],[Tegevusala nimetus2]],Table4[[Tegevusala nimetus]:[Tegevusala koondnimetus]],2,FALSE)</f>
        <v>Haridus</v>
      </c>
      <c r="F645" t="s">
        <v>1273</v>
      </c>
      <c r="G645" t="s">
        <v>2168</v>
      </c>
      <c r="H645" s="40">
        <v>967</v>
      </c>
      <c r="J645">
        <v>5511</v>
      </c>
      <c r="K645" s="3" t="str">
        <f>VLOOKUP(Table2[[#This Row],[Konto]],Table5[[Konto]:[Konto nimetus]],2,FALSE)</f>
        <v>Kinnistute, hoonete ja ruumide majandamiskulud</v>
      </c>
      <c r="L645">
        <v>55</v>
      </c>
      <c r="M645" t="str">
        <f t="shared" si="21"/>
        <v>55</v>
      </c>
      <c r="N645" s="3" t="str">
        <f>VLOOKUP(Table2[[#This Row],[Tulu/kulu liik2]],Table5[[Tulu/kulu liik]:[Kontode koondnimetus]],4,FALSE)</f>
        <v>Muud tegevuskulud</v>
      </c>
      <c r="O645" s="34" t="str">
        <f>VLOOKUP(Table2[[#This Row],[Tulu/kulu liik2]],Table5[],6,FALSE)</f>
        <v>Majandamiskulud</v>
      </c>
      <c r="P645" s="3" t="str">
        <f>VLOOKUP(Table2[[#This Row],[Tulu/kulu liik2]],Table5[],5,FALSE)</f>
        <v>Põhitegevuse kulu</v>
      </c>
    </row>
    <row r="646" spans="1:16" x14ac:dyDescent="0.25">
      <c r="A646" s="78" t="str">
        <f t="shared" si="20"/>
        <v>09</v>
      </c>
      <c r="B646" s="78" t="s">
        <v>327</v>
      </c>
      <c r="C646" s="80" t="str">
        <f>VLOOKUP(Table2[[#This Row],[Tegevusala]],Table4[],2,FALSE)</f>
        <v xml:space="preserve"> Pajusti Lasteaed</v>
      </c>
      <c r="D646" s="80" t="str">
        <f>VLOOKUP(Table2[[#This Row],[Tegevusala]],Table4[[Tegevusala kood]:[Tegevusala alanimetus]],4,FALSE)</f>
        <v>Alusharidus</v>
      </c>
      <c r="E646" s="80" t="str">
        <f>VLOOKUP(Table2[[#This Row],[Tegevusala nimetus2]],Table4[[Tegevusala nimetus]:[Tegevusala koondnimetus]],2,FALSE)</f>
        <v>Haridus</v>
      </c>
      <c r="F646" s="78" t="s">
        <v>1273</v>
      </c>
      <c r="G646" s="78" t="s">
        <v>2188</v>
      </c>
      <c r="H646" s="79">
        <v>5500</v>
      </c>
      <c r="I646" s="81"/>
      <c r="J646" s="78">
        <v>5511</v>
      </c>
      <c r="K646" s="80" t="str">
        <f>VLOOKUP(Table2[[#This Row],[Konto]],Table5[[Konto]:[Konto nimetus]],2,FALSE)</f>
        <v>Kinnistute, hoonete ja ruumide majandamiskulud</v>
      </c>
      <c r="L646" s="78">
        <v>55</v>
      </c>
      <c r="M646" s="78" t="str">
        <f t="shared" si="21"/>
        <v>55</v>
      </c>
      <c r="N646" s="80" t="str">
        <f>VLOOKUP(Table2[[#This Row],[Tulu/kulu liik2]],Table5[[Tulu/kulu liik]:[Kontode koondnimetus]],4,FALSE)</f>
        <v>Muud tegevuskulud</v>
      </c>
      <c r="O646" s="80" t="str">
        <f>VLOOKUP(Table2[[#This Row],[Tulu/kulu liik2]],Table5[],6,FALSE)</f>
        <v>Majandamiskulud</v>
      </c>
      <c r="P646" s="80" t="str">
        <f>VLOOKUP(Table2[[#This Row],[Tulu/kulu liik2]],Table5[],5,FALSE)</f>
        <v>Põhitegevuse kulu</v>
      </c>
    </row>
    <row r="647" spans="1:16" x14ac:dyDescent="0.25">
      <c r="A647" t="str">
        <f t="shared" si="20"/>
        <v>09</v>
      </c>
      <c r="B647" t="s">
        <v>329</v>
      </c>
      <c r="C647" s="3" t="str">
        <f>VLOOKUP(Table2[[#This Row],[Tegevusala]],Table4[],2,FALSE)</f>
        <v xml:space="preserve"> Kulina Lasteaed</v>
      </c>
      <c r="D647" s="3" t="str">
        <f>VLOOKUP(Table2[[#This Row],[Tegevusala]],Table4[[Tegevusala kood]:[Tegevusala alanimetus]],4,FALSE)</f>
        <v>Alusharidus</v>
      </c>
      <c r="E647" s="3" t="str">
        <f>VLOOKUP(Table2[[#This Row],[Tegevusala nimetus2]],Table4[[Tegevusala nimetus]:[Tegevusala koondnimetus]],2,FALSE)</f>
        <v>Haridus</v>
      </c>
      <c r="F647" t="s">
        <v>1314</v>
      </c>
      <c r="G647" t="s">
        <v>1144</v>
      </c>
      <c r="H647" s="40">
        <v>650</v>
      </c>
      <c r="I647" s="2" t="s">
        <v>1321</v>
      </c>
      <c r="J647">
        <v>5500</v>
      </c>
      <c r="K647" s="3" t="str">
        <f>VLOOKUP(Table2[[#This Row],[Konto]],Table5[[Konto]:[Konto nimetus]],2,FALSE)</f>
        <v>Administreerimiskulud</v>
      </c>
      <c r="L647">
        <v>55</v>
      </c>
      <c r="M647" t="str">
        <f t="shared" si="21"/>
        <v>55</v>
      </c>
      <c r="N647" s="3" t="str">
        <f>VLOOKUP(Table2[[#This Row],[Tulu/kulu liik2]],Table5[[Tulu/kulu liik]:[Kontode koondnimetus]],4,FALSE)</f>
        <v>Muud tegevuskulud</v>
      </c>
      <c r="O647" s="3" t="str">
        <f>VLOOKUP(Table2[[#This Row],[Tulu/kulu liik2]],Table5[],6,FALSE)</f>
        <v>Majandamiskulud</v>
      </c>
      <c r="P647" s="3" t="str">
        <f>VLOOKUP(Table2[[#This Row],[Tulu/kulu liik2]],Table5[],5,FALSE)</f>
        <v>Põhitegevuse kulu</v>
      </c>
    </row>
    <row r="648" spans="1:16" x14ac:dyDescent="0.25">
      <c r="A648" t="str">
        <f t="shared" si="20"/>
        <v>09</v>
      </c>
      <c r="B648" t="s">
        <v>329</v>
      </c>
      <c r="C648" s="3" t="str">
        <f>VLOOKUP(Table2[[#This Row],[Tegevusala]],Table4[],2,FALSE)</f>
        <v xml:space="preserve"> Kulina Lasteaed</v>
      </c>
      <c r="D648" s="3" t="str">
        <f>VLOOKUP(Table2[[#This Row],[Tegevusala]],Table4[[Tegevusala kood]:[Tegevusala alanimetus]],4,FALSE)</f>
        <v>Alusharidus</v>
      </c>
      <c r="E648" s="3" t="str">
        <f>VLOOKUP(Table2[[#This Row],[Tegevusala nimetus2]],Table4[[Tegevusala nimetus]:[Tegevusala koondnimetus]],2,FALSE)</f>
        <v>Haridus</v>
      </c>
      <c r="F648" t="s">
        <v>1314</v>
      </c>
      <c r="G648" t="s">
        <v>1091</v>
      </c>
      <c r="H648" s="40">
        <v>100</v>
      </c>
      <c r="I648" s="2" t="s">
        <v>1322</v>
      </c>
      <c r="J648">
        <v>5500</v>
      </c>
      <c r="K648" s="3" t="str">
        <f>VLOOKUP(Table2[[#This Row],[Konto]],Table5[[Konto]:[Konto nimetus]],2,FALSE)</f>
        <v>Administreerimiskulud</v>
      </c>
      <c r="L648">
        <v>55</v>
      </c>
      <c r="M648" t="str">
        <f t="shared" si="21"/>
        <v>55</v>
      </c>
      <c r="N648" s="3" t="str">
        <f>VLOOKUP(Table2[[#This Row],[Tulu/kulu liik2]],Table5[[Tulu/kulu liik]:[Kontode koondnimetus]],4,FALSE)</f>
        <v>Muud tegevuskulud</v>
      </c>
      <c r="O648" s="3" t="str">
        <f>VLOOKUP(Table2[[#This Row],[Tulu/kulu liik2]],Table5[],6,FALSE)</f>
        <v>Majandamiskulud</v>
      </c>
      <c r="P648" s="3" t="str">
        <f>VLOOKUP(Table2[[#This Row],[Tulu/kulu liik2]],Table5[],5,FALSE)</f>
        <v>Põhitegevuse kulu</v>
      </c>
    </row>
    <row r="649" spans="1:16" x14ac:dyDescent="0.25">
      <c r="A649" t="str">
        <f t="shared" si="20"/>
        <v>09</v>
      </c>
      <c r="B649" t="s">
        <v>329</v>
      </c>
      <c r="C649" s="3" t="str">
        <f>VLOOKUP(Table2[[#This Row],[Tegevusala]],Table4[],2,FALSE)</f>
        <v xml:space="preserve"> Kulina Lasteaed</v>
      </c>
      <c r="D649" s="3" t="str">
        <f>VLOOKUP(Table2[[#This Row],[Tegevusala]],Table4[[Tegevusala kood]:[Tegevusala alanimetus]],4,FALSE)</f>
        <v>Alusharidus</v>
      </c>
      <c r="E649" s="3" t="str">
        <f>VLOOKUP(Table2[[#This Row],[Tegevusala nimetus2]],Table4[[Tegevusala nimetus]:[Tegevusala koondnimetus]],2,FALSE)</f>
        <v>Haridus</v>
      </c>
      <c r="F649" t="s">
        <v>1314</v>
      </c>
      <c r="G649" t="s">
        <v>1315</v>
      </c>
      <c r="H649" s="40">
        <v>120</v>
      </c>
      <c r="J649">
        <v>5500</v>
      </c>
      <c r="K649" s="3" t="str">
        <f>VLOOKUP(Table2[[#This Row],[Konto]],Table5[[Konto]:[Konto nimetus]],2,FALSE)</f>
        <v>Administreerimiskulud</v>
      </c>
      <c r="L649">
        <v>55</v>
      </c>
      <c r="M649" t="str">
        <f t="shared" si="21"/>
        <v>55</v>
      </c>
      <c r="N649" s="3" t="str">
        <f>VLOOKUP(Table2[[#This Row],[Tulu/kulu liik2]],Table5[[Tulu/kulu liik]:[Kontode koondnimetus]],4,FALSE)</f>
        <v>Muud tegevuskulud</v>
      </c>
      <c r="O649" s="3" t="str">
        <f>VLOOKUP(Table2[[#This Row],[Tulu/kulu liik2]],Table5[],6,FALSE)</f>
        <v>Majandamiskulud</v>
      </c>
      <c r="P649" s="3" t="str">
        <f>VLOOKUP(Table2[[#This Row],[Tulu/kulu liik2]],Table5[],5,FALSE)</f>
        <v>Põhitegevuse kulu</v>
      </c>
    </row>
    <row r="650" spans="1:16" x14ac:dyDescent="0.25">
      <c r="A650" t="str">
        <f t="shared" si="20"/>
        <v>09</v>
      </c>
      <c r="B650" t="s">
        <v>329</v>
      </c>
      <c r="C650" s="3" t="str">
        <f>VLOOKUP(Table2[[#This Row],[Tegevusala]],Table4[],2,FALSE)</f>
        <v xml:space="preserve"> Kulina Lasteaed</v>
      </c>
      <c r="D650" s="3" t="str">
        <f>VLOOKUP(Table2[[#This Row],[Tegevusala]],Table4[[Tegevusala kood]:[Tegevusala alanimetus]],4,FALSE)</f>
        <v>Alusharidus</v>
      </c>
      <c r="E650" s="3" t="str">
        <f>VLOOKUP(Table2[[#This Row],[Tegevusala nimetus2]],Table4[[Tegevusala nimetus]:[Tegevusala koondnimetus]],2,FALSE)</f>
        <v>Haridus</v>
      </c>
      <c r="F650" t="s">
        <v>1314</v>
      </c>
      <c r="G650" t="s">
        <v>1316</v>
      </c>
      <c r="H650" s="40">
        <v>16</v>
      </c>
      <c r="I650" s="2" t="s">
        <v>1323</v>
      </c>
      <c r="J650">
        <v>5500</v>
      </c>
      <c r="K650" s="3" t="str">
        <f>VLOOKUP(Table2[[#This Row],[Konto]],Table5[[Konto]:[Konto nimetus]],2,FALSE)</f>
        <v>Administreerimiskulud</v>
      </c>
      <c r="L650">
        <v>55</v>
      </c>
      <c r="M650" t="str">
        <f t="shared" si="21"/>
        <v>55</v>
      </c>
      <c r="N650" s="3" t="str">
        <f>VLOOKUP(Table2[[#This Row],[Tulu/kulu liik2]],Table5[[Tulu/kulu liik]:[Kontode koondnimetus]],4,FALSE)</f>
        <v>Muud tegevuskulud</v>
      </c>
      <c r="O650" s="3" t="str">
        <f>VLOOKUP(Table2[[#This Row],[Tulu/kulu liik2]],Table5[],6,FALSE)</f>
        <v>Majandamiskulud</v>
      </c>
      <c r="P650" s="3" t="str">
        <f>VLOOKUP(Table2[[#This Row],[Tulu/kulu liik2]],Table5[],5,FALSE)</f>
        <v>Põhitegevuse kulu</v>
      </c>
    </row>
    <row r="651" spans="1:16" x14ac:dyDescent="0.25">
      <c r="A651" t="str">
        <f t="shared" si="20"/>
        <v>09</v>
      </c>
      <c r="B651" t="s">
        <v>329</v>
      </c>
      <c r="C651" s="3" t="str">
        <f>VLOOKUP(Table2[[#This Row],[Tegevusala]],Table4[],2,FALSE)</f>
        <v xml:space="preserve"> Kulina Lasteaed</v>
      </c>
      <c r="D651" s="3" t="str">
        <f>VLOOKUP(Table2[[#This Row],[Tegevusala]],Table4[[Tegevusala kood]:[Tegevusala alanimetus]],4,FALSE)</f>
        <v>Alusharidus</v>
      </c>
      <c r="E651" s="3" t="str">
        <f>VLOOKUP(Table2[[#This Row],[Tegevusala nimetus2]],Table4[[Tegevusala nimetus]:[Tegevusala koondnimetus]],2,FALSE)</f>
        <v>Haridus</v>
      </c>
      <c r="F651" t="s">
        <v>1314</v>
      </c>
      <c r="G651" t="s">
        <v>1317</v>
      </c>
      <c r="H651" s="40">
        <v>25</v>
      </c>
      <c r="I651" s="2" t="s">
        <v>1324</v>
      </c>
      <c r="J651">
        <v>5500</v>
      </c>
      <c r="K651" s="3" t="str">
        <f>VLOOKUP(Table2[[#This Row],[Konto]],Table5[[Konto]:[Konto nimetus]],2,FALSE)</f>
        <v>Administreerimiskulud</v>
      </c>
      <c r="L651">
        <v>55</v>
      </c>
      <c r="M651" t="str">
        <f t="shared" si="21"/>
        <v>55</v>
      </c>
      <c r="N651" s="3" t="str">
        <f>VLOOKUP(Table2[[#This Row],[Tulu/kulu liik2]],Table5[[Tulu/kulu liik]:[Kontode koondnimetus]],4,FALSE)</f>
        <v>Muud tegevuskulud</v>
      </c>
      <c r="O651" s="3" t="str">
        <f>VLOOKUP(Table2[[#This Row],[Tulu/kulu liik2]],Table5[],6,FALSE)</f>
        <v>Majandamiskulud</v>
      </c>
      <c r="P651" s="3" t="str">
        <f>VLOOKUP(Table2[[#This Row],[Tulu/kulu liik2]],Table5[],5,FALSE)</f>
        <v>Põhitegevuse kulu</v>
      </c>
    </row>
    <row r="652" spans="1:16" x14ac:dyDescent="0.25">
      <c r="A652" t="str">
        <f t="shared" si="20"/>
        <v>09</v>
      </c>
      <c r="B652" t="s">
        <v>329</v>
      </c>
      <c r="C652" s="3" t="str">
        <f>VLOOKUP(Table2[[#This Row],[Tegevusala]],Table4[],2,FALSE)</f>
        <v xml:space="preserve"> Kulina Lasteaed</v>
      </c>
      <c r="D652" s="3" t="str">
        <f>VLOOKUP(Table2[[#This Row],[Tegevusala]],Table4[[Tegevusala kood]:[Tegevusala alanimetus]],4,FALSE)</f>
        <v>Alusharidus</v>
      </c>
      <c r="E652" s="3" t="str">
        <f>VLOOKUP(Table2[[#This Row],[Tegevusala nimetus2]],Table4[[Tegevusala nimetus]:[Tegevusala koondnimetus]],2,FALSE)</f>
        <v>Haridus</v>
      </c>
      <c r="F652" t="s">
        <v>1314</v>
      </c>
      <c r="G652" t="s">
        <v>1318</v>
      </c>
      <c r="H652" s="40">
        <v>288</v>
      </c>
      <c r="I652" s="2" t="s">
        <v>1325</v>
      </c>
      <c r="J652">
        <v>5500</v>
      </c>
      <c r="K652" s="3" t="str">
        <f>VLOOKUP(Table2[[#This Row],[Konto]],Table5[[Konto]:[Konto nimetus]],2,FALSE)</f>
        <v>Administreerimiskulud</v>
      </c>
      <c r="L652">
        <v>55</v>
      </c>
      <c r="M652" t="str">
        <f t="shared" si="21"/>
        <v>55</v>
      </c>
      <c r="N652" s="3" t="str">
        <f>VLOOKUP(Table2[[#This Row],[Tulu/kulu liik2]],Table5[[Tulu/kulu liik]:[Kontode koondnimetus]],4,FALSE)</f>
        <v>Muud tegevuskulud</v>
      </c>
      <c r="O652" s="3" t="str">
        <f>VLOOKUP(Table2[[#This Row],[Tulu/kulu liik2]],Table5[],6,FALSE)</f>
        <v>Majandamiskulud</v>
      </c>
      <c r="P652" s="3" t="str">
        <f>VLOOKUP(Table2[[#This Row],[Tulu/kulu liik2]],Table5[],5,FALSE)</f>
        <v>Põhitegevuse kulu</v>
      </c>
    </row>
    <row r="653" spans="1:16" x14ac:dyDescent="0.25">
      <c r="A653" t="str">
        <f t="shared" si="20"/>
        <v>09</v>
      </c>
      <c r="B653" t="s">
        <v>329</v>
      </c>
      <c r="C653" s="3" t="str">
        <f>VLOOKUP(Table2[[#This Row],[Tegevusala]],Table4[],2,FALSE)</f>
        <v xml:space="preserve"> Kulina Lasteaed</v>
      </c>
      <c r="D653" s="3" t="str">
        <f>VLOOKUP(Table2[[#This Row],[Tegevusala]],Table4[[Tegevusala kood]:[Tegevusala alanimetus]],4,FALSE)</f>
        <v>Alusharidus</v>
      </c>
      <c r="E653" s="3" t="str">
        <f>VLOOKUP(Table2[[#This Row],[Tegevusala nimetus2]],Table4[[Tegevusala nimetus]:[Tegevusala koondnimetus]],2,FALSE)</f>
        <v>Haridus</v>
      </c>
      <c r="F653" t="s">
        <v>1314</v>
      </c>
      <c r="G653" t="s">
        <v>1319</v>
      </c>
      <c r="H653" s="40">
        <v>28</v>
      </c>
      <c r="I653" s="2" t="s">
        <v>1326</v>
      </c>
      <c r="J653">
        <v>5500</v>
      </c>
      <c r="K653" s="3" t="str">
        <f>VLOOKUP(Table2[[#This Row],[Konto]],Table5[[Konto]:[Konto nimetus]],2,FALSE)</f>
        <v>Administreerimiskulud</v>
      </c>
      <c r="L653">
        <v>55</v>
      </c>
      <c r="M653" t="str">
        <f t="shared" si="21"/>
        <v>55</v>
      </c>
      <c r="N653" s="3" t="str">
        <f>VLOOKUP(Table2[[#This Row],[Tulu/kulu liik2]],Table5[[Tulu/kulu liik]:[Kontode koondnimetus]],4,FALSE)</f>
        <v>Muud tegevuskulud</v>
      </c>
      <c r="O653" s="3" t="str">
        <f>VLOOKUP(Table2[[#This Row],[Tulu/kulu liik2]],Table5[],6,FALSE)</f>
        <v>Majandamiskulud</v>
      </c>
      <c r="P653" s="3" t="str">
        <f>VLOOKUP(Table2[[#This Row],[Tulu/kulu liik2]],Table5[],5,FALSE)</f>
        <v>Põhitegevuse kulu</v>
      </c>
    </row>
    <row r="654" spans="1:16" x14ac:dyDescent="0.25">
      <c r="A654" t="str">
        <f t="shared" si="20"/>
        <v>09</v>
      </c>
      <c r="B654" t="s">
        <v>329</v>
      </c>
      <c r="C654" s="3" t="str">
        <f>VLOOKUP(Table2[[#This Row],[Tegevusala]],Table4[],2,FALSE)</f>
        <v xml:space="preserve"> Kulina Lasteaed</v>
      </c>
      <c r="D654" s="3" t="str">
        <f>VLOOKUP(Table2[[#This Row],[Tegevusala]],Table4[[Tegevusala kood]:[Tegevusala alanimetus]],4,FALSE)</f>
        <v>Alusharidus</v>
      </c>
      <c r="E654" s="3" t="str">
        <f>VLOOKUP(Table2[[#This Row],[Tegevusala nimetus2]],Table4[[Tegevusala nimetus]:[Tegevusala koondnimetus]],2,FALSE)</f>
        <v>Haridus</v>
      </c>
      <c r="F654" t="s">
        <v>1314</v>
      </c>
      <c r="G654" t="s">
        <v>1320</v>
      </c>
      <c r="H654" s="40">
        <v>18</v>
      </c>
      <c r="I654" s="2" t="s">
        <v>1326</v>
      </c>
      <c r="J654">
        <v>5500</v>
      </c>
      <c r="K654" s="3" t="str">
        <f>VLOOKUP(Table2[[#This Row],[Konto]],Table5[[Konto]:[Konto nimetus]],2,FALSE)</f>
        <v>Administreerimiskulud</v>
      </c>
      <c r="L654">
        <v>55</v>
      </c>
      <c r="M654" t="str">
        <f t="shared" si="21"/>
        <v>55</v>
      </c>
      <c r="N654" s="3" t="str">
        <f>VLOOKUP(Table2[[#This Row],[Tulu/kulu liik2]],Table5[[Tulu/kulu liik]:[Kontode koondnimetus]],4,FALSE)</f>
        <v>Muud tegevuskulud</v>
      </c>
      <c r="O654" s="3" t="str">
        <f>VLOOKUP(Table2[[#This Row],[Tulu/kulu liik2]],Table5[],6,FALSE)</f>
        <v>Majandamiskulud</v>
      </c>
      <c r="P654" s="3" t="str">
        <f>VLOOKUP(Table2[[#This Row],[Tulu/kulu liik2]],Table5[],5,FALSE)</f>
        <v>Põhitegevuse kulu</v>
      </c>
    </row>
    <row r="655" spans="1:16" x14ac:dyDescent="0.25">
      <c r="A655" t="str">
        <f t="shared" si="20"/>
        <v>09</v>
      </c>
      <c r="B655" t="s">
        <v>329</v>
      </c>
      <c r="C655" s="3" t="str">
        <f>VLOOKUP(Table2[[#This Row],[Tegevusala]],Table4[],2,FALSE)</f>
        <v xml:space="preserve"> Kulina Lasteaed</v>
      </c>
      <c r="D655" s="3" t="str">
        <f>VLOOKUP(Table2[[#This Row],[Tegevusala]],Table4[[Tegevusala kood]:[Tegevusala alanimetus]],4,FALSE)</f>
        <v>Alusharidus</v>
      </c>
      <c r="E655" s="3" t="str">
        <f>VLOOKUP(Table2[[#This Row],[Tegevusala nimetus2]],Table4[[Tegevusala nimetus]:[Tegevusala koondnimetus]],2,FALSE)</f>
        <v>Haridus</v>
      </c>
      <c r="F655" t="s">
        <v>1314</v>
      </c>
      <c r="G655" t="s">
        <v>176</v>
      </c>
      <c r="H655" s="40">
        <v>504</v>
      </c>
      <c r="J655">
        <v>5504</v>
      </c>
      <c r="K655" s="3" t="str">
        <f>VLOOKUP(Table2[[#This Row],[Konto]],Table5[[Konto]:[Konto nimetus]],2,FALSE)</f>
        <v>Koolituskulud</v>
      </c>
      <c r="L655">
        <v>55</v>
      </c>
      <c r="M655" t="str">
        <f t="shared" si="21"/>
        <v>55</v>
      </c>
      <c r="N655" s="3" t="str">
        <f>VLOOKUP(Table2[[#This Row],[Tulu/kulu liik2]],Table5[[Tulu/kulu liik]:[Kontode koondnimetus]],4,FALSE)</f>
        <v>Muud tegevuskulud</v>
      </c>
      <c r="O655" s="3" t="str">
        <f>VLOOKUP(Table2[[#This Row],[Tulu/kulu liik2]],Table5[],6,FALSE)</f>
        <v>Majandamiskulud</v>
      </c>
      <c r="P655" s="3" t="str">
        <f>VLOOKUP(Table2[[#This Row],[Tulu/kulu liik2]],Table5[],5,FALSE)</f>
        <v>Põhitegevuse kulu</v>
      </c>
    </row>
    <row r="656" spans="1:16" x14ac:dyDescent="0.25">
      <c r="A656" t="str">
        <f t="shared" si="20"/>
        <v>09</v>
      </c>
      <c r="B656" t="s">
        <v>329</v>
      </c>
      <c r="C656" s="3" t="str">
        <f>VLOOKUP(Table2[[#This Row],[Tegevusala]],Table4[],2,FALSE)</f>
        <v xml:space="preserve"> Kulina Lasteaed</v>
      </c>
      <c r="D656" s="3" t="str">
        <f>VLOOKUP(Table2[[#This Row],[Tegevusala]],Table4[[Tegevusala kood]:[Tegevusala alanimetus]],4,FALSE)</f>
        <v>Alusharidus</v>
      </c>
      <c r="E656" s="3" t="str">
        <f>VLOOKUP(Table2[[#This Row],[Tegevusala nimetus2]],Table4[[Tegevusala nimetus]:[Tegevusala koondnimetus]],2,FALSE)</f>
        <v>Haridus</v>
      </c>
      <c r="F656" t="s">
        <v>1314</v>
      </c>
      <c r="G656" t="s">
        <v>1327</v>
      </c>
      <c r="H656" s="40">
        <v>165</v>
      </c>
      <c r="J656">
        <v>5504</v>
      </c>
      <c r="K656" s="3" t="str">
        <f>VLOOKUP(Table2[[#This Row],[Konto]],Table5[[Konto]:[Konto nimetus]],2,FALSE)</f>
        <v>Koolituskulud</v>
      </c>
      <c r="L656">
        <v>55</v>
      </c>
      <c r="M656" t="str">
        <f t="shared" si="21"/>
        <v>55</v>
      </c>
      <c r="N656" s="3" t="str">
        <f>VLOOKUP(Table2[[#This Row],[Tulu/kulu liik2]],Table5[[Tulu/kulu liik]:[Kontode koondnimetus]],4,FALSE)</f>
        <v>Muud tegevuskulud</v>
      </c>
      <c r="O656" s="3" t="str">
        <f>VLOOKUP(Table2[[#This Row],[Tulu/kulu liik2]],Table5[],6,FALSE)</f>
        <v>Majandamiskulud</v>
      </c>
      <c r="P656" s="3" t="str">
        <f>VLOOKUP(Table2[[#This Row],[Tulu/kulu liik2]],Table5[],5,FALSE)</f>
        <v>Põhitegevuse kulu</v>
      </c>
    </row>
    <row r="657" spans="1:16" x14ac:dyDescent="0.25">
      <c r="A657" t="str">
        <f t="shared" si="20"/>
        <v>09</v>
      </c>
      <c r="B657" t="s">
        <v>329</v>
      </c>
      <c r="C657" s="3" t="str">
        <f>VLOOKUP(Table2[[#This Row],[Tegevusala]],Table4[],2,FALSE)</f>
        <v xml:space="preserve"> Kulina Lasteaed</v>
      </c>
      <c r="D657" s="3" t="str">
        <f>VLOOKUP(Table2[[#This Row],[Tegevusala]],Table4[[Tegevusala kood]:[Tegevusala alanimetus]],4,FALSE)</f>
        <v>Alusharidus</v>
      </c>
      <c r="E657" s="3" t="str">
        <f>VLOOKUP(Table2[[#This Row],[Tegevusala nimetus2]],Table4[[Tegevusala nimetus]:[Tegevusala koondnimetus]],2,FALSE)</f>
        <v>Haridus</v>
      </c>
      <c r="F657" t="s">
        <v>1314</v>
      </c>
      <c r="G657" t="s">
        <v>442</v>
      </c>
      <c r="H657" s="40">
        <v>1430</v>
      </c>
      <c r="I657" s="2" t="s">
        <v>1344</v>
      </c>
      <c r="J657">
        <v>5513</v>
      </c>
      <c r="K657" s="3" t="str">
        <f>VLOOKUP(Table2[[#This Row],[Konto]],Table5[[Konto]:[Konto nimetus]],2,FALSE)</f>
        <v>Sõidukite ülalpidamise kulud</v>
      </c>
      <c r="L657">
        <v>55</v>
      </c>
      <c r="M657" t="str">
        <f t="shared" si="21"/>
        <v>55</v>
      </c>
      <c r="N657" s="3" t="str">
        <f>VLOOKUP(Table2[[#This Row],[Tulu/kulu liik2]],Table5[[Tulu/kulu liik]:[Kontode koondnimetus]],4,FALSE)</f>
        <v>Muud tegevuskulud</v>
      </c>
      <c r="O657" s="3" t="str">
        <f>VLOOKUP(Table2[[#This Row],[Tulu/kulu liik2]],Table5[],6,FALSE)</f>
        <v>Majandamiskulud</v>
      </c>
      <c r="P657" s="3" t="str">
        <f>VLOOKUP(Table2[[#This Row],[Tulu/kulu liik2]],Table5[],5,FALSE)</f>
        <v>Põhitegevuse kulu</v>
      </c>
    </row>
    <row r="658" spans="1:16" x14ac:dyDescent="0.25">
      <c r="A658" t="str">
        <f t="shared" si="20"/>
        <v>09</v>
      </c>
      <c r="B658" t="s">
        <v>329</v>
      </c>
      <c r="C658" s="3" t="str">
        <f>VLOOKUP(Table2[[#This Row],[Tegevusala]],Table4[],2,FALSE)</f>
        <v xml:space="preserve"> Kulina Lasteaed</v>
      </c>
      <c r="D658" s="3" t="str">
        <f>VLOOKUP(Table2[[#This Row],[Tegevusala]],Table4[[Tegevusala kood]:[Tegevusala alanimetus]],4,FALSE)</f>
        <v>Alusharidus</v>
      </c>
      <c r="E658" s="3" t="str">
        <f>VLOOKUP(Table2[[#This Row],[Tegevusala nimetus2]],Table4[[Tegevusala nimetus]:[Tegevusala koondnimetus]],2,FALSE)</f>
        <v>Haridus</v>
      </c>
      <c r="F658" t="s">
        <v>1314</v>
      </c>
      <c r="G658" t="s">
        <v>1346</v>
      </c>
      <c r="H658" s="40">
        <v>250</v>
      </c>
      <c r="I658" s="2" t="s">
        <v>1348</v>
      </c>
      <c r="J658">
        <v>5515</v>
      </c>
      <c r="K658" s="3" t="str">
        <f>VLOOKUP(Table2[[#This Row],[Konto]],Table5[[Konto]:[Konto nimetus]],2,FALSE)</f>
        <v>Inventari kulud, v.a infotehnoloogia ja kaitseotstarbelised kulud</v>
      </c>
      <c r="L658">
        <v>55</v>
      </c>
      <c r="M658" t="str">
        <f t="shared" si="21"/>
        <v>55</v>
      </c>
      <c r="N658" s="3" t="str">
        <f>VLOOKUP(Table2[[#This Row],[Tulu/kulu liik2]],Table5[[Tulu/kulu liik]:[Kontode koondnimetus]],4,FALSE)</f>
        <v>Muud tegevuskulud</v>
      </c>
      <c r="O658" s="3" t="str">
        <f>VLOOKUP(Table2[[#This Row],[Tulu/kulu liik2]],Table5[],6,FALSE)</f>
        <v>Majandamiskulud</v>
      </c>
      <c r="P658" s="3" t="str">
        <f>VLOOKUP(Table2[[#This Row],[Tulu/kulu liik2]],Table5[],5,FALSE)</f>
        <v>Põhitegevuse kulu</v>
      </c>
    </row>
    <row r="659" spans="1:16" x14ac:dyDescent="0.25">
      <c r="A659" t="str">
        <f t="shared" si="20"/>
        <v>09</v>
      </c>
      <c r="B659" t="s">
        <v>329</v>
      </c>
      <c r="C659" s="3" t="str">
        <f>VLOOKUP(Table2[[#This Row],[Tegevusala]],Table4[],2,FALSE)</f>
        <v xml:space="preserve"> Kulina Lasteaed</v>
      </c>
      <c r="D659" s="3" t="str">
        <f>VLOOKUP(Table2[[#This Row],[Tegevusala]],Table4[[Tegevusala kood]:[Tegevusala alanimetus]],4,FALSE)</f>
        <v>Alusharidus</v>
      </c>
      <c r="E659" s="3" t="str">
        <f>VLOOKUP(Table2[[#This Row],[Tegevusala nimetus2]],Table4[[Tegevusala nimetus]:[Tegevusala koondnimetus]],2,FALSE)</f>
        <v>Haridus</v>
      </c>
      <c r="F659" t="s">
        <v>1314</v>
      </c>
      <c r="G659" t="s">
        <v>1349</v>
      </c>
      <c r="H659" s="40">
        <v>350</v>
      </c>
      <c r="I659" s="2" t="s">
        <v>1355</v>
      </c>
      <c r="J659">
        <v>5515</v>
      </c>
      <c r="K659" s="3" t="str">
        <f>VLOOKUP(Table2[[#This Row],[Konto]],Table5[[Konto]:[Konto nimetus]],2,FALSE)</f>
        <v>Inventari kulud, v.a infotehnoloogia ja kaitseotstarbelised kulud</v>
      </c>
      <c r="L659">
        <v>55</v>
      </c>
      <c r="M659" t="str">
        <f t="shared" si="21"/>
        <v>55</v>
      </c>
      <c r="N659" s="3" t="str">
        <f>VLOOKUP(Table2[[#This Row],[Tulu/kulu liik2]],Table5[[Tulu/kulu liik]:[Kontode koondnimetus]],4,FALSE)</f>
        <v>Muud tegevuskulud</v>
      </c>
      <c r="O659" s="3" t="str">
        <f>VLOOKUP(Table2[[#This Row],[Tulu/kulu liik2]],Table5[],6,FALSE)</f>
        <v>Majandamiskulud</v>
      </c>
      <c r="P659" s="3" t="str">
        <f>VLOOKUP(Table2[[#This Row],[Tulu/kulu liik2]],Table5[],5,FALSE)</f>
        <v>Põhitegevuse kulu</v>
      </c>
    </row>
    <row r="660" spans="1:16" x14ac:dyDescent="0.25">
      <c r="A660" t="str">
        <f t="shared" si="20"/>
        <v>09</v>
      </c>
      <c r="B660" t="s">
        <v>329</v>
      </c>
      <c r="C660" s="3" t="str">
        <f>VLOOKUP(Table2[[#This Row],[Tegevusala]],Table4[],2,FALSE)</f>
        <v xml:space="preserve"> Kulina Lasteaed</v>
      </c>
      <c r="D660" s="3" t="str">
        <f>VLOOKUP(Table2[[#This Row],[Tegevusala]],Table4[[Tegevusala kood]:[Tegevusala alanimetus]],4,FALSE)</f>
        <v>Alusharidus</v>
      </c>
      <c r="E660" s="3" t="str">
        <f>VLOOKUP(Table2[[#This Row],[Tegevusala nimetus2]],Table4[[Tegevusala nimetus]:[Tegevusala koondnimetus]],2,FALSE)</f>
        <v>Haridus</v>
      </c>
      <c r="F660" t="s">
        <v>1314</v>
      </c>
      <c r="G660" t="s">
        <v>1350</v>
      </c>
      <c r="H660" s="40">
        <v>300</v>
      </c>
      <c r="I660" s="2" t="s">
        <v>1356</v>
      </c>
      <c r="J660">
        <v>5515</v>
      </c>
      <c r="K660" s="3" t="str">
        <f>VLOOKUP(Table2[[#This Row],[Konto]],Table5[[Konto]:[Konto nimetus]],2,FALSE)</f>
        <v>Inventari kulud, v.a infotehnoloogia ja kaitseotstarbelised kulud</v>
      </c>
      <c r="L660">
        <v>55</v>
      </c>
      <c r="M660" t="str">
        <f t="shared" si="21"/>
        <v>55</v>
      </c>
      <c r="N660" s="3" t="str">
        <f>VLOOKUP(Table2[[#This Row],[Tulu/kulu liik2]],Table5[[Tulu/kulu liik]:[Kontode koondnimetus]],4,FALSE)</f>
        <v>Muud tegevuskulud</v>
      </c>
      <c r="O660" s="3" t="str">
        <f>VLOOKUP(Table2[[#This Row],[Tulu/kulu liik2]],Table5[],6,FALSE)</f>
        <v>Majandamiskulud</v>
      </c>
      <c r="P660" s="3" t="str">
        <f>VLOOKUP(Table2[[#This Row],[Tulu/kulu liik2]],Table5[],5,FALSE)</f>
        <v>Põhitegevuse kulu</v>
      </c>
    </row>
    <row r="661" spans="1:16" x14ac:dyDescent="0.25">
      <c r="A661" t="str">
        <f t="shared" si="20"/>
        <v>09</v>
      </c>
      <c r="B661" t="s">
        <v>329</v>
      </c>
      <c r="C661" s="3" t="str">
        <f>VLOOKUP(Table2[[#This Row],[Tegevusala]],Table4[],2,FALSE)</f>
        <v xml:space="preserve"> Kulina Lasteaed</v>
      </c>
      <c r="D661" s="3" t="str">
        <f>VLOOKUP(Table2[[#This Row],[Tegevusala]],Table4[[Tegevusala kood]:[Tegevusala alanimetus]],4,FALSE)</f>
        <v>Alusharidus</v>
      </c>
      <c r="E661" s="3" t="str">
        <f>VLOOKUP(Table2[[#This Row],[Tegevusala nimetus2]],Table4[[Tegevusala nimetus]:[Tegevusala koondnimetus]],2,FALSE)</f>
        <v>Haridus</v>
      </c>
      <c r="F661" t="s">
        <v>1314</v>
      </c>
      <c r="G661" t="s">
        <v>1351</v>
      </c>
      <c r="H661" s="40">
        <v>80</v>
      </c>
      <c r="I661" s="2" t="s">
        <v>1357</v>
      </c>
      <c r="J661">
        <v>5515</v>
      </c>
      <c r="K661" s="3" t="str">
        <f>VLOOKUP(Table2[[#This Row],[Konto]],Table5[[Konto]:[Konto nimetus]],2,FALSE)</f>
        <v>Inventari kulud, v.a infotehnoloogia ja kaitseotstarbelised kulud</v>
      </c>
      <c r="L661">
        <v>55</v>
      </c>
      <c r="M661" t="str">
        <f t="shared" si="21"/>
        <v>55</v>
      </c>
      <c r="N661" s="3" t="str">
        <f>VLOOKUP(Table2[[#This Row],[Tulu/kulu liik2]],Table5[[Tulu/kulu liik]:[Kontode koondnimetus]],4,FALSE)</f>
        <v>Muud tegevuskulud</v>
      </c>
      <c r="O661" s="3" t="str">
        <f>VLOOKUP(Table2[[#This Row],[Tulu/kulu liik2]],Table5[],6,FALSE)</f>
        <v>Majandamiskulud</v>
      </c>
      <c r="P661" s="3" t="str">
        <f>VLOOKUP(Table2[[#This Row],[Tulu/kulu liik2]],Table5[],5,FALSE)</f>
        <v>Põhitegevuse kulu</v>
      </c>
    </row>
    <row r="662" spans="1:16" x14ac:dyDescent="0.25">
      <c r="A662" t="str">
        <f t="shared" si="20"/>
        <v>09</v>
      </c>
      <c r="B662" t="s">
        <v>329</v>
      </c>
      <c r="C662" s="3" t="str">
        <f>VLOOKUP(Table2[[#This Row],[Tegevusala]],Table4[],2,FALSE)</f>
        <v xml:space="preserve"> Kulina Lasteaed</v>
      </c>
      <c r="D662" s="3" t="str">
        <f>VLOOKUP(Table2[[#This Row],[Tegevusala]],Table4[[Tegevusala kood]:[Tegevusala alanimetus]],4,FALSE)</f>
        <v>Alusharidus</v>
      </c>
      <c r="E662" s="3" t="str">
        <f>VLOOKUP(Table2[[#This Row],[Tegevusala nimetus2]],Table4[[Tegevusala nimetus]:[Tegevusala koondnimetus]],2,FALSE)</f>
        <v>Haridus</v>
      </c>
      <c r="F662" t="s">
        <v>1314</v>
      </c>
      <c r="G662" t="s">
        <v>1352</v>
      </c>
      <c r="H662" s="40">
        <v>75</v>
      </c>
      <c r="I662" s="2" t="s">
        <v>1358</v>
      </c>
      <c r="J662">
        <v>5515</v>
      </c>
      <c r="K662" s="3" t="str">
        <f>VLOOKUP(Table2[[#This Row],[Konto]],Table5[[Konto]:[Konto nimetus]],2,FALSE)</f>
        <v>Inventari kulud, v.a infotehnoloogia ja kaitseotstarbelised kulud</v>
      </c>
      <c r="L662">
        <v>55</v>
      </c>
      <c r="M662" t="str">
        <f t="shared" si="21"/>
        <v>55</v>
      </c>
      <c r="N662" s="3" t="str">
        <f>VLOOKUP(Table2[[#This Row],[Tulu/kulu liik2]],Table5[[Tulu/kulu liik]:[Kontode koondnimetus]],4,FALSE)</f>
        <v>Muud tegevuskulud</v>
      </c>
      <c r="O662" s="3" t="str">
        <f>VLOOKUP(Table2[[#This Row],[Tulu/kulu liik2]],Table5[],6,FALSE)</f>
        <v>Majandamiskulud</v>
      </c>
      <c r="P662" s="3" t="str">
        <f>VLOOKUP(Table2[[#This Row],[Tulu/kulu liik2]],Table5[],5,FALSE)</f>
        <v>Põhitegevuse kulu</v>
      </c>
    </row>
    <row r="663" spans="1:16" x14ac:dyDescent="0.25">
      <c r="A663" t="str">
        <f t="shared" si="20"/>
        <v>09</v>
      </c>
      <c r="B663" t="s">
        <v>329</v>
      </c>
      <c r="C663" s="3" t="str">
        <f>VLOOKUP(Table2[[#This Row],[Tegevusala]],Table4[],2,FALSE)</f>
        <v xml:space="preserve"> Kulina Lasteaed</v>
      </c>
      <c r="D663" s="3" t="str">
        <f>VLOOKUP(Table2[[#This Row],[Tegevusala]],Table4[[Tegevusala kood]:[Tegevusala alanimetus]],4,FALSE)</f>
        <v>Alusharidus</v>
      </c>
      <c r="E663" s="3" t="str">
        <f>VLOOKUP(Table2[[#This Row],[Tegevusala nimetus2]],Table4[[Tegevusala nimetus]:[Tegevusala koondnimetus]],2,FALSE)</f>
        <v>Haridus</v>
      </c>
      <c r="F663" t="s">
        <v>1314</v>
      </c>
      <c r="G663" t="s">
        <v>1353</v>
      </c>
      <c r="H663" s="40">
        <v>250</v>
      </c>
      <c r="I663" s="2" t="s">
        <v>1359</v>
      </c>
      <c r="J663">
        <v>5515</v>
      </c>
      <c r="K663" s="3" t="str">
        <f>VLOOKUP(Table2[[#This Row],[Konto]],Table5[[Konto]:[Konto nimetus]],2,FALSE)</f>
        <v>Inventari kulud, v.a infotehnoloogia ja kaitseotstarbelised kulud</v>
      </c>
      <c r="L663">
        <v>55</v>
      </c>
      <c r="M663" t="str">
        <f t="shared" si="21"/>
        <v>55</v>
      </c>
      <c r="N663" s="3" t="str">
        <f>VLOOKUP(Table2[[#This Row],[Tulu/kulu liik2]],Table5[[Tulu/kulu liik]:[Kontode koondnimetus]],4,FALSE)</f>
        <v>Muud tegevuskulud</v>
      </c>
      <c r="O663" s="3" t="str">
        <f>VLOOKUP(Table2[[#This Row],[Tulu/kulu liik2]],Table5[],6,FALSE)</f>
        <v>Majandamiskulud</v>
      </c>
      <c r="P663" s="3" t="str">
        <f>VLOOKUP(Table2[[#This Row],[Tulu/kulu liik2]],Table5[],5,FALSE)</f>
        <v>Põhitegevuse kulu</v>
      </c>
    </row>
    <row r="664" spans="1:16" x14ac:dyDescent="0.25">
      <c r="A664" t="str">
        <f t="shared" si="20"/>
        <v>09</v>
      </c>
      <c r="B664" t="s">
        <v>329</v>
      </c>
      <c r="C664" s="3" t="str">
        <f>VLOOKUP(Table2[[#This Row],[Tegevusala]],Table4[],2,FALSE)</f>
        <v xml:space="preserve"> Kulina Lasteaed</v>
      </c>
      <c r="D664" s="3" t="str">
        <f>VLOOKUP(Table2[[#This Row],[Tegevusala]],Table4[[Tegevusala kood]:[Tegevusala alanimetus]],4,FALSE)</f>
        <v>Alusharidus</v>
      </c>
      <c r="E664" s="3" t="str">
        <f>VLOOKUP(Table2[[#This Row],[Tegevusala nimetus2]],Table4[[Tegevusala nimetus]:[Tegevusala koondnimetus]],2,FALSE)</f>
        <v>Haridus</v>
      </c>
      <c r="F664" t="s">
        <v>1314</v>
      </c>
      <c r="G664" t="s">
        <v>1361</v>
      </c>
      <c r="H664" s="40">
        <v>6200</v>
      </c>
      <c r="I664" s="2" t="s">
        <v>1362</v>
      </c>
      <c r="J664">
        <v>5521</v>
      </c>
      <c r="K664" s="3" t="str">
        <f>VLOOKUP(Table2[[#This Row],[Konto]],Table5[[Konto]:[Konto nimetus]],2,FALSE)</f>
        <v>Toiduained ja toitlustusteenused</v>
      </c>
      <c r="L664">
        <v>55</v>
      </c>
      <c r="M664" t="str">
        <f t="shared" si="21"/>
        <v>55</v>
      </c>
      <c r="N664" s="3" t="str">
        <f>VLOOKUP(Table2[[#This Row],[Tulu/kulu liik2]],Table5[[Tulu/kulu liik]:[Kontode koondnimetus]],4,FALSE)</f>
        <v>Muud tegevuskulud</v>
      </c>
      <c r="O664" s="3" t="str">
        <f>VLOOKUP(Table2[[#This Row],[Tulu/kulu liik2]],Table5[],6,FALSE)</f>
        <v>Majandamiskulud</v>
      </c>
      <c r="P664" s="3" t="str">
        <f>VLOOKUP(Table2[[#This Row],[Tulu/kulu liik2]],Table5[],5,FALSE)</f>
        <v>Põhitegevuse kulu</v>
      </c>
    </row>
    <row r="665" spans="1:16" x14ac:dyDescent="0.25">
      <c r="A665" t="str">
        <f t="shared" si="20"/>
        <v>09</v>
      </c>
      <c r="B665" t="s">
        <v>329</v>
      </c>
      <c r="C665" s="3" t="str">
        <f>VLOOKUP(Table2[[#This Row],[Tegevusala]],Table4[],2,FALSE)</f>
        <v xml:space="preserve"> Kulina Lasteaed</v>
      </c>
      <c r="D665" s="3" t="str">
        <f>VLOOKUP(Table2[[#This Row],[Tegevusala]],Table4[[Tegevusala kood]:[Tegevusala alanimetus]],4,FALSE)</f>
        <v>Alusharidus</v>
      </c>
      <c r="E665" s="3" t="str">
        <f>VLOOKUP(Table2[[#This Row],[Tegevusala nimetus2]],Table4[[Tegevusala nimetus]:[Tegevusala koondnimetus]],2,FALSE)</f>
        <v>Haridus</v>
      </c>
      <c r="F665" t="s">
        <v>1314</v>
      </c>
      <c r="G665" t="s">
        <v>426</v>
      </c>
      <c r="H665" s="40">
        <v>120</v>
      </c>
      <c r="I665" s="2" t="s">
        <v>1363</v>
      </c>
      <c r="J665">
        <v>5522</v>
      </c>
      <c r="K665" s="3" t="str">
        <f>VLOOKUP(Table2[[#This Row],[Konto]],Table5[[Konto]:[Konto nimetus]],2,FALSE)</f>
        <v>Meditsiinikulud ja hügieenitarbed</v>
      </c>
      <c r="L665">
        <v>55</v>
      </c>
      <c r="M665" t="str">
        <f t="shared" si="21"/>
        <v>55</v>
      </c>
      <c r="N665" s="3" t="str">
        <f>VLOOKUP(Table2[[#This Row],[Tulu/kulu liik2]],Table5[[Tulu/kulu liik]:[Kontode koondnimetus]],4,FALSE)</f>
        <v>Muud tegevuskulud</v>
      </c>
      <c r="O665" s="3" t="str">
        <f>VLOOKUP(Table2[[#This Row],[Tulu/kulu liik2]],Table5[],6,FALSE)</f>
        <v>Majandamiskulud</v>
      </c>
      <c r="P665" s="3" t="str">
        <f>VLOOKUP(Table2[[#This Row],[Tulu/kulu liik2]],Table5[],5,FALSE)</f>
        <v>Põhitegevuse kulu</v>
      </c>
    </row>
    <row r="666" spans="1:16" x14ac:dyDescent="0.25">
      <c r="A666" t="str">
        <f t="shared" si="20"/>
        <v>09</v>
      </c>
      <c r="B666" t="s">
        <v>329</v>
      </c>
      <c r="C666" s="3" t="str">
        <f>VLOOKUP(Table2[[#This Row],[Tegevusala]],Table4[],2,FALSE)</f>
        <v xml:space="preserve"> Kulina Lasteaed</v>
      </c>
      <c r="D666" s="3" t="str">
        <f>VLOOKUP(Table2[[#This Row],[Tegevusala]],Table4[[Tegevusala kood]:[Tegevusala alanimetus]],4,FALSE)</f>
        <v>Alusharidus</v>
      </c>
      <c r="E666" s="3" t="str">
        <f>VLOOKUP(Table2[[#This Row],[Tegevusala nimetus2]],Table4[[Tegevusala nimetus]:[Tegevusala koondnimetus]],2,FALSE)</f>
        <v>Haridus</v>
      </c>
      <c r="F666" t="s">
        <v>1314</v>
      </c>
      <c r="G666" t="s">
        <v>1364</v>
      </c>
      <c r="H666" s="40">
        <v>1700</v>
      </c>
      <c r="I666" s="2" t="s">
        <v>1366</v>
      </c>
      <c r="J666">
        <v>5524</v>
      </c>
      <c r="K666" s="3" t="str">
        <f>VLOOKUP(Table2[[#This Row],[Konto]],Table5[[Konto]:[Konto nimetus]],2,FALSE)</f>
        <v>Õppevahendid</v>
      </c>
      <c r="L666">
        <v>55</v>
      </c>
      <c r="M666" t="str">
        <f t="shared" si="21"/>
        <v>55</v>
      </c>
      <c r="N666" s="3" t="str">
        <f>VLOOKUP(Table2[[#This Row],[Tulu/kulu liik2]],Table5[[Tulu/kulu liik]:[Kontode koondnimetus]],4,FALSE)</f>
        <v>Muud tegevuskulud</v>
      </c>
      <c r="O666" s="3" t="str">
        <f>VLOOKUP(Table2[[#This Row],[Tulu/kulu liik2]],Table5[],6,FALSE)</f>
        <v>Majandamiskulud</v>
      </c>
      <c r="P666" s="3" t="str">
        <f>VLOOKUP(Table2[[#This Row],[Tulu/kulu liik2]],Table5[],5,FALSE)</f>
        <v>Põhitegevuse kulu</v>
      </c>
    </row>
    <row r="667" spans="1:16" x14ac:dyDescent="0.25">
      <c r="A667" t="str">
        <f t="shared" si="20"/>
        <v>09</v>
      </c>
      <c r="B667" t="s">
        <v>329</v>
      </c>
      <c r="C667" s="3" t="str">
        <f>VLOOKUP(Table2[[#This Row],[Tegevusala]],Table4[],2,FALSE)</f>
        <v xml:space="preserve"> Kulina Lasteaed</v>
      </c>
      <c r="D667" s="3" t="str">
        <f>VLOOKUP(Table2[[#This Row],[Tegevusala]],Table4[[Tegevusala kood]:[Tegevusala alanimetus]],4,FALSE)</f>
        <v>Alusharidus</v>
      </c>
      <c r="E667" s="3" t="str">
        <f>VLOOKUP(Table2[[#This Row],[Tegevusala nimetus2]],Table4[[Tegevusala nimetus]:[Tegevusala koondnimetus]],2,FALSE)</f>
        <v>Haridus</v>
      </c>
      <c r="F667" t="s">
        <v>1314</v>
      </c>
      <c r="G667" t="s">
        <v>1365</v>
      </c>
      <c r="H667" s="40">
        <v>740</v>
      </c>
      <c r="I667" s="2" t="s">
        <v>1367</v>
      </c>
      <c r="J667">
        <v>5524</v>
      </c>
      <c r="K667" s="3" t="str">
        <f>VLOOKUP(Table2[[#This Row],[Konto]],Table5[[Konto]:[Konto nimetus]],2,FALSE)</f>
        <v>Õppevahendid</v>
      </c>
      <c r="L667">
        <v>55</v>
      </c>
      <c r="M667" t="str">
        <f t="shared" si="21"/>
        <v>55</v>
      </c>
      <c r="N667" s="3" t="str">
        <f>VLOOKUP(Table2[[#This Row],[Tulu/kulu liik2]],Table5[[Tulu/kulu liik]:[Kontode koondnimetus]],4,FALSE)</f>
        <v>Muud tegevuskulud</v>
      </c>
      <c r="O667" s="3" t="str">
        <f>VLOOKUP(Table2[[#This Row],[Tulu/kulu liik2]],Table5[],6,FALSE)</f>
        <v>Majandamiskulud</v>
      </c>
      <c r="P667" s="3" t="str">
        <f>VLOOKUP(Table2[[#This Row],[Tulu/kulu liik2]],Table5[],5,FALSE)</f>
        <v>Põhitegevuse kulu</v>
      </c>
    </row>
    <row r="668" spans="1:16" x14ac:dyDescent="0.25">
      <c r="A668" t="str">
        <f t="shared" si="20"/>
        <v>09</v>
      </c>
      <c r="B668" t="s">
        <v>329</v>
      </c>
      <c r="C668" s="3" t="str">
        <f>VLOOKUP(Table2[[#This Row],[Tegevusala]],Table4[],2,FALSE)</f>
        <v xml:space="preserve"> Kulina Lasteaed</v>
      </c>
      <c r="D668" s="3" t="str">
        <f>VLOOKUP(Table2[[#This Row],[Tegevusala]],Table4[[Tegevusala kood]:[Tegevusala alanimetus]],4,FALSE)</f>
        <v>Alusharidus</v>
      </c>
      <c r="E668" s="3" t="str">
        <f>VLOOKUP(Table2[[#This Row],[Tegevusala nimetus2]],Table4[[Tegevusala nimetus]:[Tegevusala koondnimetus]],2,FALSE)</f>
        <v>Haridus</v>
      </c>
      <c r="F668" t="s">
        <v>1314</v>
      </c>
      <c r="G668" t="s">
        <v>1368</v>
      </c>
      <c r="H668" s="40">
        <v>500</v>
      </c>
      <c r="I668" s="2" t="s">
        <v>1369</v>
      </c>
      <c r="J668">
        <v>5525</v>
      </c>
      <c r="K668" s="3" t="str">
        <f>VLOOKUP(Table2[[#This Row],[Konto]],Table5[[Konto]:[Konto nimetus]],2,FALSE)</f>
        <v>Kommunikatsiooni-, kultuuri- ja vaba aja sisustamise kulud</v>
      </c>
      <c r="L668">
        <v>55</v>
      </c>
      <c r="M668" t="str">
        <f t="shared" si="21"/>
        <v>55</v>
      </c>
      <c r="N668" s="3" t="str">
        <f>VLOOKUP(Table2[[#This Row],[Tulu/kulu liik2]],Table5[[Tulu/kulu liik]:[Kontode koondnimetus]],4,FALSE)</f>
        <v>Muud tegevuskulud</v>
      </c>
      <c r="O668" s="3" t="str">
        <f>VLOOKUP(Table2[[#This Row],[Tulu/kulu liik2]],Table5[],6,FALSE)</f>
        <v>Majandamiskulud</v>
      </c>
      <c r="P668" s="3" t="str">
        <f>VLOOKUP(Table2[[#This Row],[Tulu/kulu liik2]],Table5[],5,FALSE)</f>
        <v>Põhitegevuse kulu</v>
      </c>
    </row>
    <row r="669" spans="1:16" x14ac:dyDescent="0.25">
      <c r="A669" t="str">
        <f t="shared" si="20"/>
        <v>09</v>
      </c>
      <c r="B669" t="s">
        <v>329</v>
      </c>
      <c r="C669" s="3" t="str">
        <f>VLOOKUP(Table2[[#This Row],[Tegevusala]],Table4[],2,FALSE)</f>
        <v xml:space="preserve"> Kulina Lasteaed</v>
      </c>
      <c r="D669" s="3" t="str">
        <f>VLOOKUP(Table2[[#This Row],[Tegevusala]],Table4[[Tegevusala kood]:[Tegevusala alanimetus]],4,FALSE)</f>
        <v>Alusharidus</v>
      </c>
      <c r="E669" s="3" t="str">
        <f>VLOOKUP(Table2[[#This Row],[Tegevusala nimetus2]],Table4[[Tegevusala nimetus]:[Tegevusala koondnimetus]],2,FALSE)</f>
        <v>Haridus</v>
      </c>
      <c r="F669" t="s">
        <v>1314</v>
      </c>
      <c r="G669" t="s">
        <v>178</v>
      </c>
      <c r="H669" s="40">
        <v>6000</v>
      </c>
      <c r="I669" s="2" t="s">
        <v>1334</v>
      </c>
      <c r="J669">
        <v>5511</v>
      </c>
      <c r="K669" s="3" t="str">
        <f>VLOOKUP(Table2[[#This Row],[Konto]],Table5[[Konto]:[Konto nimetus]],2,FALSE)</f>
        <v>Kinnistute, hoonete ja ruumide majandamiskulud</v>
      </c>
      <c r="L669">
        <v>55</v>
      </c>
      <c r="M669" t="str">
        <f t="shared" si="21"/>
        <v>55</v>
      </c>
      <c r="N669" s="3" t="str">
        <f>VLOOKUP(Table2[[#This Row],[Tulu/kulu liik2]],Table5[[Tulu/kulu liik]:[Kontode koondnimetus]],4,FALSE)</f>
        <v>Muud tegevuskulud</v>
      </c>
      <c r="O669" s="3" t="str">
        <f>VLOOKUP(Table2[[#This Row],[Tulu/kulu liik2]],Table5[],6,FALSE)</f>
        <v>Majandamiskulud</v>
      </c>
      <c r="P669" s="3" t="str">
        <f>VLOOKUP(Table2[[#This Row],[Tulu/kulu liik2]],Table5[],5,FALSE)</f>
        <v>Põhitegevuse kulu</v>
      </c>
    </row>
    <row r="670" spans="1:16" x14ac:dyDescent="0.25">
      <c r="A670" t="str">
        <f t="shared" si="20"/>
        <v>09</v>
      </c>
      <c r="B670" t="s">
        <v>329</v>
      </c>
      <c r="C670" s="3" t="str">
        <f>VLOOKUP(Table2[[#This Row],[Tegevusala]],Table4[],2,FALSE)</f>
        <v xml:space="preserve"> Kulina Lasteaed</v>
      </c>
      <c r="D670" s="3" t="str">
        <f>VLOOKUP(Table2[[#This Row],[Tegevusala]],Table4[[Tegevusala kood]:[Tegevusala alanimetus]],4,FALSE)</f>
        <v>Alusharidus</v>
      </c>
      <c r="E670" s="3" t="str">
        <f>VLOOKUP(Table2[[#This Row],[Tegevusala nimetus2]],Table4[[Tegevusala nimetus]:[Tegevusala koondnimetus]],2,FALSE)</f>
        <v>Haridus</v>
      </c>
      <c r="F670" t="s">
        <v>1314</v>
      </c>
      <c r="G670" t="s">
        <v>1328</v>
      </c>
      <c r="H670" s="40">
        <v>360</v>
      </c>
      <c r="I670" s="2" t="s">
        <v>1335</v>
      </c>
      <c r="J670">
        <v>5511</v>
      </c>
      <c r="K670" s="3" t="str">
        <f>VLOOKUP(Table2[[#This Row],[Konto]],Table5[[Konto]:[Konto nimetus]],2,FALSE)</f>
        <v>Kinnistute, hoonete ja ruumide majandamiskulud</v>
      </c>
      <c r="L670">
        <v>55</v>
      </c>
      <c r="M670" t="str">
        <f t="shared" si="21"/>
        <v>55</v>
      </c>
      <c r="N670" s="3" t="str">
        <f>VLOOKUP(Table2[[#This Row],[Tulu/kulu liik2]],Table5[[Tulu/kulu liik]:[Kontode koondnimetus]],4,FALSE)</f>
        <v>Muud tegevuskulud</v>
      </c>
      <c r="O670" s="3" t="str">
        <f>VLOOKUP(Table2[[#This Row],[Tulu/kulu liik2]],Table5[],6,FALSE)</f>
        <v>Majandamiskulud</v>
      </c>
      <c r="P670" s="3" t="str">
        <f>VLOOKUP(Table2[[#This Row],[Tulu/kulu liik2]],Table5[],5,FALSE)</f>
        <v>Põhitegevuse kulu</v>
      </c>
    </row>
    <row r="671" spans="1:16" x14ac:dyDescent="0.25">
      <c r="A671" t="str">
        <f t="shared" si="20"/>
        <v>09</v>
      </c>
      <c r="B671" t="s">
        <v>329</v>
      </c>
      <c r="C671" s="3" t="str">
        <f>VLOOKUP(Table2[[#This Row],[Tegevusala]],Table4[],2,FALSE)</f>
        <v xml:space="preserve"> Kulina Lasteaed</v>
      </c>
      <c r="D671" s="3" t="str">
        <f>VLOOKUP(Table2[[#This Row],[Tegevusala]],Table4[[Tegevusala kood]:[Tegevusala alanimetus]],4,FALSE)</f>
        <v>Alusharidus</v>
      </c>
      <c r="E671" s="3" t="str">
        <f>VLOOKUP(Table2[[#This Row],[Tegevusala nimetus2]],Table4[[Tegevusala nimetus]:[Tegevusala koondnimetus]],2,FALSE)</f>
        <v>Haridus</v>
      </c>
      <c r="F671" t="s">
        <v>1314</v>
      </c>
      <c r="G671" t="s">
        <v>1000</v>
      </c>
      <c r="H671" s="40">
        <v>600</v>
      </c>
      <c r="I671" s="2" t="s">
        <v>1336</v>
      </c>
      <c r="J671">
        <v>5511</v>
      </c>
      <c r="K671" s="3" t="str">
        <f>VLOOKUP(Table2[[#This Row],[Konto]],Table5[[Konto]:[Konto nimetus]],2,FALSE)</f>
        <v>Kinnistute, hoonete ja ruumide majandamiskulud</v>
      </c>
      <c r="L671">
        <v>55</v>
      </c>
      <c r="M671" t="str">
        <f t="shared" si="21"/>
        <v>55</v>
      </c>
      <c r="N671" s="3" t="str">
        <f>VLOOKUP(Table2[[#This Row],[Tulu/kulu liik2]],Table5[[Tulu/kulu liik]:[Kontode koondnimetus]],4,FALSE)</f>
        <v>Muud tegevuskulud</v>
      </c>
      <c r="O671" s="3" t="str">
        <f>VLOOKUP(Table2[[#This Row],[Tulu/kulu liik2]],Table5[],6,FALSE)</f>
        <v>Majandamiskulud</v>
      </c>
      <c r="P671" s="3" t="str">
        <f>VLOOKUP(Table2[[#This Row],[Tulu/kulu liik2]],Table5[],5,FALSE)</f>
        <v>Põhitegevuse kulu</v>
      </c>
    </row>
    <row r="672" spans="1:16" x14ac:dyDescent="0.25">
      <c r="A672" t="str">
        <f t="shared" si="20"/>
        <v>09</v>
      </c>
      <c r="B672" t="s">
        <v>329</v>
      </c>
      <c r="C672" s="3" t="str">
        <f>VLOOKUP(Table2[[#This Row],[Tegevusala]],Table4[],2,FALSE)</f>
        <v xml:space="preserve"> Kulina Lasteaed</v>
      </c>
      <c r="D672" s="3" t="str">
        <f>VLOOKUP(Table2[[#This Row],[Tegevusala]],Table4[[Tegevusala kood]:[Tegevusala alanimetus]],4,FALSE)</f>
        <v>Alusharidus</v>
      </c>
      <c r="E672" s="3" t="str">
        <f>VLOOKUP(Table2[[#This Row],[Tegevusala nimetus2]],Table4[[Tegevusala nimetus]:[Tegevusala koondnimetus]],2,FALSE)</f>
        <v>Haridus</v>
      </c>
      <c r="F672" t="s">
        <v>1314</v>
      </c>
      <c r="G672" t="s">
        <v>180</v>
      </c>
      <c r="H672" s="40">
        <v>160</v>
      </c>
      <c r="I672" s="2" t="s">
        <v>1337</v>
      </c>
      <c r="J672">
        <v>5511</v>
      </c>
      <c r="K672" s="3" t="str">
        <f>VLOOKUP(Table2[[#This Row],[Konto]],Table5[[Konto]:[Konto nimetus]],2,FALSE)</f>
        <v>Kinnistute, hoonete ja ruumide majandamiskulud</v>
      </c>
      <c r="L672">
        <v>55</v>
      </c>
      <c r="M672" t="str">
        <f t="shared" si="21"/>
        <v>55</v>
      </c>
      <c r="N672" s="3" t="str">
        <f>VLOOKUP(Table2[[#This Row],[Tulu/kulu liik2]],Table5[[Tulu/kulu liik]:[Kontode koondnimetus]],4,FALSE)</f>
        <v>Muud tegevuskulud</v>
      </c>
      <c r="O672" s="3" t="str">
        <f>VLOOKUP(Table2[[#This Row],[Tulu/kulu liik2]],Table5[],6,FALSE)</f>
        <v>Majandamiskulud</v>
      </c>
      <c r="P672" s="3" t="str">
        <f>VLOOKUP(Table2[[#This Row],[Tulu/kulu liik2]],Table5[],5,FALSE)</f>
        <v>Põhitegevuse kulu</v>
      </c>
    </row>
    <row r="673" spans="1:16" x14ac:dyDescent="0.25">
      <c r="A673" t="str">
        <f t="shared" si="20"/>
        <v>09</v>
      </c>
      <c r="B673" t="s">
        <v>329</v>
      </c>
      <c r="C673" s="3" t="str">
        <f>VLOOKUP(Table2[[#This Row],[Tegevusala]],Table4[],2,FALSE)</f>
        <v xml:space="preserve"> Kulina Lasteaed</v>
      </c>
      <c r="D673" s="3" t="str">
        <f>VLOOKUP(Table2[[#This Row],[Tegevusala]],Table4[[Tegevusala kood]:[Tegevusala alanimetus]],4,FALSE)</f>
        <v>Alusharidus</v>
      </c>
      <c r="E673" s="3" t="str">
        <f>VLOOKUP(Table2[[#This Row],[Tegevusala nimetus2]],Table4[[Tegevusala nimetus]:[Tegevusala koondnimetus]],2,FALSE)</f>
        <v>Haridus</v>
      </c>
      <c r="F673" t="s">
        <v>1314</v>
      </c>
      <c r="G673" t="s">
        <v>1289</v>
      </c>
      <c r="H673" s="40">
        <v>276</v>
      </c>
      <c r="I673" s="2" t="s">
        <v>1338</v>
      </c>
      <c r="J673">
        <v>5511</v>
      </c>
      <c r="K673" s="3" t="str">
        <f>VLOOKUP(Table2[[#This Row],[Konto]],Table5[[Konto]:[Konto nimetus]],2,FALSE)</f>
        <v>Kinnistute, hoonete ja ruumide majandamiskulud</v>
      </c>
      <c r="L673">
        <v>55</v>
      </c>
      <c r="M673" t="str">
        <f t="shared" si="21"/>
        <v>55</v>
      </c>
      <c r="N673" s="3" t="str">
        <f>VLOOKUP(Table2[[#This Row],[Tulu/kulu liik2]],Table5[[Tulu/kulu liik]:[Kontode koondnimetus]],4,FALSE)</f>
        <v>Muud tegevuskulud</v>
      </c>
      <c r="O673" s="3" t="str">
        <f>VLOOKUP(Table2[[#This Row],[Tulu/kulu liik2]],Table5[],6,FALSE)</f>
        <v>Majandamiskulud</v>
      </c>
      <c r="P673" s="3" t="str">
        <f>VLOOKUP(Table2[[#This Row],[Tulu/kulu liik2]],Table5[],5,FALSE)</f>
        <v>Põhitegevuse kulu</v>
      </c>
    </row>
    <row r="674" spans="1:16" x14ac:dyDescent="0.25">
      <c r="A674" t="str">
        <f t="shared" si="20"/>
        <v>09</v>
      </c>
      <c r="B674" t="s">
        <v>329</v>
      </c>
      <c r="C674" s="3" t="str">
        <f>VLOOKUP(Table2[[#This Row],[Tegevusala]],Table4[],2,FALSE)</f>
        <v xml:space="preserve"> Kulina Lasteaed</v>
      </c>
      <c r="D674" s="3" t="str">
        <f>VLOOKUP(Table2[[#This Row],[Tegevusala]],Table4[[Tegevusala kood]:[Tegevusala alanimetus]],4,FALSE)</f>
        <v>Alusharidus</v>
      </c>
      <c r="E674" s="3" t="str">
        <f>VLOOKUP(Table2[[#This Row],[Tegevusala nimetus2]],Table4[[Tegevusala nimetus]:[Tegevusala koondnimetus]],2,FALSE)</f>
        <v>Haridus</v>
      </c>
      <c r="F674" t="s">
        <v>1314</v>
      </c>
      <c r="G674" t="s">
        <v>1329</v>
      </c>
      <c r="H674" s="40">
        <v>145</v>
      </c>
      <c r="I674" s="2" t="s">
        <v>1339</v>
      </c>
      <c r="J674">
        <v>5511</v>
      </c>
      <c r="K674" s="3" t="str">
        <f>VLOOKUP(Table2[[#This Row],[Konto]],Table5[[Konto]:[Konto nimetus]],2,FALSE)</f>
        <v>Kinnistute, hoonete ja ruumide majandamiskulud</v>
      </c>
      <c r="L674">
        <v>55</v>
      </c>
      <c r="M674" t="str">
        <f t="shared" si="21"/>
        <v>55</v>
      </c>
      <c r="N674" s="3" t="str">
        <f>VLOOKUP(Table2[[#This Row],[Tulu/kulu liik2]],Table5[[Tulu/kulu liik]:[Kontode koondnimetus]],4,FALSE)</f>
        <v>Muud tegevuskulud</v>
      </c>
      <c r="O674" s="3" t="str">
        <f>VLOOKUP(Table2[[#This Row],[Tulu/kulu liik2]],Table5[],6,FALSE)</f>
        <v>Majandamiskulud</v>
      </c>
      <c r="P674" s="3" t="str">
        <f>VLOOKUP(Table2[[#This Row],[Tulu/kulu liik2]],Table5[],5,FALSE)</f>
        <v>Põhitegevuse kulu</v>
      </c>
    </row>
    <row r="675" spans="1:16" x14ac:dyDescent="0.25">
      <c r="A675" t="str">
        <f t="shared" si="20"/>
        <v>09</v>
      </c>
      <c r="B675" t="s">
        <v>329</v>
      </c>
      <c r="C675" s="3" t="str">
        <f>VLOOKUP(Table2[[#This Row],[Tegevusala]],Table4[],2,FALSE)</f>
        <v xml:space="preserve"> Kulina Lasteaed</v>
      </c>
      <c r="D675" s="3" t="str">
        <f>VLOOKUP(Table2[[#This Row],[Tegevusala]],Table4[[Tegevusala kood]:[Tegevusala alanimetus]],4,FALSE)</f>
        <v>Alusharidus</v>
      </c>
      <c r="E675" s="3" t="str">
        <f>VLOOKUP(Table2[[#This Row],[Tegevusala nimetus2]],Table4[[Tegevusala nimetus]:[Tegevusala koondnimetus]],2,FALSE)</f>
        <v>Haridus</v>
      </c>
      <c r="F675" t="s">
        <v>1314</v>
      </c>
      <c r="G675" t="s">
        <v>1330</v>
      </c>
      <c r="H675" s="40">
        <v>110</v>
      </c>
      <c r="I675" s="2" t="s">
        <v>1340</v>
      </c>
      <c r="J675">
        <v>5511</v>
      </c>
      <c r="K675" s="3" t="str">
        <f>VLOOKUP(Table2[[#This Row],[Konto]],Table5[[Konto]:[Konto nimetus]],2,FALSE)</f>
        <v>Kinnistute, hoonete ja ruumide majandamiskulud</v>
      </c>
      <c r="L675">
        <v>55</v>
      </c>
      <c r="M675" t="str">
        <f t="shared" si="21"/>
        <v>55</v>
      </c>
      <c r="N675" s="3" t="str">
        <f>VLOOKUP(Table2[[#This Row],[Tulu/kulu liik2]],Table5[[Tulu/kulu liik]:[Kontode koondnimetus]],4,FALSE)</f>
        <v>Muud tegevuskulud</v>
      </c>
      <c r="O675" s="3" t="str">
        <f>VLOOKUP(Table2[[#This Row],[Tulu/kulu liik2]],Table5[],6,FALSE)</f>
        <v>Majandamiskulud</v>
      </c>
      <c r="P675" s="3" t="str">
        <f>VLOOKUP(Table2[[#This Row],[Tulu/kulu liik2]],Table5[],5,FALSE)</f>
        <v>Põhitegevuse kulu</v>
      </c>
    </row>
    <row r="676" spans="1:16" x14ac:dyDescent="0.25">
      <c r="A676" t="str">
        <f t="shared" si="20"/>
        <v>09</v>
      </c>
      <c r="B676" t="s">
        <v>329</v>
      </c>
      <c r="C676" s="3" t="str">
        <f>VLOOKUP(Table2[[#This Row],[Tegevusala]],Table4[],2,FALSE)</f>
        <v xml:space="preserve"> Kulina Lasteaed</v>
      </c>
      <c r="D676" s="3" t="str">
        <f>VLOOKUP(Table2[[#This Row],[Tegevusala]],Table4[[Tegevusala kood]:[Tegevusala alanimetus]],4,FALSE)</f>
        <v>Alusharidus</v>
      </c>
      <c r="E676" s="3" t="str">
        <f>VLOOKUP(Table2[[#This Row],[Tegevusala nimetus2]],Table4[[Tegevusala nimetus]:[Tegevusala koondnimetus]],2,FALSE)</f>
        <v>Haridus</v>
      </c>
      <c r="F676" t="s">
        <v>1314</v>
      </c>
      <c r="G676" t="s">
        <v>1331</v>
      </c>
      <c r="H676" s="40">
        <v>690</v>
      </c>
      <c r="I676" s="2" t="s">
        <v>1341</v>
      </c>
      <c r="J676">
        <v>5511</v>
      </c>
      <c r="K676" s="3" t="str">
        <f>VLOOKUP(Table2[[#This Row],[Konto]],Table5[[Konto]:[Konto nimetus]],2,FALSE)</f>
        <v>Kinnistute, hoonete ja ruumide majandamiskulud</v>
      </c>
      <c r="L676">
        <v>55</v>
      </c>
      <c r="M676" t="str">
        <f t="shared" si="21"/>
        <v>55</v>
      </c>
      <c r="N676" s="3" t="str">
        <f>VLOOKUP(Table2[[#This Row],[Tulu/kulu liik2]],Table5[[Tulu/kulu liik]:[Kontode koondnimetus]],4,FALSE)</f>
        <v>Muud tegevuskulud</v>
      </c>
      <c r="O676" s="3" t="str">
        <f>VLOOKUP(Table2[[#This Row],[Tulu/kulu liik2]],Table5[],6,FALSE)</f>
        <v>Majandamiskulud</v>
      </c>
      <c r="P676" s="3" t="str">
        <f>VLOOKUP(Table2[[#This Row],[Tulu/kulu liik2]],Table5[],5,FALSE)</f>
        <v>Põhitegevuse kulu</v>
      </c>
    </row>
    <row r="677" spans="1:16" x14ac:dyDescent="0.25">
      <c r="A677" t="str">
        <f t="shared" si="20"/>
        <v>09</v>
      </c>
      <c r="B677" t="s">
        <v>329</v>
      </c>
      <c r="C677" s="3" t="str">
        <f>VLOOKUP(Table2[[#This Row],[Tegevusala]],Table4[],2,FALSE)</f>
        <v xml:space="preserve"> Kulina Lasteaed</v>
      </c>
      <c r="D677" s="3" t="str">
        <f>VLOOKUP(Table2[[#This Row],[Tegevusala]],Table4[[Tegevusala kood]:[Tegevusala alanimetus]],4,FALSE)</f>
        <v>Alusharidus</v>
      </c>
      <c r="E677" s="3" t="str">
        <f>VLOOKUP(Table2[[#This Row],[Tegevusala nimetus2]],Table4[[Tegevusala nimetus]:[Tegevusala koondnimetus]],2,FALSE)</f>
        <v>Haridus</v>
      </c>
      <c r="F677" t="s">
        <v>1314</v>
      </c>
      <c r="G677" t="s">
        <v>1332</v>
      </c>
      <c r="H677" s="40">
        <v>120</v>
      </c>
      <c r="I677" s="2" t="s">
        <v>1342</v>
      </c>
      <c r="J677">
        <v>5511</v>
      </c>
      <c r="K677" s="3" t="str">
        <f>VLOOKUP(Table2[[#This Row],[Konto]],Table5[[Konto]:[Konto nimetus]],2,FALSE)</f>
        <v>Kinnistute, hoonete ja ruumide majandamiskulud</v>
      </c>
      <c r="L677">
        <v>55</v>
      </c>
      <c r="M677" t="str">
        <f t="shared" si="21"/>
        <v>55</v>
      </c>
      <c r="N677" s="3" t="str">
        <f>VLOOKUP(Table2[[#This Row],[Tulu/kulu liik2]],Table5[[Tulu/kulu liik]:[Kontode koondnimetus]],4,FALSE)</f>
        <v>Muud tegevuskulud</v>
      </c>
      <c r="O677" s="3" t="str">
        <f>VLOOKUP(Table2[[#This Row],[Tulu/kulu liik2]],Table5[],6,FALSE)</f>
        <v>Majandamiskulud</v>
      </c>
      <c r="P677" s="3" t="str">
        <f>VLOOKUP(Table2[[#This Row],[Tulu/kulu liik2]],Table5[],5,FALSE)</f>
        <v>Põhitegevuse kulu</v>
      </c>
    </row>
    <row r="678" spans="1:16" x14ac:dyDescent="0.25">
      <c r="A678" t="str">
        <f t="shared" si="20"/>
        <v>09</v>
      </c>
      <c r="B678" t="s">
        <v>329</v>
      </c>
      <c r="C678" s="3" t="str">
        <f>VLOOKUP(Table2[[#This Row],[Tegevusala]],Table4[],2,FALSE)</f>
        <v xml:space="preserve"> Kulina Lasteaed</v>
      </c>
      <c r="D678" s="3" t="str">
        <f>VLOOKUP(Table2[[#This Row],[Tegevusala]],Table4[[Tegevusala kood]:[Tegevusala alanimetus]],4,FALSE)</f>
        <v>Alusharidus</v>
      </c>
      <c r="E678" s="3" t="str">
        <f>VLOOKUP(Table2[[#This Row],[Tegevusala nimetus2]],Table4[[Tegevusala nimetus]:[Tegevusala koondnimetus]],2,FALSE)</f>
        <v>Haridus</v>
      </c>
      <c r="F678" t="s">
        <v>1314</v>
      </c>
      <c r="G678" t="s">
        <v>1333</v>
      </c>
      <c r="H678" s="40">
        <v>200</v>
      </c>
      <c r="I678" s="2" t="s">
        <v>1343</v>
      </c>
      <c r="J678">
        <v>5511</v>
      </c>
      <c r="K678" s="3" t="str">
        <f>VLOOKUP(Table2[[#This Row],[Konto]],Table5[[Konto]:[Konto nimetus]],2,FALSE)</f>
        <v>Kinnistute, hoonete ja ruumide majandamiskulud</v>
      </c>
      <c r="L678">
        <v>55</v>
      </c>
      <c r="M678" t="str">
        <f t="shared" si="21"/>
        <v>55</v>
      </c>
      <c r="N678" s="3" t="str">
        <f>VLOOKUP(Table2[[#This Row],[Tulu/kulu liik2]],Table5[[Tulu/kulu liik]:[Kontode koondnimetus]],4,FALSE)</f>
        <v>Muud tegevuskulud</v>
      </c>
      <c r="O678" s="3" t="str">
        <f>VLOOKUP(Table2[[#This Row],[Tulu/kulu liik2]],Table5[],6,FALSE)</f>
        <v>Majandamiskulud</v>
      </c>
      <c r="P678" s="3" t="str">
        <f>VLOOKUP(Table2[[#This Row],[Tulu/kulu liik2]],Table5[],5,FALSE)</f>
        <v>Põhitegevuse kulu</v>
      </c>
    </row>
    <row r="679" spans="1:16" x14ac:dyDescent="0.25">
      <c r="A679" t="str">
        <f t="shared" si="20"/>
        <v>09</v>
      </c>
      <c r="B679" t="s">
        <v>329</v>
      </c>
      <c r="C679" s="3" t="str">
        <f>VLOOKUP(Table2[[#This Row],[Tegevusala]],Table4[],2,FALSE)</f>
        <v xml:space="preserve"> Kulina Lasteaed</v>
      </c>
      <c r="D679" s="3" t="str">
        <f>VLOOKUP(Table2[[#This Row],[Tegevusala]],Table4[[Tegevusala kood]:[Tegevusala alanimetus]],4,FALSE)</f>
        <v>Alusharidus</v>
      </c>
      <c r="E679" s="3" t="str">
        <f>VLOOKUP(Table2[[#This Row],[Tegevusala nimetus2]],Table4[[Tegevusala nimetus]:[Tegevusala koondnimetus]],2,FALSE)</f>
        <v>Haridus</v>
      </c>
      <c r="F679" t="s">
        <v>1314</v>
      </c>
      <c r="G679" t="s">
        <v>1354</v>
      </c>
      <c r="H679" s="40">
        <v>975</v>
      </c>
      <c r="I679" s="2" t="s">
        <v>1360</v>
      </c>
      <c r="J679">
        <v>5511</v>
      </c>
      <c r="K679" s="3" t="str">
        <f>VLOOKUP(Table2[[#This Row],[Konto]],Table5[[Konto]:[Konto nimetus]],2,FALSE)</f>
        <v>Kinnistute, hoonete ja ruumide majandamiskulud</v>
      </c>
      <c r="L679">
        <v>55</v>
      </c>
      <c r="M679" t="str">
        <f t="shared" si="21"/>
        <v>55</v>
      </c>
      <c r="N679" s="3" t="str">
        <f>VLOOKUP(Table2[[#This Row],[Tulu/kulu liik2]],Table5[[Tulu/kulu liik]:[Kontode koondnimetus]],4,FALSE)</f>
        <v>Muud tegevuskulud</v>
      </c>
      <c r="O679" s="3" t="str">
        <f>VLOOKUP(Table2[[#This Row],[Tulu/kulu liik2]],Table5[],6,FALSE)</f>
        <v>Majandamiskulud</v>
      </c>
      <c r="P679" s="3" t="str">
        <f>VLOOKUP(Table2[[#This Row],[Tulu/kulu liik2]],Table5[],5,FALSE)</f>
        <v>Põhitegevuse kulu</v>
      </c>
    </row>
    <row r="680" spans="1:16" x14ac:dyDescent="0.25">
      <c r="A680" t="str">
        <f t="shared" si="20"/>
        <v>09</v>
      </c>
      <c r="B680" t="s">
        <v>329</v>
      </c>
      <c r="C680" s="3" t="str">
        <f>VLOOKUP(Table2[[#This Row],[Tegevusala]],Table4[],2,FALSE)</f>
        <v xml:space="preserve"> Kulina Lasteaed</v>
      </c>
      <c r="D680" s="3" t="str">
        <f>VLOOKUP(Table2[[#This Row],[Tegevusala]],Table4[[Tegevusala kood]:[Tegevusala alanimetus]],4,FALSE)</f>
        <v>Alusharidus</v>
      </c>
      <c r="E680" s="3" t="str">
        <f>VLOOKUP(Table2[[#This Row],[Tegevusala nimetus2]],Table4[[Tegevusala nimetus]:[Tegevusala koondnimetus]],2,FALSE)</f>
        <v>Haridus</v>
      </c>
      <c r="F680" t="s">
        <v>1314</v>
      </c>
      <c r="G680" t="s">
        <v>1345</v>
      </c>
      <c r="H680" s="40">
        <v>50</v>
      </c>
      <c r="I680" s="2" t="s">
        <v>1347</v>
      </c>
      <c r="J680">
        <v>5514</v>
      </c>
      <c r="K680" s="3" t="str">
        <f>VLOOKUP(Table2[[#This Row],[Konto]],Table5[[Konto]:[Konto nimetus]],2,FALSE)</f>
        <v>Info- ja kommunikatsioonitehnoliigised kulud</v>
      </c>
      <c r="L680">
        <v>55</v>
      </c>
      <c r="M680" t="str">
        <f t="shared" si="21"/>
        <v>55</v>
      </c>
      <c r="N680" s="3" t="str">
        <f>VLOOKUP(Table2[[#This Row],[Tulu/kulu liik2]],Table5[[Tulu/kulu liik]:[Kontode koondnimetus]],4,FALSE)</f>
        <v>Muud tegevuskulud</v>
      </c>
      <c r="O680" s="3" t="str">
        <f>VLOOKUP(Table2[[#This Row],[Tulu/kulu liik2]],Table5[],6,FALSE)</f>
        <v>Majandamiskulud</v>
      </c>
      <c r="P680" s="3" t="str">
        <f>VLOOKUP(Table2[[#This Row],[Tulu/kulu liik2]],Table5[],5,FALSE)</f>
        <v>Põhitegevuse kulu</v>
      </c>
    </row>
    <row r="681" spans="1:16" x14ac:dyDescent="0.25">
      <c r="A681" t="str">
        <f t="shared" si="20"/>
        <v>09</v>
      </c>
      <c r="B681" t="s">
        <v>331</v>
      </c>
      <c r="C681" s="3" t="str">
        <f>VLOOKUP(Table2[[#This Row],[Tegevusala]],Table4[],2,FALSE)</f>
        <v xml:space="preserve"> Tudu Lasteaed</v>
      </c>
      <c r="D681" s="3" t="str">
        <f>VLOOKUP(Table2[[#This Row],[Tegevusala]],Table4[[Tegevusala kood]:[Tegevusala alanimetus]],4,FALSE)</f>
        <v>Alusharidus</v>
      </c>
      <c r="E681" s="3" t="str">
        <f>VLOOKUP(Table2[[#This Row],[Tegevusala nimetus2]],Table4[[Tegevusala nimetus]:[Tegevusala koondnimetus]],2,FALSE)</f>
        <v>Haridus</v>
      </c>
      <c r="F681" t="s">
        <v>1741</v>
      </c>
      <c r="G681" t="s">
        <v>1739</v>
      </c>
      <c r="H681" s="40">
        <v>100</v>
      </c>
      <c r="J681">
        <v>5504</v>
      </c>
      <c r="K681" s="3" t="str">
        <f>VLOOKUP(Table2[[#This Row],[Konto]],Table5[[Konto]:[Konto nimetus]],2,FALSE)</f>
        <v>Koolituskulud</v>
      </c>
      <c r="L681">
        <v>55</v>
      </c>
      <c r="M681" t="str">
        <f t="shared" si="21"/>
        <v>55</v>
      </c>
      <c r="N681" s="3" t="str">
        <f>VLOOKUP(Table2[[#This Row],[Tulu/kulu liik2]],Table5[[Tulu/kulu liik]:[Kontode koondnimetus]],4,FALSE)</f>
        <v>Muud tegevuskulud</v>
      </c>
      <c r="O681" s="3" t="str">
        <f>VLOOKUP(Table2[[#This Row],[Tulu/kulu liik2]],Table5[],6,FALSE)</f>
        <v>Majandamiskulud</v>
      </c>
      <c r="P681" s="3" t="str">
        <f>VLOOKUP(Table2[[#This Row],[Tulu/kulu liik2]],Table5[],5,FALSE)</f>
        <v>Põhitegevuse kulu</v>
      </c>
    </row>
    <row r="682" spans="1:16" x14ac:dyDescent="0.25">
      <c r="A682" t="str">
        <f t="shared" si="20"/>
        <v>09</v>
      </c>
      <c r="B682" t="s">
        <v>331</v>
      </c>
      <c r="C682" s="3" t="str">
        <f>VLOOKUP(Table2[[#This Row],[Tegevusala]],Table4[],2,FALSE)</f>
        <v xml:space="preserve"> Tudu Lasteaed</v>
      </c>
      <c r="D682" s="3" t="str">
        <f>VLOOKUP(Table2[[#This Row],[Tegevusala]],Table4[[Tegevusala kood]:[Tegevusala alanimetus]],4,FALSE)</f>
        <v>Alusharidus</v>
      </c>
      <c r="E682" s="3" t="str">
        <f>VLOOKUP(Table2[[#This Row],[Tegevusala nimetus2]],Table4[[Tegevusala nimetus]:[Tegevusala koondnimetus]],2,FALSE)</f>
        <v>Haridus</v>
      </c>
      <c r="F682" t="s">
        <v>1741</v>
      </c>
      <c r="G682" t="s">
        <v>1759</v>
      </c>
      <c r="H682" s="40">
        <v>4073</v>
      </c>
      <c r="J682">
        <v>5521</v>
      </c>
      <c r="K682" s="3" t="str">
        <f>VLOOKUP(Table2[[#This Row],[Konto]],Table5[[Konto]:[Konto nimetus]],2,FALSE)</f>
        <v>Toiduained ja toitlustusteenused</v>
      </c>
      <c r="L682">
        <v>55</v>
      </c>
      <c r="M682" t="str">
        <f t="shared" si="21"/>
        <v>55</v>
      </c>
      <c r="N682" s="3" t="str">
        <f>VLOOKUP(Table2[[#This Row],[Tulu/kulu liik2]],Table5[[Tulu/kulu liik]:[Kontode koondnimetus]],4,FALSE)</f>
        <v>Muud tegevuskulud</v>
      </c>
      <c r="O682" s="3" t="str">
        <f>VLOOKUP(Table2[[#This Row],[Tulu/kulu liik2]],Table5[],6,FALSE)</f>
        <v>Majandamiskulud</v>
      </c>
      <c r="P682" s="3" t="str">
        <f>VLOOKUP(Table2[[#This Row],[Tulu/kulu liik2]],Table5[],5,FALSE)</f>
        <v>Põhitegevuse kulu</v>
      </c>
    </row>
    <row r="683" spans="1:16" x14ac:dyDescent="0.25">
      <c r="A683" t="str">
        <f t="shared" si="20"/>
        <v>09</v>
      </c>
      <c r="B683" t="s">
        <v>331</v>
      </c>
      <c r="C683" s="3" t="str">
        <f>VLOOKUP(Table2[[#This Row],[Tegevusala]],Table4[],2,FALSE)</f>
        <v xml:space="preserve"> Tudu Lasteaed</v>
      </c>
      <c r="D683" s="3" t="str">
        <f>VLOOKUP(Table2[[#This Row],[Tegevusala]],Table4[[Tegevusala kood]:[Tegevusala alanimetus]],4,FALSE)</f>
        <v>Alusharidus</v>
      </c>
      <c r="E683" s="3" t="str">
        <f>VLOOKUP(Table2[[#This Row],[Tegevusala nimetus2]],Table4[[Tegevusala nimetus]:[Tegevusala koondnimetus]],2,FALSE)</f>
        <v>Haridus</v>
      </c>
      <c r="F683" t="s">
        <v>1741</v>
      </c>
      <c r="G683" t="s">
        <v>1762</v>
      </c>
      <c r="H683" s="40">
        <v>150</v>
      </c>
      <c r="J683">
        <v>5524</v>
      </c>
      <c r="K683" s="3" t="str">
        <f>VLOOKUP(Table2[[#This Row],[Konto]],Table5[[Konto]:[Konto nimetus]],2,FALSE)</f>
        <v>Õppevahendid</v>
      </c>
      <c r="L683">
        <v>55</v>
      </c>
      <c r="M683" t="str">
        <f t="shared" si="21"/>
        <v>55</v>
      </c>
      <c r="N683" s="3" t="str">
        <f>VLOOKUP(Table2[[#This Row],[Tulu/kulu liik2]],Table5[[Tulu/kulu liik]:[Kontode koondnimetus]],4,FALSE)</f>
        <v>Muud tegevuskulud</v>
      </c>
      <c r="O683" s="3" t="str">
        <f>VLOOKUP(Table2[[#This Row],[Tulu/kulu liik2]],Table5[],6,FALSE)</f>
        <v>Majandamiskulud</v>
      </c>
      <c r="P683" s="3" t="str">
        <f>VLOOKUP(Table2[[#This Row],[Tulu/kulu liik2]],Table5[],5,FALSE)</f>
        <v>Põhitegevuse kulu</v>
      </c>
    </row>
    <row r="684" spans="1:16" x14ac:dyDescent="0.25">
      <c r="A684" t="str">
        <f t="shared" si="20"/>
        <v>09</v>
      </c>
      <c r="B684" t="s">
        <v>331</v>
      </c>
      <c r="C684" s="3" t="str">
        <f>VLOOKUP(Table2[[#This Row],[Tegevusala]],Table4[],2,FALSE)</f>
        <v xml:space="preserve"> Tudu Lasteaed</v>
      </c>
      <c r="D684" s="3" t="str">
        <f>VLOOKUP(Table2[[#This Row],[Tegevusala]],Table4[[Tegevusala kood]:[Tegevusala alanimetus]],4,FALSE)</f>
        <v>Alusharidus</v>
      </c>
      <c r="E684" s="3" t="str">
        <f>VLOOKUP(Table2[[#This Row],[Tegevusala nimetus2]],Table4[[Tegevusala nimetus]:[Tegevusala koondnimetus]],2,FALSE)</f>
        <v>Haridus</v>
      </c>
      <c r="F684" t="s">
        <v>1741</v>
      </c>
      <c r="G684" t="s">
        <v>218</v>
      </c>
      <c r="H684" s="40">
        <v>50</v>
      </c>
      <c r="J684">
        <v>5524</v>
      </c>
      <c r="K684" s="3" t="str">
        <f>VLOOKUP(Table2[[#This Row],[Konto]],Table5[[Konto]:[Konto nimetus]],2,FALSE)</f>
        <v>Õppevahendid</v>
      </c>
      <c r="L684">
        <v>55</v>
      </c>
      <c r="M684" t="str">
        <f t="shared" si="21"/>
        <v>55</v>
      </c>
      <c r="N684" s="3" t="str">
        <f>VLOOKUP(Table2[[#This Row],[Tulu/kulu liik2]],Table5[[Tulu/kulu liik]:[Kontode koondnimetus]],4,FALSE)</f>
        <v>Muud tegevuskulud</v>
      </c>
      <c r="O684" s="3" t="str">
        <f>VLOOKUP(Table2[[#This Row],[Tulu/kulu liik2]],Table5[],6,FALSE)</f>
        <v>Majandamiskulud</v>
      </c>
      <c r="P684" s="3" t="str">
        <f>VLOOKUP(Table2[[#This Row],[Tulu/kulu liik2]],Table5[],5,FALSE)</f>
        <v>Põhitegevuse kulu</v>
      </c>
    </row>
    <row r="685" spans="1:16" x14ac:dyDescent="0.25">
      <c r="A685" t="str">
        <f t="shared" si="20"/>
        <v>09</v>
      </c>
      <c r="B685" t="s">
        <v>331</v>
      </c>
      <c r="C685" s="3" t="str">
        <f>VLOOKUP(Table2[[#This Row],[Tegevusala]],Table4[],2,FALSE)</f>
        <v xml:space="preserve"> Tudu Lasteaed</v>
      </c>
      <c r="D685" s="3" t="str">
        <f>VLOOKUP(Table2[[#This Row],[Tegevusala]],Table4[[Tegevusala kood]:[Tegevusala alanimetus]],4,FALSE)</f>
        <v>Alusharidus</v>
      </c>
      <c r="E685" s="3" t="str">
        <f>VLOOKUP(Table2[[#This Row],[Tegevusala nimetus2]],Table4[[Tegevusala nimetus]:[Tegevusala koondnimetus]],2,FALSE)</f>
        <v>Haridus</v>
      </c>
      <c r="F685" t="s">
        <v>1741</v>
      </c>
      <c r="G685" t="s">
        <v>1763</v>
      </c>
      <c r="H685" s="40">
        <v>150</v>
      </c>
      <c r="J685">
        <v>5524</v>
      </c>
      <c r="K685" s="3" t="str">
        <f>VLOOKUP(Table2[[#This Row],[Konto]],Table5[[Konto]:[Konto nimetus]],2,FALSE)</f>
        <v>Õppevahendid</v>
      </c>
      <c r="L685">
        <v>55</v>
      </c>
      <c r="M685" t="str">
        <f t="shared" si="21"/>
        <v>55</v>
      </c>
      <c r="N685" s="3" t="str">
        <f>VLOOKUP(Table2[[#This Row],[Tulu/kulu liik2]],Table5[[Tulu/kulu liik]:[Kontode koondnimetus]],4,FALSE)</f>
        <v>Muud tegevuskulud</v>
      </c>
      <c r="O685" s="3" t="str">
        <f>VLOOKUP(Table2[[#This Row],[Tulu/kulu liik2]],Table5[],6,FALSE)</f>
        <v>Majandamiskulud</v>
      </c>
      <c r="P685" s="3" t="str">
        <f>VLOOKUP(Table2[[#This Row],[Tulu/kulu liik2]],Table5[],5,FALSE)</f>
        <v>Põhitegevuse kulu</v>
      </c>
    </row>
    <row r="686" spans="1:16" x14ac:dyDescent="0.25">
      <c r="A686" t="str">
        <f t="shared" si="20"/>
        <v>09</v>
      </c>
      <c r="B686" t="s">
        <v>331</v>
      </c>
      <c r="C686" s="3" t="str">
        <f>VLOOKUP(Table2[[#This Row],[Tegevusala]],Table4[],2,FALSE)</f>
        <v xml:space="preserve"> Tudu Lasteaed</v>
      </c>
      <c r="D686" s="3" t="str">
        <f>VLOOKUP(Table2[[#This Row],[Tegevusala]],Table4[[Tegevusala kood]:[Tegevusala alanimetus]],4,FALSE)</f>
        <v>Alusharidus</v>
      </c>
      <c r="E686" s="3" t="str">
        <f>VLOOKUP(Table2[[#This Row],[Tegevusala nimetus2]],Table4[[Tegevusala nimetus]:[Tegevusala koondnimetus]],2,FALSE)</f>
        <v>Haridus</v>
      </c>
      <c r="F686" t="s">
        <v>1741</v>
      </c>
      <c r="G686" t="s">
        <v>1764</v>
      </c>
      <c r="H686" s="40">
        <v>900</v>
      </c>
      <c r="J686">
        <v>5524</v>
      </c>
      <c r="K686" s="3" t="str">
        <f>VLOOKUP(Table2[[#This Row],[Konto]],Table5[[Konto]:[Konto nimetus]],2,FALSE)</f>
        <v>Õppevahendid</v>
      </c>
      <c r="L686">
        <v>55</v>
      </c>
      <c r="M686" t="str">
        <f t="shared" si="21"/>
        <v>55</v>
      </c>
      <c r="N686" s="3" t="str">
        <f>VLOOKUP(Table2[[#This Row],[Tulu/kulu liik2]],Table5[[Tulu/kulu liik]:[Kontode koondnimetus]],4,FALSE)</f>
        <v>Muud tegevuskulud</v>
      </c>
      <c r="O686" s="3" t="str">
        <f>VLOOKUP(Table2[[#This Row],[Tulu/kulu liik2]],Table5[],6,FALSE)</f>
        <v>Majandamiskulud</v>
      </c>
      <c r="P686" s="3" t="str">
        <f>VLOOKUP(Table2[[#This Row],[Tulu/kulu liik2]],Table5[],5,FALSE)</f>
        <v>Põhitegevuse kulu</v>
      </c>
    </row>
    <row r="687" spans="1:16" x14ac:dyDescent="0.25">
      <c r="A687" t="str">
        <f t="shared" si="20"/>
        <v>09</v>
      </c>
      <c r="B687" t="s">
        <v>333</v>
      </c>
      <c r="C687" s="3" t="str">
        <f>VLOOKUP(Table2[[#This Row],[Tegevusala]],Table4[],2,FALSE)</f>
        <v xml:space="preserve"> Ulvi Lasteaed</v>
      </c>
      <c r="D687" s="3" t="str">
        <f>VLOOKUP(Table2[[#This Row],[Tegevusala]],Table4[[Tegevusala kood]:[Tegevusala alanimetus]],4,FALSE)</f>
        <v>Alusharidus</v>
      </c>
      <c r="E687" s="3" t="str">
        <f>VLOOKUP(Table2[[#This Row],[Tegevusala nimetus2]],Table4[[Tegevusala nimetus]:[Tegevusala koondnimetus]],2,FALSE)</f>
        <v>Haridus</v>
      </c>
      <c r="F687" t="s">
        <v>1374</v>
      </c>
      <c r="G687" t="s">
        <v>409</v>
      </c>
      <c r="H687" s="40">
        <v>600</v>
      </c>
      <c r="J687">
        <v>5504</v>
      </c>
      <c r="K687" s="3" t="str">
        <f>VLOOKUP(Table2[[#This Row],[Konto]],Table5[[Konto]:[Konto nimetus]],2,FALSE)</f>
        <v>Koolituskulud</v>
      </c>
      <c r="L687">
        <v>55</v>
      </c>
      <c r="M687" t="str">
        <f t="shared" si="21"/>
        <v>55</v>
      </c>
      <c r="N687" s="3" t="str">
        <f>VLOOKUP(Table2[[#This Row],[Tulu/kulu liik2]],Table5[[Tulu/kulu liik]:[Kontode koondnimetus]],4,FALSE)</f>
        <v>Muud tegevuskulud</v>
      </c>
      <c r="O687" s="3" t="str">
        <f>VLOOKUP(Table2[[#This Row],[Tulu/kulu liik2]],Table5[],6,FALSE)</f>
        <v>Majandamiskulud</v>
      </c>
      <c r="P687" s="3" t="str">
        <f>VLOOKUP(Table2[[#This Row],[Tulu/kulu liik2]],Table5[],5,FALSE)</f>
        <v>Põhitegevuse kulu</v>
      </c>
    </row>
    <row r="688" spans="1:16" x14ac:dyDescent="0.25">
      <c r="A688" t="str">
        <f t="shared" si="20"/>
        <v>09</v>
      </c>
      <c r="B688" t="s">
        <v>333</v>
      </c>
      <c r="C688" s="3" t="str">
        <f>VLOOKUP(Table2[[#This Row],[Tegevusala]],Table4[],2,FALSE)</f>
        <v xml:space="preserve"> Ulvi Lasteaed</v>
      </c>
      <c r="D688" s="3" t="str">
        <f>VLOOKUP(Table2[[#This Row],[Tegevusala]],Table4[[Tegevusala kood]:[Tegevusala alanimetus]],4,FALSE)</f>
        <v>Alusharidus</v>
      </c>
      <c r="E688" s="3" t="str">
        <f>VLOOKUP(Table2[[#This Row],[Tegevusala nimetus2]],Table4[[Tegevusala nimetus]:[Tegevusala koondnimetus]],2,FALSE)</f>
        <v>Haridus</v>
      </c>
      <c r="F688" t="s">
        <v>1374</v>
      </c>
      <c r="G688" t="s">
        <v>1382</v>
      </c>
      <c r="H688" s="40">
        <v>150</v>
      </c>
      <c r="J688">
        <v>5515</v>
      </c>
      <c r="K688" s="3" t="str">
        <f>VLOOKUP(Table2[[#This Row],[Konto]],Table5[[Konto]:[Konto nimetus]],2,FALSE)</f>
        <v>Inventari kulud, v.a infotehnoloogia ja kaitseotstarbelised kulud</v>
      </c>
      <c r="L688">
        <v>55</v>
      </c>
      <c r="M688" t="str">
        <f t="shared" si="21"/>
        <v>55</v>
      </c>
      <c r="N688" s="3" t="str">
        <f>VLOOKUP(Table2[[#This Row],[Tulu/kulu liik2]],Table5[[Tulu/kulu liik]:[Kontode koondnimetus]],4,FALSE)</f>
        <v>Muud tegevuskulud</v>
      </c>
      <c r="O688" s="3" t="str">
        <f>VLOOKUP(Table2[[#This Row],[Tulu/kulu liik2]],Table5[],6,FALSE)</f>
        <v>Majandamiskulud</v>
      </c>
      <c r="P688" s="3" t="str">
        <f>VLOOKUP(Table2[[#This Row],[Tulu/kulu liik2]],Table5[],5,FALSE)</f>
        <v>Põhitegevuse kulu</v>
      </c>
    </row>
    <row r="689" spans="1:16" x14ac:dyDescent="0.25">
      <c r="A689" t="str">
        <f t="shared" si="20"/>
        <v>09</v>
      </c>
      <c r="B689" t="s">
        <v>333</v>
      </c>
      <c r="C689" s="3" t="str">
        <f>VLOOKUP(Table2[[#This Row],[Tegevusala]],Table4[],2,FALSE)</f>
        <v xml:space="preserve"> Ulvi Lasteaed</v>
      </c>
      <c r="D689" s="3" t="str">
        <f>VLOOKUP(Table2[[#This Row],[Tegevusala]],Table4[[Tegevusala kood]:[Tegevusala alanimetus]],4,FALSE)</f>
        <v>Alusharidus</v>
      </c>
      <c r="E689" s="3" t="str">
        <f>VLOOKUP(Table2[[#This Row],[Tegevusala nimetus2]],Table4[[Tegevusala nimetus]:[Tegevusala koondnimetus]],2,FALSE)</f>
        <v>Haridus</v>
      </c>
      <c r="F689" t="s">
        <v>1374</v>
      </c>
      <c r="G689" t="s">
        <v>1383</v>
      </c>
      <c r="H689" s="40">
        <v>200</v>
      </c>
      <c r="I689" s="2" t="s">
        <v>1384</v>
      </c>
      <c r="J689">
        <v>5515</v>
      </c>
      <c r="K689" s="3" t="str">
        <f>VLOOKUP(Table2[[#This Row],[Konto]],Table5[[Konto]:[Konto nimetus]],2,FALSE)</f>
        <v>Inventari kulud, v.a infotehnoloogia ja kaitseotstarbelised kulud</v>
      </c>
      <c r="L689">
        <v>55</v>
      </c>
      <c r="M689" t="str">
        <f t="shared" si="21"/>
        <v>55</v>
      </c>
      <c r="N689" s="3" t="str">
        <f>VLOOKUP(Table2[[#This Row],[Tulu/kulu liik2]],Table5[[Tulu/kulu liik]:[Kontode koondnimetus]],4,FALSE)</f>
        <v>Muud tegevuskulud</v>
      </c>
      <c r="O689" s="3" t="str">
        <f>VLOOKUP(Table2[[#This Row],[Tulu/kulu liik2]],Table5[],6,FALSE)</f>
        <v>Majandamiskulud</v>
      </c>
      <c r="P689" s="3" t="str">
        <f>VLOOKUP(Table2[[#This Row],[Tulu/kulu liik2]],Table5[],5,FALSE)</f>
        <v>Põhitegevuse kulu</v>
      </c>
    </row>
    <row r="690" spans="1:16" x14ac:dyDescent="0.25">
      <c r="A690" t="str">
        <f t="shared" si="20"/>
        <v>09</v>
      </c>
      <c r="B690" t="s">
        <v>333</v>
      </c>
      <c r="C690" s="3" t="str">
        <f>VLOOKUP(Table2[[#This Row],[Tegevusala]],Table4[],2,FALSE)</f>
        <v xml:space="preserve"> Ulvi Lasteaed</v>
      </c>
      <c r="D690" s="3" t="str">
        <f>VLOOKUP(Table2[[#This Row],[Tegevusala]],Table4[[Tegevusala kood]:[Tegevusala alanimetus]],4,FALSE)</f>
        <v>Alusharidus</v>
      </c>
      <c r="E690" s="3" t="str">
        <f>VLOOKUP(Table2[[#This Row],[Tegevusala nimetus2]],Table4[[Tegevusala nimetus]:[Tegevusala koondnimetus]],2,FALSE)</f>
        <v>Haridus</v>
      </c>
      <c r="F690" t="s">
        <v>1374</v>
      </c>
      <c r="G690" t="s">
        <v>1385</v>
      </c>
      <c r="H690" s="40">
        <v>100</v>
      </c>
      <c r="J690">
        <v>5515</v>
      </c>
      <c r="K690" s="3" t="str">
        <f>VLOOKUP(Table2[[#This Row],[Konto]],Table5[[Konto]:[Konto nimetus]],2,FALSE)</f>
        <v>Inventari kulud, v.a infotehnoloogia ja kaitseotstarbelised kulud</v>
      </c>
      <c r="L690">
        <v>55</v>
      </c>
      <c r="M690" t="str">
        <f t="shared" si="21"/>
        <v>55</v>
      </c>
      <c r="N690" s="3" t="str">
        <f>VLOOKUP(Table2[[#This Row],[Tulu/kulu liik2]],Table5[[Tulu/kulu liik]:[Kontode koondnimetus]],4,FALSE)</f>
        <v>Muud tegevuskulud</v>
      </c>
      <c r="O690" s="3" t="str">
        <f>VLOOKUP(Table2[[#This Row],[Tulu/kulu liik2]],Table5[],6,FALSE)</f>
        <v>Majandamiskulud</v>
      </c>
      <c r="P690" s="3" t="str">
        <f>VLOOKUP(Table2[[#This Row],[Tulu/kulu liik2]],Table5[],5,FALSE)</f>
        <v>Põhitegevuse kulu</v>
      </c>
    </row>
    <row r="691" spans="1:16" x14ac:dyDescent="0.25">
      <c r="A691" t="str">
        <f t="shared" si="20"/>
        <v>09</v>
      </c>
      <c r="B691" t="s">
        <v>333</v>
      </c>
      <c r="C691" s="3" t="str">
        <f>VLOOKUP(Table2[[#This Row],[Tegevusala]],Table4[],2,FALSE)</f>
        <v xml:space="preserve"> Ulvi Lasteaed</v>
      </c>
      <c r="D691" s="3" t="str">
        <f>VLOOKUP(Table2[[#This Row],[Tegevusala]],Table4[[Tegevusala kood]:[Tegevusala alanimetus]],4,FALSE)</f>
        <v>Alusharidus</v>
      </c>
      <c r="E691" s="3" t="str">
        <f>VLOOKUP(Table2[[#This Row],[Tegevusala nimetus2]],Table4[[Tegevusala nimetus]:[Tegevusala koondnimetus]],2,FALSE)</f>
        <v>Haridus</v>
      </c>
      <c r="F691" t="s">
        <v>1374</v>
      </c>
      <c r="G691" t="s">
        <v>1386</v>
      </c>
      <c r="H691" s="40">
        <v>600</v>
      </c>
      <c r="I691" s="2" t="s">
        <v>1387</v>
      </c>
      <c r="J691">
        <v>5515</v>
      </c>
      <c r="K691" s="3" t="str">
        <f>VLOOKUP(Table2[[#This Row],[Konto]],Table5[[Konto]:[Konto nimetus]],2,FALSE)</f>
        <v>Inventari kulud, v.a infotehnoloogia ja kaitseotstarbelised kulud</v>
      </c>
      <c r="L691">
        <v>55</v>
      </c>
      <c r="M691" t="str">
        <f t="shared" si="21"/>
        <v>55</v>
      </c>
      <c r="N691" s="3" t="str">
        <f>VLOOKUP(Table2[[#This Row],[Tulu/kulu liik2]],Table5[[Tulu/kulu liik]:[Kontode koondnimetus]],4,FALSE)</f>
        <v>Muud tegevuskulud</v>
      </c>
      <c r="O691" s="3" t="str">
        <f>VLOOKUP(Table2[[#This Row],[Tulu/kulu liik2]],Table5[],6,FALSE)</f>
        <v>Majandamiskulud</v>
      </c>
      <c r="P691" s="3" t="str">
        <f>VLOOKUP(Table2[[#This Row],[Tulu/kulu liik2]],Table5[],5,FALSE)</f>
        <v>Põhitegevuse kulu</v>
      </c>
    </row>
    <row r="692" spans="1:16" x14ac:dyDescent="0.25">
      <c r="A692" t="str">
        <f t="shared" si="20"/>
        <v>09</v>
      </c>
      <c r="B692" t="s">
        <v>333</v>
      </c>
      <c r="C692" s="3" t="str">
        <f>VLOOKUP(Table2[[#This Row],[Tegevusala]],Table4[],2,FALSE)</f>
        <v xml:space="preserve"> Ulvi Lasteaed</v>
      </c>
      <c r="D692" s="3" t="str">
        <f>VLOOKUP(Table2[[#This Row],[Tegevusala]],Table4[[Tegevusala kood]:[Tegevusala alanimetus]],4,FALSE)</f>
        <v>Alusharidus</v>
      </c>
      <c r="E692" s="3" t="str">
        <f>VLOOKUP(Table2[[#This Row],[Tegevusala nimetus2]],Table4[[Tegevusala nimetus]:[Tegevusala koondnimetus]],2,FALSE)</f>
        <v>Haridus</v>
      </c>
      <c r="F692" t="s">
        <v>1374</v>
      </c>
      <c r="G692" t="s">
        <v>1388</v>
      </c>
      <c r="H692" s="40">
        <v>500</v>
      </c>
      <c r="I692" s="2" t="s">
        <v>1387</v>
      </c>
      <c r="J692">
        <v>5515</v>
      </c>
      <c r="K692" s="3" t="str">
        <f>VLOOKUP(Table2[[#This Row],[Konto]],Table5[[Konto]:[Konto nimetus]],2,FALSE)</f>
        <v>Inventari kulud, v.a infotehnoloogia ja kaitseotstarbelised kulud</v>
      </c>
      <c r="L692">
        <v>55</v>
      </c>
      <c r="M692" t="str">
        <f t="shared" si="21"/>
        <v>55</v>
      </c>
      <c r="N692" s="3" t="str">
        <f>VLOOKUP(Table2[[#This Row],[Tulu/kulu liik2]],Table5[[Tulu/kulu liik]:[Kontode koondnimetus]],4,FALSE)</f>
        <v>Muud tegevuskulud</v>
      </c>
      <c r="O692" s="3" t="str">
        <f>VLOOKUP(Table2[[#This Row],[Tulu/kulu liik2]],Table5[],6,FALSE)</f>
        <v>Majandamiskulud</v>
      </c>
      <c r="P692" s="3" t="str">
        <f>VLOOKUP(Table2[[#This Row],[Tulu/kulu liik2]],Table5[],5,FALSE)</f>
        <v>Põhitegevuse kulu</v>
      </c>
    </row>
    <row r="693" spans="1:16" x14ac:dyDescent="0.25">
      <c r="A693" t="str">
        <f t="shared" si="20"/>
        <v>09</v>
      </c>
      <c r="B693" t="s">
        <v>333</v>
      </c>
      <c r="C693" s="3" t="str">
        <f>VLOOKUP(Table2[[#This Row],[Tegevusala]],Table4[],2,FALSE)</f>
        <v xml:space="preserve"> Ulvi Lasteaed</v>
      </c>
      <c r="D693" s="3" t="str">
        <f>VLOOKUP(Table2[[#This Row],[Tegevusala]],Table4[[Tegevusala kood]:[Tegevusala alanimetus]],4,FALSE)</f>
        <v>Alusharidus</v>
      </c>
      <c r="E693" s="3" t="str">
        <f>VLOOKUP(Table2[[#This Row],[Tegevusala nimetus2]],Table4[[Tegevusala nimetus]:[Tegevusala koondnimetus]],2,FALSE)</f>
        <v>Haridus</v>
      </c>
      <c r="F693" t="s">
        <v>1374</v>
      </c>
      <c r="G693" t="s">
        <v>1389</v>
      </c>
      <c r="H693" s="40">
        <v>500</v>
      </c>
      <c r="I693" s="2" t="s">
        <v>1390</v>
      </c>
      <c r="J693">
        <v>5515</v>
      </c>
      <c r="K693" s="3" t="str">
        <f>VLOOKUP(Table2[[#This Row],[Konto]],Table5[[Konto]:[Konto nimetus]],2,FALSE)</f>
        <v>Inventari kulud, v.a infotehnoloogia ja kaitseotstarbelised kulud</v>
      </c>
      <c r="L693">
        <v>55</v>
      </c>
      <c r="M693" t="str">
        <f t="shared" si="21"/>
        <v>55</v>
      </c>
      <c r="N693" s="3" t="str">
        <f>VLOOKUP(Table2[[#This Row],[Tulu/kulu liik2]],Table5[[Tulu/kulu liik]:[Kontode koondnimetus]],4,FALSE)</f>
        <v>Muud tegevuskulud</v>
      </c>
      <c r="O693" s="3" t="str">
        <f>VLOOKUP(Table2[[#This Row],[Tulu/kulu liik2]],Table5[],6,FALSE)</f>
        <v>Majandamiskulud</v>
      </c>
      <c r="P693" s="3" t="str">
        <f>VLOOKUP(Table2[[#This Row],[Tulu/kulu liik2]],Table5[],5,FALSE)</f>
        <v>Põhitegevuse kulu</v>
      </c>
    </row>
    <row r="694" spans="1:16" x14ac:dyDescent="0.25">
      <c r="A694" t="str">
        <f t="shared" si="20"/>
        <v>09</v>
      </c>
      <c r="B694" t="s">
        <v>333</v>
      </c>
      <c r="C694" s="3" t="str">
        <f>VLOOKUP(Table2[[#This Row],[Tegevusala]],Table4[],2,FALSE)</f>
        <v xml:space="preserve"> Ulvi Lasteaed</v>
      </c>
      <c r="D694" s="3" t="str">
        <f>VLOOKUP(Table2[[#This Row],[Tegevusala]],Table4[[Tegevusala kood]:[Tegevusala alanimetus]],4,FALSE)</f>
        <v>Alusharidus</v>
      </c>
      <c r="E694" s="3" t="str">
        <f>VLOOKUP(Table2[[#This Row],[Tegevusala nimetus2]],Table4[[Tegevusala nimetus]:[Tegevusala koondnimetus]],2,FALSE)</f>
        <v>Haridus</v>
      </c>
      <c r="F694" t="s">
        <v>1374</v>
      </c>
      <c r="G694" t="s">
        <v>1391</v>
      </c>
      <c r="H694" s="40">
        <v>7000</v>
      </c>
      <c r="J694">
        <v>5521</v>
      </c>
      <c r="K694" s="3" t="str">
        <f>VLOOKUP(Table2[[#This Row],[Konto]],Table5[[Konto]:[Konto nimetus]],2,FALSE)</f>
        <v>Toiduained ja toitlustusteenused</v>
      </c>
      <c r="L694">
        <v>55</v>
      </c>
      <c r="M694" t="str">
        <f t="shared" si="21"/>
        <v>55</v>
      </c>
      <c r="N694" s="3" t="str">
        <f>VLOOKUP(Table2[[#This Row],[Tulu/kulu liik2]],Table5[[Tulu/kulu liik]:[Kontode koondnimetus]],4,FALSE)</f>
        <v>Muud tegevuskulud</v>
      </c>
      <c r="O694" s="3" t="str">
        <f>VLOOKUP(Table2[[#This Row],[Tulu/kulu liik2]],Table5[],6,FALSE)</f>
        <v>Majandamiskulud</v>
      </c>
      <c r="P694" s="3" t="str">
        <f>VLOOKUP(Table2[[#This Row],[Tulu/kulu liik2]],Table5[],5,FALSE)</f>
        <v>Põhitegevuse kulu</v>
      </c>
    </row>
    <row r="695" spans="1:16" x14ac:dyDescent="0.25">
      <c r="A695" t="str">
        <f t="shared" si="20"/>
        <v>09</v>
      </c>
      <c r="B695" t="s">
        <v>333</v>
      </c>
      <c r="C695" s="3" t="str">
        <f>VLOOKUP(Table2[[#This Row],[Tegevusala]],Table4[],2,FALSE)</f>
        <v xml:space="preserve"> Ulvi Lasteaed</v>
      </c>
      <c r="D695" s="3" t="str">
        <f>VLOOKUP(Table2[[#This Row],[Tegevusala]],Table4[[Tegevusala kood]:[Tegevusala alanimetus]],4,FALSE)</f>
        <v>Alusharidus</v>
      </c>
      <c r="E695" s="3" t="str">
        <f>VLOOKUP(Table2[[#This Row],[Tegevusala nimetus2]],Table4[[Tegevusala nimetus]:[Tegevusala koondnimetus]],2,FALSE)</f>
        <v>Haridus</v>
      </c>
      <c r="F695" t="s">
        <v>1374</v>
      </c>
      <c r="G695" t="s">
        <v>1392</v>
      </c>
      <c r="H695" s="40">
        <v>100</v>
      </c>
      <c r="J695">
        <v>5522</v>
      </c>
      <c r="K695" s="3" t="str">
        <f>VLOOKUP(Table2[[#This Row],[Konto]],Table5[[Konto]:[Konto nimetus]],2,FALSE)</f>
        <v>Meditsiinikulud ja hügieenitarbed</v>
      </c>
      <c r="L695">
        <v>55</v>
      </c>
      <c r="M695" t="str">
        <f t="shared" si="21"/>
        <v>55</v>
      </c>
      <c r="N695" s="3" t="str">
        <f>VLOOKUP(Table2[[#This Row],[Tulu/kulu liik2]],Table5[[Tulu/kulu liik]:[Kontode koondnimetus]],4,FALSE)</f>
        <v>Muud tegevuskulud</v>
      </c>
      <c r="O695" s="3" t="str">
        <f>VLOOKUP(Table2[[#This Row],[Tulu/kulu liik2]],Table5[],6,FALSE)</f>
        <v>Majandamiskulud</v>
      </c>
      <c r="P695" s="3" t="str">
        <f>VLOOKUP(Table2[[#This Row],[Tulu/kulu liik2]],Table5[],5,FALSE)</f>
        <v>Põhitegevuse kulu</v>
      </c>
    </row>
    <row r="696" spans="1:16" x14ac:dyDescent="0.25">
      <c r="A696" t="str">
        <f t="shared" si="20"/>
        <v>09</v>
      </c>
      <c r="B696" t="s">
        <v>333</v>
      </c>
      <c r="C696" s="3" t="str">
        <f>VLOOKUP(Table2[[#This Row],[Tegevusala]],Table4[],2,FALSE)</f>
        <v xml:space="preserve"> Ulvi Lasteaed</v>
      </c>
      <c r="D696" s="3" t="str">
        <f>VLOOKUP(Table2[[#This Row],[Tegevusala]],Table4[[Tegevusala kood]:[Tegevusala alanimetus]],4,FALSE)</f>
        <v>Alusharidus</v>
      </c>
      <c r="E696" s="3" t="str">
        <f>VLOOKUP(Table2[[#This Row],[Tegevusala nimetus2]],Table4[[Tegevusala nimetus]:[Tegevusala koondnimetus]],2,FALSE)</f>
        <v>Haridus</v>
      </c>
      <c r="F696" t="s">
        <v>1374</v>
      </c>
      <c r="G696" t="s">
        <v>1368</v>
      </c>
      <c r="H696" s="40">
        <v>1000</v>
      </c>
      <c r="J696">
        <v>5524</v>
      </c>
      <c r="K696" s="3" t="str">
        <f>VLOOKUP(Table2[[#This Row],[Konto]],Table5[[Konto]:[Konto nimetus]],2,FALSE)</f>
        <v>Õppevahendid</v>
      </c>
      <c r="L696">
        <v>55</v>
      </c>
      <c r="M696" t="str">
        <f t="shared" si="21"/>
        <v>55</v>
      </c>
      <c r="N696" s="3" t="str">
        <f>VLOOKUP(Table2[[#This Row],[Tulu/kulu liik2]],Table5[[Tulu/kulu liik]:[Kontode koondnimetus]],4,FALSE)</f>
        <v>Muud tegevuskulud</v>
      </c>
      <c r="O696" s="3" t="str">
        <f>VLOOKUP(Table2[[#This Row],[Tulu/kulu liik2]],Table5[],6,FALSE)</f>
        <v>Majandamiskulud</v>
      </c>
      <c r="P696" s="3" t="str">
        <f>VLOOKUP(Table2[[#This Row],[Tulu/kulu liik2]],Table5[],5,FALSE)</f>
        <v>Põhitegevuse kulu</v>
      </c>
    </row>
    <row r="697" spans="1:16" x14ac:dyDescent="0.25">
      <c r="A697" t="str">
        <f t="shared" si="20"/>
        <v>09</v>
      </c>
      <c r="B697" t="s">
        <v>333</v>
      </c>
      <c r="C697" s="3" t="str">
        <f>VLOOKUP(Table2[[#This Row],[Tegevusala]],Table4[],2,FALSE)</f>
        <v xml:space="preserve"> Ulvi Lasteaed</v>
      </c>
      <c r="D697" s="3" t="str">
        <f>VLOOKUP(Table2[[#This Row],[Tegevusala]],Table4[[Tegevusala kood]:[Tegevusala alanimetus]],4,FALSE)</f>
        <v>Alusharidus</v>
      </c>
      <c r="E697" s="3" t="str">
        <f>VLOOKUP(Table2[[#This Row],[Tegevusala nimetus2]],Table4[[Tegevusala nimetus]:[Tegevusala koondnimetus]],2,FALSE)</f>
        <v>Haridus</v>
      </c>
      <c r="F697" t="s">
        <v>1374</v>
      </c>
      <c r="G697" t="s">
        <v>117</v>
      </c>
      <c r="H697" s="40">
        <v>1000</v>
      </c>
      <c r="J697">
        <v>5524</v>
      </c>
      <c r="K697" s="3" t="str">
        <f>VLOOKUP(Table2[[#This Row],[Konto]],Table5[[Konto]:[Konto nimetus]],2,FALSE)</f>
        <v>Õppevahendid</v>
      </c>
      <c r="L697">
        <v>55</v>
      </c>
      <c r="M697" t="str">
        <f t="shared" si="21"/>
        <v>55</v>
      </c>
      <c r="N697" s="3" t="str">
        <f>VLOOKUP(Table2[[#This Row],[Tulu/kulu liik2]],Table5[[Tulu/kulu liik]:[Kontode koondnimetus]],4,FALSE)</f>
        <v>Muud tegevuskulud</v>
      </c>
      <c r="O697" s="3" t="str">
        <f>VLOOKUP(Table2[[#This Row],[Tulu/kulu liik2]],Table5[],6,FALSE)</f>
        <v>Majandamiskulud</v>
      </c>
      <c r="P697" s="3" t="str">
        <f>VLOOKUP(Table2[[#This Row],[Tulu/kulu liik2]],Table5[],5,FALSE)</f>
        <v>Põhitegevuse kulu</v>
      </c>
    </row>
    <row r="698" spans="1:16" x14ac:dyDescent="0.25">
      <c r="A698" t="str">
        <f t="shared" si="20"/>
        <v>09</v>
      </c>
      <c r="B698" t="s">
        <v>333</v>
      </c>
      <c r="C698" s="3" t="str">
        <f>VLOOKUP(Table2[[#This Row],[Tegevusala]],Table4[],2,FALSE)</f>
        <v xml:space="preserve"> Ulvi Lasteaed</v>
      </c>
      <c r="D698" s="3" t="str">
        <f>VLOOKUP(Table2[[#This Row],[Tegevusala]],Table4[[Tegevusala kood]:[Tegevusala alanimetus]],4,FALSE)</f>
        <v>Alusharidus</v>
      </c>
      <c r="E698" s="3" t="str">
        <f>VLOOKUP(Table2[[#This Row],[Tegevusala nimetus2]],Table4[[Tegevusala nimetus]:[Tegevusala koondnimetus]],2,FALSE)</f>
        <v>Haridus</v>
      </c>
      <c r="F698" t="s">
        <v>1374</v>
      </c>
      <c r="G698" t="s">
        <v>430</v>
      </c>
      <c r="H698" s="40">
        <v>2000</v>
      </c>
      <c r="J698">
        <v>5524</v>
      </c>
      <c r="K698" s="3" t="str">
        <f>VLOOKUP(Table2[[#This Row],[Konto]],Table5[[Konto]:[Konto nimetus]],2,FALSE)</f>
        <v>Õppevahendid</v>
      </c>
      <c r="L698">
        <v>55</v>
      </c>
      <c r="M698" t="str">
        <f t="shared" si="21"/>
        <v>55</v>
      </c>
      <c r="N698" s="3" t="str">
        <f>VLOOKUP(Table2[[#This Row],[Tulu/kulu liik2]],Table5[[Tulu/kulu liik]:[Kontode koondnimetus]],4,FALSE)</f>
        <v>Muud tegevuskulud</v>
      </c>
      <c r="O698" s="3" t="str">
        <f>VLOOKUP(Table2[[#This Row],[Tulu/kulu liik2]],Table5[],6,FALSE)</f>
        <v>Majandamiskulud</v>
      </c>
      <c r="P698" s="3" t="str">
        <f>VLOOKUP(Table2[[#This Row],[Tulu/kulu liik2]],Table5[],5,FALSE)</f>
        <v>Põhitegevuse kulu</v>
      </c>
    </row>
    <row r="699" spans="1:16" x14ac:dyDescent="0.25">
      <c r="A699" t="str">
        <f t="shared" si="20"/>
        <v>09</v>
      </c>
      <c r="B699" t="s">
        <v>333</v>
      </c>
      <c r="C699" s="3" t="str">
        <f>VLOOKUP(Table2[[#This Row],[Tegevusala]],Table4[],2,FALSE)</f>
        <v xml:space="preserve"> Ulvi Lasteaed</v>
      </c>
      <c r="D699" s="3" t="str">
        <f>VLOOKUP(Table2[[#This Row],[Tegevusala]],Table4[[Tegevusala kood]:[Tegevusala alanimetus]],4,FALSE)</f>
        <v>Alusharidus</v>
      </c>
      <c r="E699" s="3" t="str">
        <f>VLOOKUP(Table2[[#This Row],[Tegevusala nimetus2]],Table4[[Tegevusala nimetus]:[Tegevusala koondnimetus]],2,FALSE)</f>
        <v>Haridus</v>
      </c>
      <c r="F699" t="s">
        <v>1374</v>
      </c>
      <c r="G699" t="s">
        <v>1393</v>
      </c>
      <c r="H699" s="40">
        <v>250</v>
      </c>
      <c r="J699">
        <v>5525</v>
      </c>
      <c r="K699" s="3" t="str">
        <f>VLOOKUP(Table2[[#This Row],[Konto]],Table5[[Konto]:[Konto nimetus]],2,FALSE)</f>
        <v>Kommunikatsiooni-, kultuuri- ja vaba aja sisustamise kulud</v>
      </c>
      <c r="L699">
        <v>55</v>
      </c>
      <c r="M699" t="str">
        <f t="shared" si="21"/>
        <v>55</v>
      </c>
      <c r="N699" s="3" t="str">
        <f>VLOOKUP(Table2[[#This Row],[Tulu/kulu liik2]],Table5[[Tulu/kulu liik]:[Kontode koondnimetus]],4,FALSE)</f>
        <v>Muud tegevuskulud</v>
      </c>
      <c r="O699" s="3" t="str">
        <f>VLOOKUP(Table2[[#This Row],[Tulu/kulu liik2]],Table5[],6,FALSE)</f>
        <v>Majandamiskulud</v>
      </c>
      <c r="P699" s="3" t="str">
        <f>VLOOKUP(Table2[[#This Row],[Tulu/kulu liik2]],Table5[],5,FALSE)</f>
        <v>Põhitegevuse kulu</v>
      </c>
    </row>
    <row r="700" spans="1:16" x14ac:dyDescent="0.25">
      <c r="A700" t="str">
        <f t="shared" si="20"/>
        <v>09</v>
      </c>
      <c r="B700" t="s">
        <v>333</v>
      </c>
      <c r="C700" s="3" t="str">
        <f>VLOOKUP(Table2[[#This Row],[Tegevusala]],Table4[],2,FALSE)</f>
        <v xml:space="preserve"> Ulvi Lasteaed</v>
      </c>
      <c r="D700" s="3" t="str">
        <f>VLOOKUP(Table2[[#This Row],[Tegevusala]],Table4[[Tegevusala kood]:[Tegevusala alanimetus]],4,FALSE)</f>
        <v>Alusharidus</v>
      </c>
      <c r="E700" s="3" t="str">
        <f>VLOOKUP(Table2[[#This Row],[Tegevusala nimetus2]],Table4[[Tegevusala nimetus]:[Tegevusala koondnimetus]],2,FALSE)</f>
        <v>Haridus</v>
      </c>
      <c r="F700" t="s">
        <v>1374</v>
      </c>
      <c r="G700" t="s">
        <v>1394</v>
      </c>
      <c r="H700" s="40">
        <v>250</v>
      </c>
      <c r="J700">
        <v>5525</v>
      </c>
      <c r="K700" s="3" t="str">
        <f>VLOOKUP(Table2[[#This Row],[Konto]],Table5[[Konto]:[Konto nimetus]],2,FALSE)</f>
        <v>Kommunikatsiooni-, kultuuri- ja vaba aja sisustamise kulud</v>
      </c>
      <c r="L700">
        <v>55</v>
      </c>
      <c r="M700" t="str">
        <f t="shared" si="21"/>
        <v>55</v>
      </c>
      <c r="N700" s="3" t="str">
        <f>VLOOKUP(Table2[[#This Row],[Tulu/kulu liik2]],Table5[[Tulu/kulu liik]:[Kontode koondnimetus]],4,FALSE)</f>
        <v>Muud tegevuskulud</v>
      </c>
      <c r="O700" s="3" t="str">
        <f>VLOOKUP(Table2[[#This Row],[Tulu/kulu liik2]],Table5[],6,FALSE)</f>
        <v>Majandamiskulud</v>
      </c>
      <c r="P700" s="3" t="str">
        <f>VLOOKUP(Table2[[#This Row],[Tulu/kulu liik2]],Table5[],5,FALSE)</f>
        <v>Põhitegevuse kulu</v>
      </c>
    </row>
    <row r="701" spans="1:16" x14ac:dyDescent="0.25">
      <c r="A701" t="str">
        <f t="shared" si="20"/>
        <v>09</v>
      </c>
      <c r="B701" t="s">
        <v>333</v>
      </c>
      <c r="C701" s="3" t="str">
        <f>VLOOKUP(Table2[[#This Row],[Tegevusala]],Table4[],2,FALSE)</f>
        <v xml:space="preserve"> Ulvi Lasteaed</v>
      </c>
      <c r="D701" s="3" t="str">
        <f>VLOOKUP(Table2[[#This Row],[Tegevusala]],Table4[[Tegevusala kood]:[Tegevusala alanimetus]],4,FALSE)</f>
        <v>Alusharidus</v>
      </c>
      <c r="E701" s="3" t="str">
        <f>VLOOKUP(Table2[[#This Row],[Tegevusala nimetus2]],Table4[[Tegevusala nimetus]:[Tegevusala koondnimetus]],2,FALSE)</f>
        <v>Haridus</v>
      </c>
      <c r="F701" t="s">
        <v>1374</v>
      </c>
      <c r="G701" t="s">
        <v>1375</v>
      </c>
      <c r="H701" s="40">
        <f>3000+1500</f>
        <v>4500</v>
      </c>
      <c r="J701">
        <v>5511</v>
      </c>
      <c r="K701" s="3" t="str">
        <f>VLOOKUP(Table2[[#This Row],[Konto]],Table5[[Konto]:[Konto nimetus]],2,FALSE)</f>
        <v>Kinnistute, hoonete ja ruumide majandamiskulud</v>
      </c>
      <c r="L701">
        <v>55</v>
      </c>
      <c r="M701" t="str">
        <f t="shared" si="21"/>
        <v>55</v>
      </c>
      <c r="N701" s="3" t="str">
        <f>VLOOKUP(Table2[[#This Row],[Tulu/kulu liik2]],Table5[[Tulu/kulu liik]:[Kontode koondnimetus]],4,FALSE)</f>
        <v>Muud tegevuskulud</v>
      </c>
      <c r="O701" s="3" t="str">
        <f>VLOOKUP(Table2[[#This Row],[Tulu/kulu liik2]],Table5[],6,FALSE)</f>
        <v>Majandamiskulud</v>
      </c>
      <c r="P701" s="3" t="str">
        <f>VLOOKUP(Table2[[#This Row],[Tulu/kulu liik2]],Table5[],5,FALSE)</f>
        <v>Põhitegevuse kulu</v>
      </c>
    </row>
    <row r="702" spans="1:16" x14ac:dyDescent="0.25">
      <c r="A702" t="str">
        <f t="shared" si="20"/>
        <v>09</v>
      </c>
      <c r="B702" t="s">
        <v>333</v>
      </c>
      <c r="C702" s="3" t="str">
        <f>VLOOKUP(Table2[[#This Row],[Tegevusala]],Table4[],2,FALSE)</f>
        <v xml:space="preserve"> Ulvi Lasteaed</v>
      </c>
      <c r="D702" s="3" t="str">
        <f>VLOOKUP(Table2[[#This Row],[Tegevusala]],Table4[[Tegevusala kood]:[Tegevusala alanimetus]],4,FALSE)</f>
        <v>Alusharidus</v>
      </c>
      <c r="E702" s="3" t="str">
        <f>VLOOKUP(Table2[[#This Row],[Tegevusala nimetus2]],Table4[[Tegevusala nimetus]:[Tegevusala koondnimetus]],2,FALSE)</f>
        <v>Haridus</v>
      </c>
      <c r="F702" t="s">
        <v>1374</v>
      </c>
      <c r="G702" t="s">
        <v>1376</v>
      </c>
      <c r="H702" s="40">
        <v>200</v>
      </c>
      <c r="J702">
        <v>5511</v>
      </c>
      <c r="K702" s="3" t="str">
        <f>VLOOKUP(Table2[[#This Row],[Konto]],Table5[[Konto]:[Konto nimetus]],2,FALSE)</f>
        <v>Kinnistute, hoonete ja ruumide majandamiskulud</v>
      </c>
      <c r="L702">
        <v>55</v>
      </c>
      <c r="M702" t="str">
        <f t="shared" si="21"/>
        <v>55</v>
      </c>
      <c r="N702" s="3" t="str">
        <f>VLOOKUP(Table2[[#This Row],[Tulu/kulu liik2]],Table5[[Tulu/kulu liik]:[Kontode koondnimetus]],4,FALSE)</f>
        <v>Muud tegevuskulud</v>
      </c>
      <c r="O702" s="3" t="str">
        <f>VLOOKUP(Table2[[#This Row],[Tulu/kulu liik2]],Table5[],6,FALSE)</f>
        <v>Majandamiskulud</v>
      </c>
      <c r="P702" s="3" t="str">
        <f>VLOOKUP(Table2[[#This Row],[Tulu/kulu liik2]],Table5[],5,FALSE)</f>
        <v>Põhitegevuse kulu</v>
      </c>
    </row>
    <row r="703" spans="1:16" x14ac:dyDescent="0.25">
      <c r="A703" t="str">
        <f t="shared" si="20"/>
        <v>09</v>
      </c>
      <c r="B703" t="s">
        <v>333</v>
      </c>
      <c r="C703" s="3" t="str">
        <f>VLOOKUP(Table2[[#This Row],[Tegevusala]],Table4[],2,FALSE)</f>
        <v xml:space="preserve"> Ulvi Lasteaed</v>
      </c>
      <c r="D703" s="3" t="str">
        <f>VLOOKUP(Table2[[#This Row],[Tegevusala]],Table4[[Tegevusala kood]:[Tegevusala alanimetus]],4,FALSE)</f>
        <v>Alusharidus</v>
      </c>
      <c r="E703" s="3" t="str">
        <f>VLOOKUP(Table2[[#This Row],[Tegevusala nimetus2]],Table4[[Tegevusala nimetus]:[Tegevusala koondnimetus]],2,FALSE)</f>
        <v>Haridus</v>
      </c>
      <c r="F703" t="s">
        <v>1374</v>
      </c>
      <c r="G703" t="s">
        <v>178</v>
      </c>
      <c r="H703" s="40">
        <v>3500</v>
      </c>
      <c r="J703">
        <v>5511</v>
      </c>
      <c r="K703" s="3" t="str">
        <f>VLOOKUP(Table2[[#This Row],[Konto]],Table5[[Konto]:[Konto nimetus]],2,FALSE)</f>
        <v>Kinnistute, hoonete ja ruumide majandamiskulud</v>
      </c>
      <c r="L703">
        <v>55</v>
      </c>
      <c r="M703" t="str">
        <f t="shared" si="21"/>
        <v>55</v>
      </c>
      <c r="N703" s="3" t="str">
        <f>VLOOKUP(Table2[[#This Row],[Tulu/kulu liik2]],Table5[[Tulu/kulu liik]:[Kontode koondnimetus]],4,FALSE)</f>
        <v>Muud tegevuskulud</v>
      </c>
      <c r="O703" s="3" t="str">
        <f>VLOOKUP(Table2[[#This Row],[Tulu/kulu liik2]],Table5[],6,FALSE)</f>
        <v>Majandamiskulud</v>
      </c>
      <c r="P703" s="3" t="str">
        <f>VLOOKUP(Table2[[#This Row],[Tulu/kulu liik2]],Table5[],5,FALSE)</f>
        <v>Põhitegevuse kulu</v>
      </c>
    </row>
    <row r="704" spans="1:16" x14ac:dyDescent="0.25">
      <c r="A704" t="str">
        <f t="shared" si="20"/>
        <v>09</v>
      </c>
      <c r="B704" t="s">
        <v>333</v>
      </c>
      <c r="C704" s="3" t="str">
        <f>VLOOKUP(Table2[[#This Row],[Tegevusala]],Table4[],2,FALSE)</f>
        <v xml:space="preserve"> Ulvi Lasteaed</v>
      </c>
      <c r="D704" s="3" t="str">
        <f>VLOOKUP(Table2[[#This Row],[Tegevusala]],Table4[[Tegevusala kood]:[Tegevusala alanimetus]],4,FALSE)</f>
        <v>Alusharidus</v>
      </c>
      <c r="E704" s="3" t="str">
        <f>VLOOKUP(Table2[[#This Row],[Tegevusala nimetus2]],Table4[[Tegevusala nimetus]:[Tegevusala koondnimetus]],2,FALSE)</f>
        <v>Haridus</v>
      </c>
      <c r="F704" t="s">
        <v>1374</v>
      </c>
      <c r="G704" t="s">
        <v>1377</v>
      </c>
      <c r="H704" s="40">
        <v>1000</v>
      </c>
      <c r="J704">
        <v>5511</v>
      </c>
      <c r="K704" s="3" t="str">
        <f>VLOOKUP(Table2[[#This Row],[Konto]],Table5[[Konto]:[Konto nimetus]],2,FALSE)</f>
        <v>Kinnistute, hoonete ja ruumide majandamiskulud</v>
      </c>
      <c r="L704">
        <v>55</v>
      </c>
      <c r="M704" t="str">
        <f t="shared" si="21"/>
        <v>55</v>
      </c>
      <c r="N704" s="3" t="str">
        <f>VLOOKUP(Table2[[#This Row],[Tulu/kulu liik2]],Table5[[Tulu/kulu liik]:[Kontode koondnimetus]],4,FALSE)</f>
        <v>Muud tegevuskulud</v>
      </c>
      <c r="O704" s="3" t="str">
        <f>VLOOKUP(Table2[[#This Row],[Tulu/kulu liik2]],Table5[],6,FALSE)</f>
        <v>Majandamiskulud</v>
      </c>
      <c r="P704" s="3" t="str">
        <f>VLOOKUP(Table2[[#This Row],[Tulu/kulu liik2]],Table5[],5,FALSE)</f>
        <v>Põhitegevuse kulu</v>
      </c>
    </row>
    <row r="705" spans="1:16" x14ac:dyDescent="0.25">
      <c r="A705" t="str">
        <f t="shared" si="20"/>
        <v>09</v>
      </c>
      <c r="B705" t="s">
        <v>333</v>
      </c>
      <c r="C705" s="3" t="str">
        <f>VLOOKUP(Table2[[#This Row],[Tegevusala]],Table4[],2,FALSE)</f>
        <v xml:space="preserve"> Ulvi Lasteaed</v>
      </c>
      <c r="D705" s="3" t="str">
        <f>VLOOKUP(Table2[[#This Row],[Tegevusala]],Table4[[Tegevusala kood]:[Tegevusala alanimetus]],4,FALSE)</f>
        <v>Alusharidus</v>
      </c>
      <c r="E705" s="3" t="str">
        <f>VLOOKUP(Table2[[#This Row],[Tegevusala nimetus2]],Table4[[Tegevusala nimetus]:[Tegevusala koondnimetus]],2,FALSE)</f>
        <v>Haridus</v>
      </c>
      <c r="F705" t="s">
        <v>1374</v>
      </c>
      <c r="G705" t="s">
        <v>180</v>
      </c>
      <c r="H705" s="40">
        <v>250</v>
      </c>
      <c r="J705">
        <v>5511</v>
      </c>
      <c r="K705" s="3" t="str">
        <f>VLOOKUP(Table2[[#This Row],[Konto]],Table5[[Konto]:[Konto nimetus]],2,FALSE)</f>
        <v>Kinnistute, hoonete ja ruumide majandamiskulud</v>
      </c>
      <c r="L705">
        <v>55</v>
      </c>
      <c r="M705" t="str">
        <f t="shared" si="21"/>
        <v>55</v>
      </c>
      <c r="N705" s="3" t="str">
        <f>VLOOKUP(Table2[[#This Row],[Tulu/kulu liik2]],Table5[[Tulu/kulu liik]:[Kontode koondnimetus]],4,FALSE)</f>
        <v>Muud tegevuskulud</v>
      </c>
      <c r="O705" s="3" t="str">
        <f>VLOOKUP(Table2[[#This Row],[Tulu/kulu liik2]],Table5[],6,FALSE)</f>
        <v>Majandamiskulud</v>
      </c>
      <c r="P705" s="3" t="str">
        <f>VLOOKUP(Table2[[#This Row],[Tulu/kulu liik2]],Table5[],5,FALSE)</f>
        <v>Põhitegevuse kulu</v>
      </c>
    </row>
    <row r="706" spans="1:16" x14ac:dyDescent="0.25">
      <c r="A706" t="str">
        <f t="shared" ref="A706:A769" si="22">LEFT(B706,2)</f>
        <v>09</v>
      </c>
      <c r="B706" t="s">
        <v>333</v>
      </c>
      <c r="C706" s="3" t="str">
        <f>VLOOKUP(Table2[[#This Row],[Tegevusala]],Table4[],2,FALSE)</f>
        <v xml:space="preserve"> Ulvi Lasteaed</v>
      </c>
      <c r="D706" s="3" t="str">
        <f>VLOOKUP(Table2[[#This Row],[Tegevusala]],Table4[[Tegevusala kood]:[Tegevusala alanimetus]],4,FALSE)</f>
        <v>Alusharidus</v>
      </c>
      <c r="E706" s="3" t="str">
        <f>VLOOKUP(Table2[[#This Row],[Tegevusala nimetus2]],Table4[[Tegevusala nimetus]:[Tegevusala koondnimetus]],2,FALSE)</f>
        <v>Haridus</v>
      </c>
      <c r="F706" t="s">
        <v>1374</v>
      </c>
      <c r="G706" t="s">
        <v>1378</v>
      </c>
      <c r="H706" s="40">
        <v>2400</v>
      </c>
      <c r="J706">
        <v>5511</v>
      </c>
      <c r="K706" s="3" t="str">
        <f>VLOOKUP(Table2[[#This Row],[Konto]],Table5[[Konto]:[Konto nimetus]],2,FALSE)</f>
        <v>Kinnistute, hoonete ja ruumide majandamiskulud</v>
      </c>
      <c r="L706">
        <v>55</v>
      </c>
      <c r="M706" t="str">
        <f t="shared" ref="M706:M769" si="23">LEFT(J706,2)</f>
        <v>55</v>
      </c>
      <c r="N706" s="3" t="str">
        <f>VLOOKUP(Table2[[#This Row],[Tulu/kulu liik2]],Table5[[Tulu/kulu liik]:[Kontode koondnimetus]],4,FALSE)</f>
        <v>Muud tegevuskulud</v>
      </c>
      <c r="O706" s="3" t="str">
        <f>VLOOKUP(Table2[[#This Row],[Tulu/kulu liik2]],Table5[],6,FALSE)</f>
        <v>Majandamiskulud</v>
      </c>
      <c r="P706" s="3" t="str">
        <f>VLOOKUP(Table2[[#This Row],[Tulu/kulu liik2]],Table5[],5,FALSE)</f>
        <v>Põhitegevuse kulu</v>
      </c>
    </row>
    <row r="707" spans="1:16" x14ac:dyDescent="0.25">
      <c r="A707" t="str">
        <f t="shared" si="22"/>
        <v>09</v>
      </c>
      <c r="B707" t="s">
        <v>333</v>
      </c>
      <c r="C707" s="3" t="str">
        <f>VLOOKUP(Table2[[#This Row],[Tegevusala]],Table4[],2,FALSE)</f>
        <v xml:space="preserve"> Ulvi Lasteaed</v>
      </c>
      <c r="D707" s="3" t="str">
        <f>VLOOKUP(Table2[[#This Row],[Tegevusala]],Table4[[Tegevusala kood]:[Tegevusala alanimetus]],4,FALSE)</f>
        <v>Alusharidus</v>
      </c>
      <c r="E707" s="3" t="str">
        <f>VLOOKUP(Table2[[#This Row],[Tegevusala nimetus2]],Table4[[Tegevusala nimetus]:[Tegevusala koondnimetus]],2,FALSE)</f>
        <v>Haridus</v>
      </c>
      <c r="F707" t="s">
        <v>1374</v>
      </c>
      <c r="G707" t="s">
        <v>1379</v>
      </c>
      <c r="H707" s="40">
        <v>6000</v>
      </c>
      <c r="J707">
        <v>5511</v>
      </c>
      <c r="K707" s="3" t="str">
        <f>VLOOKUP(Table2[[#This Row],[Konto]],Table5[[Konto]:[Konto nimetus]],2,FALSE)</f>
        <v>Kinnistute, hoonete ja ruumide majandamiskulud</v>
      </c>
      <c r="L707">
        <v>55</v>
      </c>
      <c r="M707" t="str">
        <f t="shared" si="23"/>
        <v>55</v>
      </c>
      <c r="N707" s="3" t="str">
        <f>VLOOKUP(Table2[[#This Row],[Tulu/kulu liik2]],Table5[[Tulu/kulu liik]:[Kontode koondnimetus]],4,FALSE)</f>
        <v>Muud tegevuskulud</v>
      </c>
      <c r="O707" s="3" t="str">
        <f>VLOOKUP(Table2[[#This Row],[Tulu/kulu liik2]],Table5[],6,FALSE)</f>
        <v>Majandamiskulud</v>
      </c>
      <c r="P707" s="3" t="str">
        <f>VLOOKUP(Table2[[#This Row],[Tulu/kulu liik2]],Table5[],5,FALSE)</f>
        <v>Põhitegevuse kulu</v>
      </c>
    </row>
    <row r="708" spans="1:16" x14ac:dyDescent="0.25">
      <c r="A708" t="str">
        <f t="shared" si="22"/>
        <v>09</v>
      </c>
      <c r="B708" t="s">
        <v>333</v>
      </c>
      <c r="C708" s="3" t="str">
        <f>VLOOKUP(Table2[[#This Row],[Tegevusala]],Table4[],2,FALSE)</f>
        <v xml:space="preserve"> Ulvi Lasteaed</v>
      </c>
      <c r="D708" s="3" t="str">
        <f>VLOOKUP(Table2[[#This Row],[Tegevusala]],Table4[[Tegevusala kood]:[Tegevusala alanimetus]],4,FALSE)</f>
        <v>Alusharidus</v>
      </c>
      <c r="E708" s="3" t="str">
        <f>VLOOKUP(Table2[[#This Row],[Tegevusala nimetus2]],Table4[[Tegevusala nimetus]:[Tegevusala koondnimetus]],2,FALSE)</f>
        <v>Haridus</v>
      </c>
      <c r="F708" t="s">
        <v>1374</v>
      </c>
      <c r="G708" t="s">
        <v>1380</v>
      </c>
      <c r="H708" s="40">
        <v>100</v>
      </c>
      <c r="J708">
        <v>5511</v>
      </c>
      <c r="K708" s="3" t="str">
        <f>VLOOKUP(Table2[[#This Row],[Konto]],Table5[[Konto]:[Konto nimetus]],2,FALSE)</f>
        <v>Kinnistute, hoonete ja ruumide majandamiskulud</v>
      </c>
      <c r="L708">
        <v>55</v>
      </c>
      <c r="M708" t="str">
        <f t="shared" si="23"/>
        <v>55</v>
      </c>
      <c r="N708" s="3" t="str">
        <f>VLOOKUP(Table2[[#This Row],[Tulu/kulu liik2]],Table5[[Tulu/kulu liik]:[Kontode koondnimetus]],4,FALSE)</f>
        <v>Muud tegevuskulud</v>
      </c>
      <c r="O708" s="3" t="str">
        <f>VLOOKUP(Table2[[#This Row],[Tulu/kulu liik2]],Table5[],6,FALSE)</f>
        <v>Majandamiskulud</v>
      </c>
      <c r="P708" s="3" t="str">
        <f>VLOOKUP(Table2[[#This Row],[Tulu/kulu liik2]],Table5[],5,FALSE)</f>
        <v>Põhitegevuse kulu</v>
      </c>
    </row>
    <row r="709" spans="1:16" x14ac:dyDescent="0.25">
      <c r="A709" t="str">
        <f t="shared" si="22"/>
        <v>09</v>
      </c>
      <c r="B709" t="s">
        <v>333</v>
      </c>
      <c r="C709" s="3" t="str">
        <f>VLOOKUP(Table2[[#This Row],[Tegevusala]],Table4[],2,FALSE)</f>
        <v xml:space="preserve"> Ulvi Lasteaed</v>
      </c>
      <c r="D709" s="3" t="str">
        <f>VLOOKUP(Table2[[#This Row],[Tegevusala]],Table4[[Tegevusala kood]:[Tegevusala alanimetus]],4,FALSE)</f>
        <v>Alusharidus</v>
      </c>
      <c r="E709" s="3" t="str">
        <f>VLOOKUP(Table2[[#This Row],[Tegevusala nimetus2]],Table4[[Tegevusala nimetus]:[Tegevusala koondnimetus]],2,FALSE)</f>
        <v>Haridus</v>
      </c>
      <c r="F709" t="s">
        <v>1374</v>
      </c>
      <c r="G709" t="s">
        <v>1381</v>
      </c>
      <c r="H709" s="40">
        <v>500</v>
      </c>
      <c r="J709">
        <v>5514</v>
      </c>
      <c r="K709" s="3" t="str">
        <f>VLOOKUP(Table2[[#This Row],[Konto]],Table5[[Konto]:[Konto nimetus]],2,FALSE)</f>
        <v>Info- ja kommunikatsioonitehnoliigised kulud</v>
      </c>
      <c r="L709">
        <v>55</v>
      </c>
      <c r="M709" t="str">
        <f t="shared" si="23"/>
        <v>55</v>
      </c>
      <c r="N709" s="3" t="str">
        <f>VLOOKUP(Table2[[#This Row],[Tulu/kulu liik2]],Table5[[Tulu/kulu liik]:[Kontode koondnimetus]],4,FALSE)</f>
        <v>Muud tegevuskulud</v>
      </c>
      <c r="O709" s="3" t="str">
        <f>VLOOKUP(Table2[[#This Row],[Tulu/kulu liik2]],Table5[],6,FALSE)</f>
        <v>Majandamiskulud</v>
      </c>
      <c r="P709" s="3" t="str">
        <f>VLOOKUP(Table2[[#This Row],[Tulu/kulu liik2]],Table5[],5,FALSE)</f>
        <v>Põhitegevuse kulu</v>
      </c>
    </row>
    <row r="710" spans="1:16" x14ac:dyDescent="0.25">
      <c r="A710" t="str">
        <f t="shared" si="22"/>
        <v>09</v>
      </c>
      <c r="B710" t="s">
        <v>335</v>
      </c>
      <c r="C710" s="3" t="str">
        <f>VLOOKUP(Table2[[#This Row],[Tegevusala]],Table4[],2,FALSE)</f>
        <v xml:space="preserve"> Laekvere Lasteaed</v>
      </c>
      <c r="D710" s="3" t="str">
        <f>VLOOKUP(Table2[[#This Row],[Tegevusala]],Table4[[Tegevusala kood]:[Tegevusala alanimetus]],4,FALSE)</f>
        <v>Alusharidus</v>
      </c>
      <c r="E710" s="3" t="str">
        <f>VLOOKUP(Table2[[#This Row],[Tegevusala nimetus2]],Table4[[Tegevusala nimetus]:[Tegevusala koondnimetus]],2,FALSE)</f>
        <v>Haridus</v>
      </c>
      <c r="F710" t="s">
        <v>1870</v>
      </c>
      <c r="G710" t="s">
        <v>177</v>
      </c>
      <c r="H710" s="40">
        <v>9000</v>
      </c>
      <c r="J710">
        <v>5511</v>
      </c>
      <c r="K710" s="3" t="str">
        <f>VLOOKUP(Table2[[#This Row],[Konto]],Table5[[Konto]:[Konto nimetus]],2,FALSE)</f>
        <v>Kinnistute, hoonete ja ruumide majandamiskulud</v>
      </c>
      <c r="L710">
        <v>55</v>
      </c>
      <c r="M710" t="str">
        <f t="shared" si="23"/>
        <v>55</v>
      </c>
      <c r="N710" s="3" t="str">
        <f>VLOOKUP(Table2[[#This Row],[Tulu/kulu liik2]],Table5[[Tulu/kulu liik]:[Kontode koondnimetus]],4,FALSE)</f>
        <v>Muud tegevuskulud</v>
      </c>
      <c r="O710" s="3" t="str">
        <f>VLOOKUP(Table2[[#This Row],[Tulu/kulu liik2]],Table5[],6,FALSE)</f>
        <v>Majandamiskulud</v>
      </c>
      <c r="P710" s="3" t="str">
        <f>VLOOKUP(Table2[[#This Row],[Tulu/kulu liik2]],Table5[],5,FALSE)</f>
        <v>Põhitegevuse kulu</v>
      </c>
    </row>
    <row r="711" spans="1:16" x14ac:dyDescent="0.25">
      <c r="A711" t="str">
        <f t="shared" si="22"/>
        <v>09</v>
      </c>
      <c r="B711" t="s">
        <v>335</v>
      </c>
      <c r="C711" s="3" t="str">
        <f>VLOOKUP(Table2[[#This Row],[Tegevusala]],Table4[],2,FALSE)</f>
        <v xml:space="preserve"> Laekvere Lasteaed</v>
      </c>
      <c r="D711" s="3" t="str">
        <f>VLOOKUP(Table2[[#This Row],[Tegevusala]],Table4[[Tegevusala kood]:[Tegevusala alanimetus]],4,FALSE)</f>
        <v>Alusharidus</v>
      </c>
      <c r="E711" s="3" t="str">
        <f>VLOOKUP(Table2[[#This Row],[Tegevusala nimetus2]],Table4[[Tegevusala nimetus]:[Tegevusala koondnimetus]],2,FALSE)</f>
        <v>Haridus</v>
      </c>
      <c r="F711" t="s">
        <v>1870</v>
      </c>
      <c r="G711" t="s">
        <v>178</v>
      </c>
      <c r="H711" s="40">
        <v>4000</v>
      </c>
      <c r="J711">
        <v>5511</v>
      </c>
      <c r="K711" s="3" t="str">
        <f>VLOOKUP(Table2[[#This Row],[Konto]],Table5[[Konto]:[Konto nimetus]],2,FALSE)</f>
        <v>Kinnistute, hoonete ja ruumide majandamiskulud</v>
      </c>
      <c r="L711">
        <v>55</v>
      </c>
      <c r="M711" t="str">
        <f t="shared" si="23"/>
        <v>55</v>
      </c>
      <c r="N711" s="3" t="str">
        <f>VLOOKUP(Table2[[#This Row],[Tulu/kulu liik2]],Table5[[Tulu/kulu liik]:[Kontode koondnimetus]],4,FALSE)</f>
        <v>Muud tegevuskulud</v>
      </c>
      <c r="O711" s="3" t="str">
        <f>VLOOKUP(Table2[[#This Row],[Tulu/kulu liik2]],Table5[],6,FALSE)</f>
        <v>Majandamiskulud</v>
      </c>
      <c r="P711" s="3" t="str">
        <f>VLOOKUP(Table2[[#This Row],[Tulu/kulu liik2]],Table5[],5,FALSE)</f>
        <v>Põhitegevuse kulu</v>
      </c>
    </row>
    <row r="712" spans="1:16" x14ac:dyDescent="0.25">
      <c r="A712" t="str">
        <f t="shared" si="22"/>
        <v>09</v>
      </c>
      <c r="B712" t="s">
        <v>335</v>
      </c>
      <c r="C712" s="3" t="str">
        <f>VLOOKUP(Table2[[#This Row],[Tegevusala]],Table4[],2,FALSE)</f>
        <v xml:space="preserve"> Laekvere Lasteaed</v>
      </c>
      <c r="D712" s="3" t="str">
        <f>VLOOKUP(Table2[[#This Row],[Tegevusala]],Table4[[Tegevusala kood]:[Tegevusala alanimetus]],4,FALSE)</f>
        <v>Alusharidus</v>
      </c>
      <c r="E712" s="3" t="str">
        <f>VLOOKUP(Table2[[#This Row],[Tegevusala nimetus2]],Table4[[Tegevusala nimetus]:[Tegevusala koondnimetus]],2,FALSE)</f>
        <v>Haridus</v>
      </c>
      <c r="F712" t="s">
        <v>1870</v>
      </c>
      <c r="G712" t="s">
        <v>410</v>
      </c>
      <c r="H712" s="40">
        <v>400</v>
      </c>
      <c r="J712">
        <v>5511</v>
      </c>
      <c r="K712" s="3" t="str">
        <f>VLOOKUP(Table2[[#This Row],[Konto]],Table5[[Konto]:[Konto nimetus]],2,FALSE)</f>
        <v>Kinnistute, hoonete ja ruumide majandamiskulud</v>
      </c>
      <c r="L712">
        <v>55</v>
      </c>
      <c r="M712" t="str">
        <f t="shared" si="23"/>
        <v>55</v>
      </c>
      <c r="N712" s="3" t="str">
        <f>VLOOKUP(Table2[[#This Row],[Tulu/kulu liik2]],Table5[[Tulu/kulu liik]:[Kontode koondnimetus]],4,FALSE)</f>
        <v>Muud tegevuskulud</v>
      </c>
      <c r="O712" s="3" t="str">
        <f>VLOOKUP(Table2[[#This Row],[Tulu/kulu liik2]],Table5[],6,FALSE)</f>
        <v>Majandamiskulud</v>
      </c>
      <c r="P712" s="3" t="str">
        <f>VLOOKUP(Table2[[#This Row],[Tulu/kulu liik2]],Table5[],5,FALSE)</f>
        <v>Põhitegevuse kulu</v>
      </c>
    </row>
    <row r="713" spans="1:16" x14ac:dyDescent="0.25">
      <c r="A713" t="str">
        <f t="shared" si="22"/>
        <v>09</v>
      </c>
      <c r="B713" t="s">
        <v>335</v>
      </c>
      <c r="C713" s="3" t="str">
        <f>VLOOKUP(Table2[[#This Row],[Tegevusala]],Table4[],2,FALSE)</f>
        <v xml:space="preserve"> Laekvere Lasteaed</v>
      </c>
      <c r="D713" s="3" t="str">
        <f>VLOOKUP(Table2[[#This Row],[Tegevusala]],Table4[[Tegevusala kood]:[Tegevusala alanimetus]],4,FALSE)</f>
        <v>Alusharidus</v>
      </c>
      <c r="E713" s="3" t="str">
        <f>VLOOKUP(Table2[[#This Row],[Tegevusala nimetus2]],Table4[[Tegevusala nimetus]:[Tegevusala koondnimetus]],2,FALSE)</f>
        <v>Haridus</v>
      </c>
      <c r="F713" t="s">
        <v>1870</v>
      </c>
      <c r="G713" t="s">
        <v>411</v>
      </c>
      <c r="H713" s="40">
        <v>3500</v>
      </c>
      <c r="J713">
        <v>5511</v>
      </c>
      <c r="K713" s="3" t="str">
        <f>VLOOKUP(Table2[[#This Row],[Konto]],Table5[[Konto]:[Konto nimetus]],2,FALSE)</f>
        <v>Kinnistute, hoonete ja ruumide majandamiskulud</v>
      </c>
      <c r="L713">
        <v>55</v>
      </c>
      <c r="M713" t="str">
        <f t="shared" si="23"/>
        <v>55</v>
      </c>
      <c r="N713" s="3" t="str">
        <f>VLOOKUP(Table2[[#This Row],[Tulu/kulu liik2]],Table5[[Tulu/kulu liik]:[Kontode koondnimetus]],4,FALSE)</f>
        <v>Muud tegevuskulud</v>
      </c>
      <c r="O713" s="3" t="str">
        <f>VLOOKUP(Table2[[#This Row],[Tulu/kulu liik2]],Table5[],6,FALSE)</f>
        <v>Majandamiskulud</v>
      </c>
      <c r="P713" s="3" t="str">
        <f>VLOOKUP(Table2[[#This Row],[Tulu/kulu liik2]],Table5[],5,FALSE)</f>
        <v>Põhitegevuse kulu</v>
      </c>
    </row>
    <row r="714" spans="1:16" x14ac:dyDescent="0.25">
      <c r="A714" t="str">
        <f t="shared" si="22"/>
        <v>09</v>
      </c>
      <c r="B714" t="s">
        <v>335</v>
      </c>
      <c r="C714" s="3" t="str">
        <f>VLOOKUP(Table2[[#This Row],[Tegevusala]],Table4[],2,FALSE)</f>
        <v xml:space="preserve"> Laekvere Lasteaed</v>
      </c>
      <c r="D714" s="3" t="str">
        <f>VLOOKUP(Table2[[#This Row],[Tegevusala]],Table4[[Tegevusala kood]:[Tegevusala alanimetus]],4,FALSE)</f>
        <v>Alusharidus</v>
      </c>
      <c r="E714" s="3" t="str">
        <f>VLOOKUP(Table2[[#This Row],[Tegevusala nimetus2]],Table4[[Tegevusala nimetus]:[Tegevusala koondnimetus]],2,FALSE)</f>
        <v>Haridus</v>
      </c>
      <c r="F714" t="s">
        <v>1870</v>
      </c>
      <c r="G714" t="s">
        <v>180</v>
      </c>
      <c r="H714" s="40">
        <v>500</v>
      </c>
      <c r="J714">
        <v>5511</v>
      </c>
      <c r="K714" s="3" t="str">
        <f>VLOOKUP(Table2[[#This Row],[Konto]],Table5[[Konto]:[Konto nimetus]],2,FALSE)</f>
        <v>Kinnistute, hoonete ja ruumide majandamiskulud</v>
      </c>
      <c r="L714">
        <v>55</v>
      </c>
      <c r="M714" t="str">
        <f t="shared" si="23"/>
        <v>55</v>
      </c>
      <c r="N714" s="3" t="str">
        <f>VLOOKUP(Table2[[#This Row],[Tulu/kulu liik2]],Table5[[Tulu/kulu liik]:[Kontode koondnimetus]],4,FALSE)</f>
        <v>Muud tegevuskulud</v>
      </c>
      <c r="O714" s="3" t="str">
        <f>VLOOKUP(Table2[[#This Row],[Tulu/kulu liik2]],Table5[],6,FALSE)</f>
        <v>Majandamiskulud</v>
      </c>
      <c r="P714" s="3" t="str">
        <f>VLOOKUP(Table2[[#This Row],[Tulu/kulu liik2]],Table5[],5,FALSE)</f>
        <v>Põhitegevuse kulu</v>
      </c>
    </row>
    <row r="715" spans="1:16" x14ac:dyDescent="0.25">
      <c r="A715" t="str">
        <f t="shared" si="22"/>
        <v>09</v>
      </c>
      <c r="B715" t="s">
        <v>335</v>
      </c>
      <c r="C715" s="3" t="str">
        <f>VLOOKUP(Table2[[#This Row],[Tegevusala]],Table4[],2,FALSE)</f>
        <v xml:space="preserve"> Laekvere Lasteaed</v>
      </c>
      <c r="D715" s="3" t="str">
        <f>VLOOKUP(Table2[[#This Row],[Tegevusala]],Table4[[Tegevusala kood]:[Tegevusala alanimetus]],4,FALSE)</f>
        <v>Alusharidus</v>
      </c>
      <c r="E715" s="3" t="str">
        <f>VLOOKUP(Table2[[#This Row],[Tegevusala nimetus2]],Table4[[Tegevusala nimetus]:[Tegevusala koondnimetus]],2,FALSE)</f>
        <v>Haridus</v>
      </c>
      <c r="F715" t="s">
        <v>1870</v>
      </c>
      <c r="G715" t="s">
        <v>412</v>
      </c>
      <c r="H715" s="40">
        <v>0</v>
      </c>
      <c r="J715">
        <v>5511</v>
      </c>
      <c r="K715" s="3" t="str">
        <f>VLOOKUP(Table2[[#This Row],[Konto]],Table5[[Konto]:[Konto nimetus]],2,FALSE)</f>
        <v>Kinnistute, hoonete ja ruumide majandamiskulud</v>
      </c>
      <c r="L715">
        <v>55</v>
      </c>
      <c r="M715" t="str">
        <f t="shared" si="23"/>
        <v>55</v>
      </c>
      <c r="N715" s="3" t="str">
        <f>VLOOKUP(Table2[[#This Row],[Tulu/kulu liik2]],Table5[[Tulu/kulu liik]:[Kontode koondnimetus]],4,FALSE)</f>
        <v>Muud tegevuskulud</v>
      </c>
      <c r="O715" s="3" t="str">
        <f>VLOOKUP(Table2[[#This Row],[Tulu/kulu liik2]],Table5[],6,FALSE)</f>
        <v>Majandamiskulud</v>
      </c>
      <c r="P715" s="3" t="str">
        <f>VLOOKUP(Table2[[#This Row],[Tulu/kulu liik2]],Table5[],5,FALSE)</f>
        <v>Põhitegevuse kulu</v>
      </c>
    </row>
    <row r="716" spans="1:16" x14ac:dyDescent="0.25">
      <c r="A716" t="str">
        <f t="shared" si="22"/>
        <v>09</v>
      </c>
      <c r="B716" t="s">
        <v>335</v>
      </c>
      <c r="C716" s="3" t="str">
        <f>VLOOKUP(Table2[[#This Row],[Tegevusala]],Table4[],2,FALSE)</f>
        <v xml:space="preserve"> Laekvere Lasteaed</v>
      </c>
      <c r="D716" s="3" t="str">
        <f>VLOOKUP(Table2[[#This Row],[Tegevusala]],Table4[[Tegevusala kood]:[Tegevusala alanimetus]],4,FALSE)</f>
        <v>Alusharidus</v>
      </c>
      <c r="E716" s="3" t="str">
        <f>VLOOKUP(Table2[[#This Row],[Tegevusala nimetus2]],Table4[[Tegevusala nimetus]:[Tegevusala koondnimetus]],2,FALSE)</f>
        <v>Haridus</v>
      </c>
      <c r="F716" t="s">
        <v>1870</v>
      </c>
      <c r="G716" t="s">
        <v>413</v>
      </c>
      <c r="H716" s="40">
        <v>1900</v>
      </c>
      <c r="J716">
        <v>5511</v>
      </c>
      <c r="K716" s="3" t="str">
        <f>VLOOKUP(Table2[[#This Row],[Konto]],Table5[[Konto]:[Konto nimetus]],2,FALSE)</f>
        <v>Kinnistute, hoonete ja ruumide majandamiskulud</v>
      </c>
      <c r="L716">
        <v>55</v>
      </c>
      <c r="M716" t="str">
        <f t="shared" si="23"/>
        <v>55</v>
      </c>
      <c r="N716" s="3" t="str">
        <f>VLOOKUP(Table2[[#This Row],[Tulu/kulu liik2]],Table5[[Tulu/kulu liik]:[Kontode koondnimetus]],4,FALSE)</f>
        <v>Muud tegevuskulud</v>
      </c>
      <c r="O716" s="3" t="str">
        <f>VLOOKUP(Table2[[#This Row],[Tulu/kulu liik2]],Table5[],6,FALSE)</f>
        <v>Majandamiskulud</v>
      </c>
      <c r="P716" s="3" t="str">
        <f>VLOOKUP(Table2[[#This Row],[Tulu/kulu liik2]],Table5[],5,FALSE)</f>
        <v>Põhitegevuse kulu</v>
      </c>
    </row>
    <row r="717" spans="1:16" x14ac:dyDescent="0.25">
      <c r="A717" t="str">
        <f t="shared" si="22"/>
        <v>09</v>
      </c>
      <c r="B717" t="s">
        <v>335</v>
      </c>
      <c r="C717" s="3" t="str">
        <f>VLOOKUP(Table2[[#This Row],[Tegevusala]],Table4[],2,FALSE)</f>
        <v xml:space="preserve"> Laekvere Lasteaed</v>
      </c>
      <c r="D717" s="3" t="str">
        <f>VLOOKUP(Table2[[#This Row],[Tegevusala]],Table4[[Tegevusala kood]:[Tegevusala alanimetus]],4,FALSE)</f>
        <v>Alusharidus</v>
      </c>
      <c r="E717" s="3" t="str">
        <f>VLOOKUP(Table2[[#This Row],[Tegevusala nimetus2]],Table4[[Tegevusala nimetus]:[Tegevusala koondnimetus]],2,FALSE)</f>
        <v>Haridus</v>
      </c>
      <c r="F717" t="s">
        <v>1870</v>
      </c>
      <c r="G717" t="s">
        <v>414</v>
      </c>
      <c r="H717" s="40">
        <v>500</v>
      </c>
      <c r="J717">
        <v>5511</v>
      </c>
      <c r="K717" s="3" t="str">
        <f>VLOOKUP(Table2[[#This Row],[Konto]],Table5[[Konto]:[Konto nimetus]],2,FALSE)</f>
        <v>Kinnistute, hoonete ja ruumide majandamiskulud</v>
      </c>
      <c r="L717">
        <v>55</v>
      </c>
      <c r="M717" t="str">
        <f t="shared" si="23"/>
        <v>55</v>
      </c>
      <c r="N717" s="3" t="str">
        <f>VLOOKUP(Table2[[#This Row],[Tulu/kulu liik2]],Table5[[Tulu/kulu liik]:[Kontode koondnimetus]],4,FALSE)</f>
        <v>Muud tegevuskulud</v>
      </c>
      <c r="O717" s="3" t="str">
        <f>VLOOKUP(Table2[[#This Row],[Tulu/kulu liik2]],Table5[],6,FALSE)</f>
        <v>Majandamiskulud</v>
      </c>
      <c r="P717" s="3" t="str">
        <f>VLOOKUP(Table2[[#This Row],[Tulu/kulu liik2]],Table5[],5,FALSE)</f>
        <v>Põhitegevuse kulu</v>
      </c>
    </row>
    <row r="718" spans="1:16" x14ac:dyDescent="0.25">
      <c r="A718" t="str">
        <f t="shared" si="22"/>
        <v>09</v>
      </c>
      <c r="B718" t="s">
        <v>335</v>
      </c>
      <c r="C718" s="3" t="str">
        <f>VLOOKUP(Table2[[#This Row],[Tegevusala]],Table4[],2,FALSE)</f>
        <v xml:space="preserve"> Laekvere Lasteaed</v>
      </c>
      <c r="D718" s="3" t="str">
        <f>VLOOKUP(Table2[[#This Row],[Tegevusala]],Table4[[Tegevusala kood]:[Tegevusala alanimetus]],4,FALSE)</f>
        <v>Alusharidus</v>
      </c>
      <c r="E718" s="3" t="str">
        <f>VLOOKUP(Table2[[#This Row],[Tegevusala nimetus2]],Table4[[Tegevusala nimetus]:[Tegevusala koondnimetus]],2,FALSE)</f>
        <v>Haridus</v>
      </c>
      <c r="F718" t="s">
        <v>1870</v>
      </c>
      <c r="G718" t="s">
        <v>415</v>
      </c>
      <c r="H718" s="40">
        <v>1200</v>
      </c>
      <c r="J718">
        <v>5511</v>
      </c>
      <c r="K718" s="3" t="str">
        <f>VLOOKUP(Table2[[#This Row],[Konto]],Table5[[Konto]:[Konto nimetus]],2,FALSE)</f>
        <v>Kinnistute, hoonete ja ruumide majandamiskulud</v>
      </c>
      <c r="L718">
        <v>55</v>
      </c>
      <c r="M718" t="str">
        <f t="shared" si="23"/>
        <v>55</v>
      </c>
      <c r="N718" s="3" t="str">
        <f>VLOOKUP(Table2[[#This Row],[Tulu/kulu liik2]],Table5[[Tulu/kulu liik]:[Kontode koondnimetus]],4,FALSE)</f>
        <v>Muud tegevuskulud</v>
      </c>
      <c r="O718" s="3" t="str">
        <f>VLOOKUP(Table2[[#This Row],[Tulu/kulu liik2]],Table5[],6,FALSE)</f>
        <v>Majandamiskulud</v>
      </c>
      <c r="P718" s="3" t="str">
        <f>VLOOKUP(Table2[[#This Row],[Tulu/kulu liik2]],Table5[],5,FALSE)</f>
        <v>Põhitegevuse kulu</v>
      </c>
    </row>
    <row r="719" spans="1:16" x14ac:dyDescent="0.25">
      <c r="A719" t="str">
        <f t="shared" si="22"/>
        <v>09</v>
      </c>
      <c r="B719" t="s">
        <v>335</v>
      </c>
      <c r="C719" s="3" t="str">
        <f>VLOOKUP(Table2[[#This Row],[Tegevusala]],Table4[],2,FALSE)</f>
        <v xml:space="preserve"> Laekvere Lasteaed</v>
      </c>
      <c r="D719" s="3" t="str">
        <f>VLOOKUP(Table2[[#This Row],[Tegevusala]],Table4[[Tegevusala kood]:[Tegevusala alanimetus]],4,FALSE)</f>
        <v>Alusharidus</v>
      </c>
      <c r="E719" s="3" t="str">
        <f>VLOOKUP(Table2[[#This Row],[Tegevusala nimetus2]],Table4[[Tegevusala nimetus]:[Tegevusala koondnimetus]],2,FALSE)</f>
        <v>Haridus</v>
      </c>
      <c r="F719" t="s">
        <v>1870</v>
      </c>
      <c r="G719" t="s">
        <v>1873</v>
      </c>
      <c r="H719" s="40">
        <v>200</v>
      </c>
      <c r="J719">
        <v>5511</v>
      </c>
      <c r="K719" s="3" t="str">
        <f>VLOOKUP(Table2[[#This Row],[Konto]],Table5[[Konto]:[Konto nimetus]],2,FALSE)</f>
        <v>Kinnistute, hoonete ja ruumide majandamiskulud</v>
      </c>
      <c r="L719">
        <v>55</v>
      </c>
      <c r="M719" t="str">
        <f t="shared" si="23"/>
        <v>55</v>
      </c>
      <c r="N719" s="3" t="str">
        <f>VLOOKUP(Table2[[#This Row],[Tulu/kulu liik2]],Table5[[Tulu/kulu liik]:[Kontode koondnimetus]],4,FALSE)</f>
        <v>Muud tegevuskulud</v>
      </c>
      <c r="O719" s="3" t="str">
        <f>VLOOKUP(Table2[[#This Row],[Tulu/kulu liik2]],Table5[],6,FALSE)</f>
        <v>Majandamiskulud</v>
      </c>
      <c r="P719" s="3" t="str">
        <f>VLOOKUP(Table2[[#This Row],[Tulu/kulu liik2]],Table5[],5,FALSE)</f>
        <v>Põhitegevuse kulu</v>
      </c>
    </row>
    <row r="720" spans="1:16" x14ac:dyDescent="0.25">
      <c r="A720" t="str">
        <f t="shared" si="22"/>
        <v>09</v>
      </c>
      <c r="B720" t="s">
        <v>335</v>
      </c>
      <c r="C720" s="3" t="str">
        <f>VLOOKUP(Table2[[#This Row],[Tegevusala]],Table4[],2,FALSE)</f>
        <v xml:space="preserve"> Laekvere Lasteaed</v>
      </c>
      <c r="D720" s="3" t="str">
        <f>VLOOKUP(Table2[[#This Row],[Tegevusala]],Table4[[Tegevusala kood]:[Tegevusala alanimetus]],4,FALSE)</f>
        <v>Alusharidus</v>
      </c>
      <c r="E720" s="3" t="str">
        <f>VLOOKUP(Table2[[#This Row],[Tegevusala nimetus2]],Table4[[Tegevusala nimetus]:[Tegevusala koondnimetus]],2,FALSE)</f>
        <v>Haridus</v>
      </c>
      <c r="F720" t="s">
        <v>1870</v>
      </c>
      <c r="G720" t="s">
        <v>416</v>
      </c>
      <c r="H720" s="40">
        <v>500</v>
      </c>
      <c r="J720">
        <v>5511</v>
      </c>
      <c r="K720" s="3" t="str">
        <f>VLOOKUP(Table2[[#This Row],[Konto]],Table5[[Konto]:[Konto nimetus]],2,FALSE)</f>
        <v>Kinnistute, hoonete ja ruumide majandamiskulud</v>
      </c>
      <c r="L720">
        <v>55</v>
      </c>
      <c r="M720" t="str">
        <f t="shared" si="23"/>
        <v>55</v>
      </c>
      <c r="N720" s="3" t="str">
        <f>VLOOKUP(Table2[[#This Row],[Tulu/kulu liik2]],Table5[[Tulu/kulu liik]:[Kontode koondnimetus]],4,FALSE)</f>
        <v>Muud tegevuskulud</v>
      </c>
      <c r="O720" s="3" t="str">
        <f>VLOOKUP(Table2[[#This Row],[Tulu/kulu liik2]],Table5[],6,FALSE)</f>
        <v>Majandamiskulud</v>
      </c>
      <c r="P720" s="3" t="str">
        <f>VLOOKUP(Table2[[#This Row],[Tulu/kulu liik2]],Table5[],5,FALSE)</f>
        <v>Põhitegevuse kulu</v>
      </c>
    </row>
    <row r="721" spans="1:16" x14ac:dyDescent="0.25">
      <c r="A721" t="str">
        <f t="shared" si="22"/>
        <v>09</v>
      </c>
      <c r="B721" t="s">
        <v>335</v>
      </c>
      <c r="C721" s="3" t="str">
        <f>VLOOKUP(Table2[[#This Row],[Tegevusala]],Table4[],2,FALSE)</f>
        <v xml:space="preserve"> Laekvere Lasteaed</v>
      </c>
      <c r="D721" s="3" t="str">
        <f>VLOOKUP(Table2[[#This Row],[Tegevusala]],Table4[[Tegevusala kood]:[Tegevusala alanimetus]],4,FALSE)</f>
        <v>Alusharidus</v>
      </c>
      <c r="E721" s="3" t="str">
        <f>VLOOKUP(Table2[[#This Row],[Tegevusala nimetus2]],Table4[[Tegevusala nimetus]:[Tegevusala koondnimetus]],2,FALSE)</f>
        <v>Haridus</v>
      </c>
      <c r="F721" t="s">
        <v>1870</v>
      </c>
      <c r="G721" t="s">
        <v>436</v>
      </c>
      <c r="H721" s="40">
        <v>150</v>
      </c>
      <c r="J721">
        <v>5511</v>
      </c>
      <c r="K721" s="3" t="str">
        <f>VLOOKUP(Table2[[#This Row],[Konto]],Table5[[Konto]:[Konto nimetus]],2,FALSE)</f>
        <v>Kinnistute, hoonete ja ruumide majandamiskulud</v>
      </c>
      <c r="L721">
        <v>55</v>
      </c>
      <c r="M721" t="str">
        <f t="shared" si="23"/>
        <v>55</v>
      </c>
      <c r="N721" s="3" t="str">
        <f>VLOOKUP(Table2[[#This Row],[Tulu/kulu liik2]],Table5[[Tulu/kulu liik]:[Kontode koondnimetus]],4,FALSE)</f>
        <v>Muud tegevuskulud</v>
      </c>
      <c r="O721" s="3" t="str">
        <f>VLOOKUP(Table2[[#This Row],[Tulu/kulu liik2]],Table5[],6,FALSE)</f>
        <v>Majandamiskulud</v>
      </c>
      <c r="P721" s="3" t="str">
        <f>VLOOKUP(Table2[[#This Row],[Tulu/kulu liik2]],Table5[],5,FALSE)</f>
        <v>Põhitegevuse kulu</v>
      </c>
    </row>
    <row r="722" spans="1:16" x14ac:dyDescent="0.25">
      <c r="A722" t="str">
        <f t="shared" si="22"/>
        <v>09</v>
      </c>
      <c r="B722" t="s">
        <v>335</v>
      </c>
      <c r="C722" s="3" t="str">
        <f>VLOOKUP(Table2[[#This Row],[Tegevusala]],Table4[],2,FALSE)</f>
        <v xml:space="preserve"> Laekvere Lasteaed</v>
      </c>
      <c r="D722" s="3" t="str">
        <f>VLOOKUP(Table2[[#This Row],[Tegevusala]],Table4[[Tegevusala kood]:[Tegevusala alanimetus]],4,FALSE)</f>
        <v>Alusharidus</v>
      </c>
      <c r="E722" s="3" t="str">
        <f>VLOOKUP(Table2[[#This Row],[Tegevusala nimetus2]],Table4[[Tegevusala nimetus]:[Tegevusala koondnimetus]],2,FALSE)</f>
        <v>Haridus</v>
      </c>
      <c r="F722" t="s">
        <v>1870</v>
      </c>
      <c r="G722" t="s">
        <v>1871</v>
      </c>
      <c r="H722" s="40">
        <v>600</v>
      </c>
      <c r="J722">
        <v>5500</v>
      </c>
      <c r="K722" s="3" t="str">
        <f>VLOOKUP(Table2[[#This Row],[Konto]],Table5[[Konto]:[Konto nimetus]],2,FALSE)</f>
        <v>Administreerimiskulud</v>
      </c>
      <c r="L722">
        <v>55</v>
      </c>
      <c r="M722" t="str">
        <f t="shared" si="23"/>
        <v>55</v>
      </c>
      <c r="N722" s="3" t="str">
        <f>VLOOKUP(Table2[[#This Row],[Tulu/kulu liik2]],Table5[[Tulu/kulu liik]:[Kontode koondnimetus]],4,FALSE)</f>
        <v>Muud tegevuskulud</v>
      </c>
      <c r="O722" s="3" t="str">
        <f>VLOOKUP(Table2[[#This Row],[Tulu/kulu liik2]],Table5[],6,FALSE)</f>
        <v>Majandamiskulud</v>
      </c>
      <c r="P722" s="3" t="str">
        <f>VLOOKUP(Table2[[#This Row],[Tulu/kulu liik2]],Table5[],5,FALSE)</f>
        <v>Põhitegevuse kulu</v>
      </c>
    </row>
    <row r="723" spans="1:16" x14ac:dyDescent="0.25">
      <c r="A723" t="str">
        <f t="shared" si="22"/>
        <v>09</v>
      </c>
      <c r="B723" t="s">
        <v>335</v>
      </c>
      <c r="C723" s="3" t="str">
        <f>VLOOKUP(Table2[[#This Row],[Tegevusala]],Table4[],2,FALSE)</f>
        <v xml:space="preserve"> Laekvere Lasteaed</v>
      </c>
      <c r="D723" s="3" t="str">
        <f>VLOOKUP(Table2[[#This Row],[Tegevusala]],Table4[[Tegevusala kood]:[Tegevusala alanimetus]],4,FALSE)</f>
        <v>Alusharidus</v>
      </c>
      <c r="E723" s="3" t="str">
        <f>VLOOKUP(Table2[[#This Row],[Tegevusala nimetus2]],Table4[[Tegevusala nimetus]:[Tegevusala koondnimetus]],2,FALSE)</f>
        <v>Haridus</v>
      </c>
      <c r="F723" t="s">
        <v>1870</v>
      </c>
      <c r="G723" t="s">
        <v>401</v>
      </c>
      <c r="H723" s="40">
        <v>400</v>
      </c>
      <c r="J723">
        <v>5500</v>
      </c>
      <c r="K723" s="3" t="str">
        <f>VLOOKUP(Table2[[#This Row],[Konto]],Table5[[Konto]:[Konto nimetus]],2,FALSE)</f>
        <v>Administreerimiskulud</v>
      </c>
      <c r="L723">
        <v>55</v>
      </c>
      <c r="M723" t="str">
        <f t="shared" si="23"/>
        <v>55</v>
      </c>
      <c r="N723" s="3" t="str">
        <f>VLOOKUP(Table2[[#This Row],[Tulu/kulu liik2]],Table5[[Tulu/kulu liik]:[Kontode koondnimetus]],4,FALSE)</f>
        <v>Muud tegevuskulud</v>
      </c>
      <c r="O723" s="3" t="str">
        <f>VLOOKUP(Table2[[#This Row],[Tulu/kulu liik2]],Table5[],6,FALSE)</f>
        <v>Majandamiskulud</v>
      </c>
      <c r="P723" s="3" t="str">
        <f>VLOOKUP(Table2[[#This Row],[Tulu/kulu liik2]],Table5[],5,FALSE)</f>
        <v>Põhitegevuse kulu</v>
      </c>
    </row>
    <row r="724" spans="1:16" x14ac:dyDescent="0.25">
      <c r="A724" t="str">
        <f t="shared" si="22"/>
        <v>09</v>
      </c>
      <c r="B724" t="s">
        <v>335</v>
      </c>
      <c r="C724" s="3" t="str">
        <f>VLOOKUP(Table2[[#This Row],[Tegevusala]],Table4[],2,FALSE)</f>
        <v xml:space="preserve"> Laekvere Lasteaed</v>
      </c>
      <c r="D724" s="3" t="str">
        <f>VLOOKUP(Table2[[#This Row],[Tegevusala]],Table4[[Tegevusala kood]:[Tegevusala alanimetus]],4,FALSE)</f>
        <v>Alusharidus</v>
      </c>
      <c r="E724" s="3" t="str">
        <f>VLOOKUP(Table2[[#This Row],[Tegevusala nimetus2]],Table4[[Tegevusala nimetus]:[Tegevusala koondnimetus]],2,FALSE)</f>
        <v>Haridus</v>
      </c>
      <c r="F724" t="s">
        <v>1870</v>
      </c>
      <c r="G724" t="s">
        <v>402</v>
      </c>
      <c r="H724" s="40">
        <v>100</v>
      </c>
      <c r="J724">
        <v>5500</v>
      </c>
      <c r="K724" s="3" t="str">
        <f>VLOOKUP(Table2[[#This Row],[Konto]],Table5[[Konto]:[Konto nimetus]],2,FALSE)</f>
        <v>Administreerimiskulud</v>
      </c>
      <c r="L724">
        <v>55</v>
      </c>
      <c r="M724" t="str">
        <f t="shared" si="23"/>
        <v>55</v>
      </c>
      <c r="N724" s="3" t="str">
        <f>VLOOKUP(Table2[[#This Row],[Tulu/kulu liik2]],Table5[[Tulu/kulu liik]:[Kontode koondnimetus]],4,FALSE)</f>
        <v>Muud tegevuskulud</v>
      </c>
      <c r="O724" s="3" t="str">
        <f>VLOOKUP(Table2[[#This Row],[Tulu/kulu liik2]],Table5[],6,FALSE)</f>
        <v>Majandamiskulud</v>
      </c>
      <c r="P724" s="3" t="str">
        <f>VLOOKUP(Table2[[#This Row],[Tulu/kulu liik2]],Table5[],5,FALSE)</f>
        <v>Põhitegevuse kulu</v>
      </c>
    </row>
    <row r="725" spans="1:16" x14ac:dyDescent="0.25">
      <c r="A725" t="str">
        <f t="shared" si="22"/>
        <v>09</v>
      </c>
      <c r="B725" t="s">
        <v>335</v>
      </c>
      <c r="C725" s="3" t="str">
        <f>VLOOKUP(Table2[[#This Row],[Tegevusala]],Table4[],2,FALSE)</f>
        <v xml:space="preserve"> Laekvere Lasteaed</v>
      </c>
      <c r="D725" s="3" t="str">
        <f>VLOOKUP(Table2[[#This Row],[Tegevusala]],Table4[[Tegevusala kood]:[Tegevusala alanimetus]],4,FALSE)</f>
        <v>Alusharidus</v>
      </c>
      <c r="E725" s="3" t="str">
        <f>VLOOKUP(Table2[[#This Row],[Tegevusala nimetus2]],Table4[[Tegevusala nimetus]:[Tegevusala koondnimetus]],2,FALSE)</f>
        <v>Haridus</v>
      </c>
      <c r="F725" t="s">
        <v>1870</v>
      </c>
      <c r="G725" t="s">
        <v>403</v>
      </c>
      <c r="H725" s="40">
        <v>50</v>
      </c>
      <c r="J725">
        <v>5500</v>
      </c>
      <c r="K725" s="3" t="str">
        <f>VLOOKUP(Table2[[#This Row],[Konto]],Table5[[Konto]:[Konto nimetus]],2,FALSE)</f>
        <v>Administreerimiskulud</v>
      </c>
      <c r="L725">
        <v>55</v>
      </c>
      <c r="M725" t="str">
        <f t="shared" si="23"/>
        <v>55</v>
      </c>
      <c r="N725" s="3" t="str">
        <f>VLOOKUP(Table2[[#This Row],[Tulu/kulu liik2]],Table5[[Tulu/kulu liik]:[Kontode koondnimetus]],4,FALSE)</f>
        <v>Muud tegevuskulud</v>
      </c>
      <c r="O725" s="3" t="str">
        <f>VLOOKUP(Table2[[#This Row],[Tulu/kulu liik2]],Table5[],6,FALSE)</f>
        <v>Majandamiskulud</v>
      </c>
      <c r="P725" s="3" t="str">
        <f>VLOOKUP(Table2[[#This Row],[Tulu/kulu liik2]],Table5[],5,FALSE)</f>
        <v>Põhitegevuse kulu</v>
      </c>
    </row>
    <row r="726" spans="1:16" x14ac:dyDescent="0.25">
      <c r="A726" t="str">
        <f t="shared" si="22"/>
        <v>09</v>
      </c>
      <c r="B726" t="s">
        <v>335</v>
      </c>
      <c r="C726" s="3" t="str">
        <f>VLOOKUP(Table2[[#This Row],[Tegevusala]],Table4[],2,FALSE)</f>
        <v xml:space="preserve"> Laekvere Lasteaed</v>
      </c>
      <c r="D726" s="3" t="str">
        <f>VLOOKUP(Table2[[#This Row],[Tegevusala]],Table4[[Tegevusala kood]:[Tegevusala alanimetus]],4,FALSE)</f>
        <v>Alusharidus</v>
      </c>
      <c r="E726" s="3" t="str">
        <f>VLOOKUP(Table2[[#This Row],[Tegevusala nimetus2]],Table4[[Tegevusala nimetus]:[Tegevusala koondnimetus]],2,FALSE)</f>
        <v>Haridus</v>
      </c>
      <c r="F726" t="s">
        <v>1870</v>
      </c>
      <c r="G726" t="s">
        <v>404</v>
      </c>
      <c r="H726" s="40">
        <v>300</v>
      </c>
      <c r="J726">
        <v>5500</v>
      </c>
      <c r="K726" s="3" t="str">
        <f>VLOOKUP(Table2[[#This Row],[Konto]],Table5[[Konto]:[Konto nimetus]],2,FALSE)</f>
        <v>Administreerimiskulud</v>
      </c>
      <c r="L726">
        <v>55</v>
      </c>
      <c r="M726" t="str">
        <f t="shared" si="23"/>
        <v>55</v>
      </c>
      <c r="N726" s="3" t="str">
        <f>VLOOKUP(Table2[[#This Row],[Tulu/kulu liik2]],Table5[[Tulu/kulu liik]:[Kontode koondnimetus]],4,FALSE)</f>
        <v>Muud tegevuskulud</v>
      </c>
      <c r="O726" s="3" t="str">
        <f>VLOOKUP(Table2[[#This Row],[Tulu/kulu liik2]],Table5[],6,FALSE)</f>
        <v>Majandamiskulud</v>
      </c>
      <c r="P726" s="3" t="str">
        <f>VLOOKUP(Table2[[#This Row],[Tulu/kulu liik2]],Table5[],5,FALSE)</f>
        <v>Põhitegevuse kulu</v>
      </c>
    </row>
    <row r="727" spans="1:16" x14ac:dyDescent="0.25">
      <c r="A727" t="str">
        <f t="shared" si="22"/>
        <v>09</v>
      </c>
      <c r="B727" t="s">
        <v>335</v>
      </c>
      <c r="C727" s="3" t="str">
        <f>VLOOKUP(Table2[[#This Row],[Tegevusala]],Table4[],2,FALSE)</f>
        <v xml:space="preserve"> Laekvere Lasteaed</v>
      </c>
      <c r="D727" s="3" t="str">
        <f>VLOOKUP(Table2[[#This Row],[Tegevusala]],Table4[[Tegevusala kood]:[Tegevusala alanimetus]],4,FALSE)</f>
        <v>Alusharidus</v>
      </c>
      <c r="E727" s="3" t="str">
        <f>VLOOKUP(Table2[[#This Row],[Tegevusala nimetus2]],Table4[[Tegevusala nimetus]:[Tegevusala koondnimetus]],2,FALSE)</f>
        <v>Haridus</v>
      </c>
      <c r="F727" t="s">
        <v>1870</v>
      </c>
      <c r="G727" t="s">
        <v>405</v>
      </c>
      <c r="H727" s="40">
        <v>0</v>
      </c>
      <c r="J727">
        <v>5500</v>
      </c>
      <c r="K727" s="3" t="str">
        <f>VLOOKUP(Table2[[#This Row],[Konto]],Table5[[Konto]:[Konto nimetus]],2,FALSE)</f>
        <v>Administreerimiskulud</v>
      </c>
      <c r="L727">
        <v>55</v>
      </c>
      <c r="M727" t="str">
        <f t="shared" si="23"/>
        <v>55</v>
      </c>
      <c r="N727" s="3" t="str">
        <f>VLOOKUP(Table2[[#This Row],[Tulu/kulu liik2]],Table5[[Tulu/kulu liik]:[Kontode koondnimetus]],4,FALSE)</f>
        <v>Muud tegevuskulud</v>
      </c>
      <c r="O727" s="3" t="str">
        <f>VLOOKUP(Table2[[#This Row],[Tulu/kulu liik2]],Table5[],6,FALSE)</f>
        <v>Majandamiskulud</v>
      </c>
      <c r="P727" s="3" t="str">
        <f>VLOOKUP(Table2[[#This Row],[Tulu/kulu liik2]],Table5[],5,FALSE)</f>
        <v>Põhitegevuse kulu</v>
      </c>
    </row>
    <row r="728" spans="1:16" x14ac:dyDescent="0.25">
      <c r="A728" t="str">
        <f t="shared" si="22"/>
        <v>09</v>
      </c>
      <c r="B728" t="s">
        <v>335</v>
      </c>
      <c r="C728" s="3" t="str">
        <f>VLOOKUP(Table2[[#This Row],[Tegevusala]],Table4[],2,FALSE)</f>
        <v xml:space="preserve"> Laekvere Lasteaed</v>
      </c>
      <c r="D728" s="3" t="str">
        <f>VLOOKUP(Table2[[#This Row],[Tegevusala]],Table4[[Tegevusala kood]:[Tegevusala alanimetus]],4,FALSE)</f>
        <v>Alusharidus</v>
      </c>
      <c r="E728" s="3" t="str">
        <f>VLOOKUP(Table2[[#This Row],[Tegevusala nimetus2]],Table4[[Tegevusala nimetus]:[Tegevusala koondnimetus]],2,FALSE)</f>
        <v>Haridus</v>
      </c>
      <c r="F728" t="s">
        <v>1870</v>
      </c>
      <c r="G728" t="s">
        <v>406</v>
      </c>
      <c r="H728" s="40">
        <v>100</v>
      </c>
      <c r="J728">
        <v>5500</v>
      </c>
      <c r="K728" s="3" t="str">
        <f>VLOOKUP(Table2[[#This Row],[Konto]],Table5[[Konto]:[Konto nimetus]],2,FALSE)</f>
        <v>Administreerimiskulud</v>
      </c>
      <c r="L728">
        <v>55</v>
      </c>
      <c r="M728" t="str">
        <f t="shared" si="23"/>
        <v>55</v>
      </c>
      <c r="N728" s="3" t="str">
        <f>VLOOKUP(Table2[[#This Row],[Tulu/kulu liik2]],Table5[[Tulu/kulu liik]:[Kontode koondnimetus]],4,FALSE)</f>
        <v>Muud tegevuskulud</v>
      </c>
      <c r="O728" s="3" t="str">
        <f>VLOOKUP(Table2[[#This Row],[Tulu/kulu liik2]],Table5[],6,FALSE)</f>
        <v>Majandamiskulud</v>
      </c>
      <c r="P728" s="3" t="str">
        <f>VLOOKUP(Table2[[#This Row],[Tulu/kulu liik2]],Table5[],5,FALSE)</f>
        <v>Põhitegevuse kulu</v>
      </c>
    </row>
    <row r="729" spans="1:16" x14ac:dyDescent="0.25">
      <c r="A729" t="str">
        <f t="shared" si="22"/>
        <v>09</v>
      </c>
      <c r="B729" t="s">
        <v>335</v>
      </c>
      <c r="C729" s="3" t="str">
        <f>VLOOKUP(Table2[[#This Row],[Tegevusala]],Table4[],2,FALSE)</f>
        <v xml:space="preserve"> Laekvere Lasteaed</v>
      </c>
      <c r="D729" s="3" t="str">
        <f>VLOOKUP(Table2[[#This Row],[Tegevusala]],Table4[[Tegevusala kood]:[Tegevusala alanimetus]],4,FALSE)</f>
        <v>Alusharidus</v>
      </c>
      <c r="E729" s="3" t="str">
        <f>VLOOKUP(Table2[[#This Row],[Tegevusala nimetus2]],Table4[[Tegevusala nimetus]:[Tegevusala koondnimetus]],2,FALSE)</f>
        <v>Haridus</v>
      </c>
      <c r="F729" t="s">
        <v>1870</v>
      </c>
      <c r="G729" t="s">
        <v>407</v>
      </c>
      <c r="H729" s="40">
        <v>130</v>
      </c>
      <c r="J729">
        <v>5500</v>
      </c>
      <c r="K729" s="3" t="str">
        <f>VLOOKUP(Table2[[#This Row],[Konto]],Table5[[Konto]:[Konto nimetus]],2,FALSE)</f>
        <v>Administreerimiskulud</v>
      </c>
      <c r="L729">
        <v>55</v>
      </c>
      <c r="M729" t="str">
        <f t="shared" si="23"/>
        <v>55</v>
      </c>
      <c r="N729" s="3" t="str">
        <f>VLOOKUP(Table2[[#This Row],[Tulu/kulu liik2]],Table5[[Tulu/kulu liik]:[Kontode koondnimetus]],4,FALSE)</f>
        <v>Muud tegevuskulud</v>
      </c>
      <c r="O729" s="3" t="str">
        <f>VLOOKUP(Table2[[#This Row],[Tulu/kulu liik2]],Table5[],6,FALSE)</f>
        <v>Majandamiskulud</v>
      </c>
      <c r="P729" s="3" t="str">
        <f>VLOOKUP(Table2[[#This Row],[Tulu/kulu liik2]],Table5[],5,FALSE)</f>
        <v>Põhitegevuse kulu</v>
      </c>
    </row>
    <row r="730" spans="1:16" x14ac:dyDescent="0.25">
      <c r="A730" t="str">
        <f t="shared" si="22"/>
        <v>09</v>
      </c>
      <c r="B730" t="s">
        <v>335</v>
      </c>
      <c r="C730" s="3" t="str">
        <f>VLOOKUP(Table2[[#This Row],[Tegevusala]],Table4[],2,FALSE)</f>
        <v xml:space="preserve"> Laekvere Lasteaed</v>
      </c>
      <c r="D730" s="3" t="str">
        <f>VLOOKUP(Table2[[#This Row],[Tegevusala]],Table4[[Tegevusala kood]:[Tegevusala alanimetus]],4,FALSE)</f>
        <v>Alusharidus</v>
      </c>
      <c r="E730" s="3" t="str">
        <f>VLOOKUP(Table2[[#This Row],[Tegevusala nimetus2]],Table4[[Tegevusala nimetus]:[Tegevusala koondnimetus]],2,FALSE)</f>
        <v>Haridus</v>
      </c>
      <c r="F730" t="s">
        <v>1870</v>
      </c>
      <c r="G730" t="s">
        <v>408</v>
      </c>
      <c r="H730" s="40">
        <v>50</v>
      </c>
      <c r="J730">
        <v>5500</v>
      </c>
      <c r="K730" s="3" t="str">
        <f>VLOOKUP(Table2[[#This Row],[Konto]],Table5[[Konto]:[Konto nimetus]],2,FALSE)</f>
        <v>Administreerimiskulud</v>
      </c>
      <c r="L730">
        <v>55</v>
      </c>
      <c r="M730" t="str">
        <f t="shared" si="23"/>
        <v>55</v>
      </c>
      <c r="N730" s="3" t="str">
        <f>VLOOKUP(Table2[[#This Row],[Tulu/kulu liik2]],Table5[[Tulu/kulu liik]:[Kontode koondnimetus]],4,FALSE)</f>
        <v>Muud tegevuskulud</v>
      </c>
      <c r="O730" s="3" t="str">
        <f>VLOOKUP(Table2[[#This Row],[Tulu/kulu liik2]],Table5[],6,FALSE)</f>
        <v>Majandamiskulud</v>
      </c>
      <c r="P730" s="3" t="str">
        <f>VLOOKUP(Table2[[#This Row],[Tulu/kulu liik2]],Table5[],5,FALSE)</f>
        <v>Põhitegevuse kulu</v>
      </c>
    </row>
    <row r="731" spans="1:16" x14ac:dyDescent="0.25">
      <c r="A731" t="str">
        <f t="shared" si="22"/>
        <v>09</v>
      </c>
      <c r="B731" t="s">
        <v>335</v>
      </c>
      <c r="C731" s="3" t="str">
        <f>VLOOKUP(Table2[[#This Row],[Tegevusala]],Table4[],2,FALSE)</f>
        <v xml:space="preserve"> Laekvere Lasteaed</v>
      </c>
      <c r="D731" s="3" t="str">
        <f>VLOOKUP(Table2[[#This Row],[Tegevusala]],Table4[[Tegevusala kood]:[Tegevusala alanimetus]],4,FALSE)</f>
        <v>Alusharidus</v>
      </c>
      <c r="E731" s="3" t="str">
        <f>VLOOKUP(Table2[[#This Row],[Tegevusala nimetus2]],Table4[[Tegevusala nimetus]:[Tegevusala koondnimetus]],2,FALSE)</f>
        <v>Haridus</v>
      </c>
      <c r="F731" t="s">
        <v>1870</v>
      </c>
      <c r="G731" t="s">
        <v>1872</v>
      </c>
      <c r="H731" s="40">
        <v>100</v>
      </c>
      <c r="J731">
        <v>5500</v>
      </c>
      <c r="K731" s="3" t="str">
        <f>VLOOKUP(Table2[[#This Row],[Konto]],Table5[[Konto]:[Konto nimetus]],2,FALSE)</f>
        <v>Administreerimiskulud</v>
      </c>
      <c r="L731">
        <v>55</v>
      </c>
      <c r="M731" t="str">
        <f t="shared" si="23"/>
        <v>55</v>
      </c>
      <c r="N731" s="3" t="str">
        <f>VLOOKUP(Table2[[#This Row],[Tulu/kulu liik2]],Table5[[Tulu/kulu liik]:[Kontode koondnimetus]],4,FALSE)</f>
        <v>Muud tegevuskulud</v>
      </c>
      <c r="O731" s="3" t="str">
        <f>VLOOKUP(Table2[[#This Row],[Tulu/kulu liik2]],Table5[],6,FALSE)</f>
        <v>Majandamiskulud</v>
      </c>
      <c r="P731" s="3" t="str">
        <f>VLOOKUP(Table2[[#This Row],[Tulu/kulu liik2]],Table5[],5,FALSE)</f>
        <v>Põhitegevuse kulu</v>
      </c>
    </row>
    <row r="732" spans="1:16" x14ac:dyDescent="0.25">
      <c r="A732" t="str">
        <f t="shared" si="22"/>
        <v>09</v>
      </c>
      <c r="B732" t="s">
        <v>335</v>
      </c>
      <c r="C732" s="3" t="str">
        <f>VLOOKUP(Table2[[#This Row],[Tegevusala]],Table4[],2,FALSE)</f>
        <v xml:space="preserve"> Laekvere Lasteaed</v>
      </c>
      <c r="D732" s="3" t="str">
        <f>VLOOKUP(Table2[[#This Row],[Tegevusala]],Table4[[Tegevusala kood]:[Tegevusala alanimetus]],4,FALSE)</f>
        <v>Alusharidus</v>
      </c>
      <c r="E732" s="3" t="str">
        <f>VLOOKUP(Table2[[#This Row],[Tegevusala nimetus2]],Table4[[Tegevusala nimetus]:[Tegevusala koondnimetus]],2,FALSE)</f>
        <v>Haridus</v>
      </c>
      <c r="F732" t="s">
        <v>1870</v>
      </c>
      <c r="G732" t="s">
        <v>409</v>
      </c>
      <c r="H732" s="40">
        <v>500</v>
      </c>
      <c r="J732">
        <v>5504</v>
      </c>
      <c r="K732" s="3" t="str">
        <f>VLOOKUP(Table2[[#This Row],[Konto]],Table5[[Konto]:[Konto nimetus]],2,FALSE)</f>
        <v>Koolituskulud</v>
      </c>
      <c r="L732">
        <v>55</v>
      </c>
      <c r="M732" t="str">
        <f t="shared" si="23"/>
        <v>55</v>
      </c>
      <c r="N732" s="3" t="str">
        <f>VLOOKUP(Table2[[#This Row],[Tulu/kulu liik2]],Table5[[Tulu/kulu liik]:[Kontode koondnimetus]],4,FALSE)</f>
        <v>Muud tegevuskulud</v>
      </c>
      <c r="O732" s="3" t="str">
        <f>VLOOKUP(Table2[[#This Row],[Tulu/kulu liik2]],Table5[],6,FALSE)</f>
        <v>Majandamiskulud</v>
      </c>
      <c r="P732" s="3" t="str">
        <f>VLOOKUP(Table2[[#This Row],[Tulu/kulu liik2]],Table5[],5,FALSE)</f>
        <v>Põhitegevuse kulu</v>
      </c>
    </row>
    <row r="733" spans="1:16" x14ac:dyDescent="0.25">
      <c r="A733" t="str">
        <f t="shared" si="22"/>
        <v>09</v>
      </c>
      <c r="B733" t="s">
        <v>335</v>
      </c>
      <c r="C733" s="3" t="str">
        <f>VLOOKUP(Table2[[#This Row],[Tegevusala]],Table4[],2,FALSE)</f>
        <v xml:space="preserve"> Laekvere Lasteaed</v>
      </c>
      <c r="D733" s="3" t="str">
        <f>VLOOKUP(Table2[[#This Row],[Tegevusala]],Table4[[Tegevusala kood]:[Tegevusala alanimetus]],4,FALSE)</f>
        <v>Alusharidus</v>
      </c>
      <c r="E733" s="3" t="str">
        <f>VLOOKUP(Table2[[#This Row],[Tegevusala nimetus2]],Table4[[Tegevusala nimetus]:[Tegevusala koondnimetus]],2,FALSE)</f>
        <v>Haridus</v>
      </c>
      <c r="F733" t="s">
        <v>1870</v>
      </c>
      <c r="G733" t="s">
        <v>417</v>
      </c>
      <c r="H733" s="40">
        <v>500</v>
      </c>
      <c r="J733">
        <v>5513</v>
      </c>
      <c r="K733" s="3" t="str">
        <f>VLOOKUP(Table2[[#This Row],[Konto]],Table5[[Konto]:[Konto nimetus]],2,FALSE)</f>
        <v>Sõidukite ülalpidamise kulud</v>
      </c>
      <c r="L733">
        <v>55</v>
      </c>
      <c r="M733" t="str">
        <f t="shared" si="23"/>
        <v>55</v>
      </c>
      <c r="N733" s="3" t="str">
        <f>VLOOKUP(Table2[[#This Row],[Tulu/kulu liik2]],Table5[[Tulu/kulu liik]:[Kontode koondnimetus]],4,FALSE)</f>
        <v>Muud tegevuskulud</v>
      </c>
      <c r="O733" s="3" t="str">
        <f>VLOOKUP(Table2[[#This Row],[Tulu/kulu liik2]],Table5[],6,FALSE)</f>
        <v>Majandamiskulud</v>
      </c>
      <c r="P733" s="3" t="str">
        <f>VLOOKUP(Table2[[#This Row],[Tulu/kulu liik2]],Table5[],5,FALSE)</f>
        <v>Põhitegevuse kulu</v>
      </c>
    </row>
    <row r="734" spans="1:16" x14ac:dyDescent="0.25">
      <c r="A734" t="str">
        <f t="shared" si="22"/>
        <v>09</v>
      </c>
      <c r="B734" t="s">
        <v>335</v>
      </c>
      <c r="C734" s="3" t="str">
        <f>VLOOKUP(Table2[[#This Row],[Tegevusala]],Table4[],2,FALSE)</f>
        <v xml:space="preserve"> Laekvere Lasteaed</v>
      </c>
      <c r="D734" s="3" t="str">
        <f>VLOOKUP(Table2[[#This Row],[Tegevusala]],Table4[[Tegevusala kood]:[Tegevusala alanimetus]],4,FALSE)</f>
        <v>Alusharidus</v>
      </c>
      <c r="E734" s="3" t="str">
        <f>VLOOKUP(Table2[[#This Row],[Tegevusala nimetus2]],Table4[[Tegevusala nimetus]:[Tegevusala koondnimetus]],2,FALSE)</f>
        <v>Haridus</v>
      </c>
      <c r="F734" t="s">
        <v>1870</v>
      </c>
      <c r="G734" t="s">
        <v>423</v>
      </c>
      <c r="H734" s="40">
        <v>500</v>
      </c>
      <c r="J734">
        <v>5515</v>
      </c>
      <c r="K734" s="3" t="str">
        <f>VLOOKUP(Table2[[#This Row],[Konto]],Table5[[Konto]:[Konto nimetus]],2,FALSE)</f>
        <v>Inventari kulud, v.a infotehnoloogia ja kaitseotstarbelised kulud</v>
      </c>
      <c r="L734">
        <v>55</v>
      </c>
      <c r="M734" t="str">
        <f t="shared" si="23"/>
        <v>55</v>
      </c>
      <c r="N734" s="3" t="str">
        <f>VLOOKUP(Table2[[#This Row],[Tulu/kulu liik2]],Table5[[Tulu/kulu liik]:[Kontode koondnimetus]],4,FALSE)</f>
        <v>Muud tegevuskulud</v>
      </c>
      <c r="O734" s="3" t="str">
        <f>VLOOKUP(Table2[[#This Row],[Tulu/kulu liik2]],Table5[],6,FALSE)</f>
        <v>Majandamiskulud</v>
      </c>
      <c r="P734" s="3" t="str">
        <f>VLOOKUP(Table2[[#This Row],[Tulu/kulu liik2]],Table5[],5,FALSE)</f>
        <v>Põhitegevuse kulu</v>
      </c>
    </row>
    <row r="735" spans="1:16" x14ac:dyDescent="0.25">
      <c r="A735" t="str">
        <f t="shared" si="22"/>
        <v>09</v>
      </c>
      <c r="B735" t="s">
        <v>335</v>
      </c>
      <c r="C735" s="3" t="str">
        <f>VLOOKUP(Table2[[#This Row],[Tegevusala]],Table4[],2,FALSE)</f>
        <v xml:space="preserve"> Laekvere Lasteaed</v>
      </c>
      <c r="D735" s="3" t="str">
        <f>VLOOKUP(Table2[[#This Row],[Tegevusala]],Table4[[Tegevusala kood]:[Tegevusala alanimetus]],4,FALSE)</f>
        <v>Alusharidus</v>
      </c>
      <c r="E735" s="3" t="str">
        <f>VLOOKUP(Table2[[#This Row],[Tegevusala nimetus2]],Table4[[Tegevusala nimetus]:[Tegevusala koondnimetus]],2,FALSE)</f>
        <v>Haridus</v>
      </c>
      <c r="F735" t="s">
        <v>1870</v>
      </c>
      <c r="G735" t="s">
        <v>1874</v>
      </c>
      <c r="H735" s="40">
        <v>300</v>
      </c>
      <c r="J735">
        <v>5515</v>
      </c>
      <c r="K735" s="3" t="str">
        <f>VLOOKUP(Table2[[#This Row],[Konto]],Table5[[Konto]:[Konto nimetus]],2,FALSE)</f>
        <v>Inventari kulud, v.a infotehnoloogia ja kaitseotstarbelised kulud</v>
      </c>
      <c r="L735">
        <v>55</v>
      </c>
      <c r="M735" t="str">
        <f t="shared" si="23"/>
        <v>55</v>
      </c>
      <c r="N735" s="3" t="str">
        <f>VLOOKUP(Table2[[#This Row],[Tulu/kulu liik2]],Table5[[Tulu/kulu liik]:[Kontode koondnimetus]],4,FALSE)</f>
        <v>Muud tegevuskulud</v>
      </c>
      <c r="O735" s="3" t="str">
        <f>VLOOKUP(Table2[[#This Row],[Tulu/kulu liik2]],Table5[],6,FALSE)</f>
        <v>Majandamiskulud</v>
      </c>
      <c r="P735" s="3" t="str">
        <f>VLOOKUP(Table2[[#This Row],[Tulu/kulu liik2]],Table5[],5,FALSE)</f>
        <v>Põhitegevuse kulu</v>
      </c>
    </row>
    <row r="736" spans="1:16" x14ac:dyDescent="0.25">
      <c r="A736" t="str">
        <f t="shared" si="22"/>
        <v>09</v>
      </c>
      <c r="B736" t="s">
        <v>335</v>
      </c>
      <c r="C736" s="3" t="str">
        <f>VLOOKUP(Table2[[#This Row],[Tegevusala]],Table4[],2,FALSE)</f>
        <v xml:space="preserve"> Laekvere Lasteaed</v>
      </c>
      <c r="D736" s="3" t="str">
        <f>VLOOKUP(Table2[[#This Row],[Tegevusala]],Table4[[Tegevusala kood]:[Tegevusala alanimetus]],4,FALSE)</f>
        <v>Alusharidus</v>
      </c>
      <c r="E736" s="3" t="str">
        <f>VLOOKUP(Table2[[#This Row],[Tegevusala nimetus2]],Table4[[Tegevusala nimetus]:[Tegevusala koondnimetus]],2,FALSE)</f>
        <v>Haridus</v>
      </c>
      <c r="F736" t="s">
        <v>1870</v>
      </c>
      <c r="G736" t="s">
        <v>1138</v>
      </c>
      <c r="H736" s="40">
        <v>8000</v>
      </c>
      <c r="J736">
        <v>5521</v>
      </c>
      <c r="K736" s="3" t="str">
        <f>VLOOKUP(Table2[[#This Row],[Konto]],Table5[[Konto]:[Konto nimetus]],2,FALSE)</f>
        <v>Toiduained ja toitlustusteenused</v>
      </c>
      <c r="L736">
        <v>55</v>
      </c>
      <c r="M736" t="str">
        <f t="shared" si="23"/>
        <v>55</v>
      </c>
      <c r="N736" s="3" t="str">
        <f>VLOOKUP(Table2[[#This Row],[Tulu/kulu liik2]],Table5[[Tulu/kulu liik]:[Kontode koondnimetus]],4,FALSE)</f>
        <v>Muud tegevuskulud</v>
      </c>
      <c r="O736" s="3" t="str">
        <f>VLOOKUP(Table2[[#This Row],[Tulu/kulu liik2]],Table5[],6,FALSE)</f>
        <v>Majandamiskulud</v>
      </c>
      <c r="P736" s="3" t="str">
        <f>VLOOKUP(Table2[[#This Row],[Tulu/kulu liik2]],Table5[],5,FALSE)</f>
        <v>Põhitegevuse kulu</v>
      </c>
    </row>
    <row r="737" spans="1:16" x14ac:dyDescent="0.25">
      <c r="A737" t="str">
        <f t="shared" si="22"/>
        <v>09</v>
      </c>
      <c r="B737" t="s">
        <v>335</v>
      </c>
      <c r="C737" s="3" t="str">
        <f>VLOOKUP(Table2[[#This Row],[Tegevusala]],Table4[],2,FALSE)</f>
        <v xml:space="preserve"> Laekvere Lasteaed</v>
      </c>
      <c r="D737" s="3" t="str">
        <f>VLOOKUP(Table2[[#This Row],[Tegevusala]],Table4[[Tegevusala kood]:[Tegevusala alanimetus]],4,FALSE)</f>
        <v>Alusharidus</v>
      </c>
      <c r="E737" s="3" t="str">
        <f>VLOOKUP(Table2[[#This Row],[Tegevusala nimetus2]],Table4[[Tegevusala nimetus]:[Tegevusala koondnimetus]],2,FALSE)</f>
        <v>Haridus</v>
      </c>
      <c r="F737" t="s">
        <v>1870</v>
      </c>
      <c r="G737" t="s">
        <v>424</v>
      </c>
      <c r="H737" s="40">
        <v>50</v>
      </c>
      <c r="J737">
        <v>5522</v>
      </c>
      <c r="K737" s="3" t="str">
        <f>VLOOKUP(Table2[[#This Row],[Konto]],Table5[[Konto]:[Konto nimetus]],2,FALSE)</f>
        <v>Meditsiinikulud ja hügieenitarbed</v>
      </c>
      <c r="L737">
        <v>55</v>
      </c>
      <c r="M737" t="str">
        <f t="shared" si="23"/>
        <v>55</v>
      </c>
      <c r="N737" s="3" t="str">
        <f>VLOOKUP(Table2[[#This Row],[Tulu/kulu liik2]],Table5[[Tulu/kulu liik]:[Kontode koondnimetus]],4,FALSE)</f>
        <v>Muud tegevuskulud</v>
      </c>
      <c r="O737" s="3" t="str">
        <f>VLOOKUP(Table2[[#This Row],[Tulu/kulu liik2]],Table5[],6,FALSE)</f>
        <v>Majandamiskulud</v>
      </c>
      <c r="P737" s="3" t="str">
        <f>VLOOKUP(Table2[[#This Row],[Tulu/kulu liik2]],Table5[],5,FALSE)</f>
        <v>Põhitegevuse kulu</v>
      </c>
    </row>
    <row r="738" spans="1:16" x14ac:dyDescent="0.25">
      <c r="A738" t="str">
        <f t="shared" si="22"/>
        <v>09</v>
      </c>
      <c r="B738" t="s">
        <v>335</v>
      </c>
      <c r="C738" s="3" t="str">
        <f>VLOOKUP(Table2[[#This Row],[Tegevusala]],Table4[],2,FALSE)</f>
        <v xml:space="preserve"> Laekvere Lasteaed</v>
      </c>
      <c r="D738" s="3" t="str">
        <f>VLOOKUP(Table2[[#This Row],[Tegevusala]],Table4[[Tegevusala kood]:[Tegevusala alanimetus]],4,FALSE)</f>
        <v>Alusharidus</v>
      </c>
      <c r="E738" s="3" t="str">
        <f>VLOOKUP(Table2[[#This Row],[Tegevusala nimetus2]],Table4[[Tegevusala nimetus]:[Tegevusala koondnimetus]],2,FALSE)</f>
        <v>Haridus</v>
      </c>
      <c r="F738" t="s">
        <v>1870</v>
      </c>
      <c r="G738" t="s">
        <v>426</v>
      </c>
      <c r="H738" s="40">
        <v>50</v>
      </c>
      <c r="J738">
        <v>5522</v>
      </c>
      <c r="K738" s="3" t="str">
        <f>VLOOKUP(Table2[[#This Row],[Konto]],Table5[[Konto]:[Konto nimetus]],2,FALSE)</f>
        <v>Meditsiinikulud ja hügieenitarbed</v>
      </c>
      <c r="L738">
        <v>55</v>
      </c>
      <c r="M738" t="str">
        <f t="shared" si="23"/>
        <v>55</v>
      </c>
      <c r="N738" s="3" t="str">
        <f>VLOOKUP(Table2[[#This Row],[Tulu/kulu liik2]],Table5[[Tulu/kulu liik]:[Kontode koondnimetus]],4,FALSE)</f>
        <v>Muud tegevuskulud</v>
      </c>
      <c r="O738" s="3" t="str">
        <f>VLOOKUP(Table2[[#This Row],[Tulu/kulu liik2]],Table5[],6,FALSE)</f>
        <v>Majandamiskulud</v>
      </c>
      <c r="P738" s="3" t="str">
        <f>VLOOKUP(Table2[[#This Row],[Tulu/kulu liik2]],Table5[],5,FALSE)</f>
        <v>Põhitegevuse kulu</v>
      </c>
    </row>
    <row r="739" spans="1:16" x14ac:dyDescent="0.25">
      <c r="A739" t="str">
        <f t="shared" si="22"/>
        <v>09</v>
      </c>
      <c r="B739" t="s">
        <v>335</v>
      </c>
      <c r="C739" s="3" t="str">
        <f>VLOOKUP(Table2[[#This Row],[Tegevusala]],Table4[],2,FALSE)</f>
        <v xml:space="preserve"> Laekvere Lasteaed</v>
      </c>
      <c r="D739" s="3" t="str">
        <f>VLOOKUP(Table2[[#This Row],[Tegevusala]],Table4[[Tegevusala kood]:[Tegevusala alanimetus]],4,FALSE)</f>
        <v>Alusharidus</v>
      </c>
      <c r="E739" s="3" t="str">
        <f>VLOOKUP(Table2[[#This Row],[Tegevusala nimetus2]],Table4[[Tegevusala nimetus]:[Tegevusala koondnimetus]],2,FALSE)</f>
        <v>Haridus</v>
      </c>
      <c r="F739" t="s">
        <v>1870</v>
      </c>
      <c r="G739" t="s">
        <v>427</v>
      </c>
      <c r="H739" s="40">
        <v>300</v>
      </c>
      <c r="J739">
        <v>5522</v>
      </c>
      <c r="K739" s="3" t="str">
        <f>VLOOKUP(Table2[[#This Row],[Konto]],Table5[[Konto]:[Konto nimetus]],2,FALSE)</f>
        <v>Meditsiinikulud ja hügieenitarbed</v>
      </c>
      <c r="L739">
        <v>55</v>
      </c>
      <c r="M739" t="str">
        <f t="shared" si="23"/>
        <v>55</v>
      </c>
      <c r="N739" s="3" t="str">
        <f>VLOOKUP(Table2[[#This Row],[Tulu/kulu liik2]],Table5[[Tulu/kulu liik]:[Kontode koondnimetus]],4,FALSE)</f>
        <v>Muud tegevuskulud</v>
      </c>
      <c r="O739" s="3" t="str">
        <f>VLOOKUP(Table2[[#This Row],[Tulu/kulu liik2]],Table5[],6,FALSE)</f>
        <v>Majandamiskulud</v>
      </c>
      <c r="P739" s="3" t="str">
        <f>VLOOKUP(Table2[[#This Row],[Tulu/kulu liik2]],Table5[],5,FALSE)</f>
        <v>Põhitegevuse kulu</v>
      </c>
    </row>
    <row r="740" spans="1:16" x14ac:dyDescent="0.25">
      <c r="A740" t="str">
        <f t="shared" si="22"/>
        <v>09</v>
      </c>
      <c r="B740" t="s">
        <v>335</v>
      </c>
      <c r="C740" s="3" t="str">
        <f>VLOOKUP(Table2[[#This Row],[Tegevusala]],Table4[],2,FALSE)</f>
        <v xml:space="preserve"> Laekvere Lasteaed</v>
      </c>
      <c r="D740" s="3" t="str">
        <f>VLOOKUP(Table2[[#This Row],[Tegevusala]],Table4[[Tegevusala kood]:[Tegevusala alanimetus]],4,FALSE)</f>
        <v>Alusharidus</v>
      </c>
      <c r="E740" s="3" t="str">
        <f>VLOOKUP(Table2[[#This Row],[Tegevusala nimetus2]],Table4[[Tegevusala nimetus]:[Tegevusala koondnimetus]],2,FALSE)</f>
        <v>Haridus</v>
      </c>
      <c r="F740" t="s">
        <v>1870</v>
      </c>
      <c r="G740" t="s">
        <v>428</v>
      </c>
      <c r="H740" s="40">
        <v>800</v>
      </c>
      <c r="J740">
        <v>5524</v>
      </c>
      <c r="K740" s="3" t="str">
        <f>VLOOKUP(Table2[[#This Row],[Konto]],Table5[[Konto]:[Konto nimetus]],2,FALSE)</f>
        <v>Õppevahendid</v>
      </c>
      <c r="L740">
        <v>55</v>
      </c>
      <c r="M740" t="str">
        <f t="shared" si="23"/>
        <v>55</v>
      </c>
      <c r="N740" s="3" t="str">
        <f>VLOOKUP(Table2[[#This Row],[Tulu/kulu liik2]],Table5[[Tulu/kulu liik]:[Kontode koondnimetus]],4,FALSE)</f>
        <v>Muud tegevuskulud</v>
      </c>
      <c r="O740" s="3" t="str">
        <f>VLOOKUP(Table2[[#This Row],[Tulu/kulu liik2]],Table5[],6,FALSE)</f>
        <v>Majandamiskulud</v>
      </c>
      <c r="P740" s="3" t="str">
        <f>VLOOKUP(Table2[[#This Row],[Tulu/kulu liik2]],Table5[],5,FALSE)</f>
        <v>Põhitegevuse kulu</v>
      </c>
    </row>
    <row r="741" spans="1:16" x14ac:dyDescent="0.25">
      <c r="A741" t="str">
        <f t="shared" si="22"/>
        <v>09</v>
      </c>
      <c r="B741" t="s">
        <v>335</v>
      </c>
      <c r="C741" s="3" t="str">
        <f>VLOOKUP(Table2[[#This Row],[Tegevusala]],Table4[],2,FALSE)</f>
        <v xml:space="preserve"> Laekvere Lasteaed</v>
      </c>
      <c r="D741" s="3" t="str">
        <f>VLOOKUP(Table2[[#This Row],[Tegevusala]],Table4[[Tegevusala kood]:[Tegevusala alanimetus]],4,FALSE)</f>
        <v>Alusharidus</v>
      </c>
      <c r="E741" s="3" t="str">
        <f>VLOOKUP(Table2[[#This Row],[Tegevusala nimetus2]],Table4[[Tegevusala nimetus]:[Tegevusala koondnimetus]],2,FALSE)</f>
        <v>Haridus</v>
      </c>
      <c r="F741" t="s">
        <v>1870</v>
      </c>
      <c r="G741" t="s">
        <v>429</v>
      </c>
      <c r="H741" s="40">
        <v>800</v>
      </c>
      <c r="J741">
        <v>5524</v>
      </c>
      <c r="K741" s="3" t="str">
        <f>VLOOKUP(Table2[[#This Row],[Konto]],Table5[[Konto]:[Konto nimetus]],2,FALSE)</f>
        <v>Õppevahendid</v>
      </c>
      <c r="L741">
        <v>55</v>
      </c>
      <c r="M741" t="str">
        <f t="shared" si="23"/>
        <v>55</v>
      </c>
      <c r="N741" s="3" t="str">
        <f>VLOOKUP(Table2[[#This Row],[Tulu/kulu liik2]],Table5[[Tulu/kulu liik]:[Kontode koondnimetus]],4,FALSE)</f>
        <v>Muud tegevuskulud</v>
      </c>
      <c r="O741" s="3" t="str">
        <f>VLOOKUP(Table2[[#This Row],[Tulu/kulu liik2]],Table5[],6,FALSE)</f>
        <v>Majandamiskulud</v>
      </c>
      <c r="P741" s="3" t="str">
        <f>VLOOKUP(Table2[[#This Row],[Tulu/kulu liik2]],Table5[],5,FALSE)</f>
        <v>Põhitegevuse kulu</v>
      </c>
    </row>
    <row r="742" spans="1:16" x14ac:dyDescent="0.25">
      <c r="A742" t="str">
        <f t="shared" si="22"/>
        <v>09</v>
      </c>
      <c r="B742" t="s">
        <v>335</v>
      </c>
      <c r="C742" s="3" t="str">
        <f>VLOOKUP(Table2[[#This Row],[Tegevusala]],Table4[],2,FALSE)</f>
        <v xml:space="preserve"> Laekvere Lasteaed</v>
      </c>
      <c r="D742" s="3" t="str">
        <f>VLOOKUP(Table2[[#This Row],[Tegevusala]],Table4[[Tegevusala kood]:[Tegevusala alanimetus]],4,FALSE)</f>
        <v>Alusharidus</v>
      </c>
      <c r="E742" s="3" t="str">
        <f>VLOOKUP(Table2[[#This Row],[Tegevusala nimetus2]],Table4[[Tegevusala nimetus]:[Tegevusala koondnimetus]],2,FALSE)</f>
        <v>Haridus</v>
      </c>
      <c r="F742" t="s">
        <v>1870</v>
      </c>
      <c r="G742" t="s">
        <v>430</v>
      </c>
      <c r="H742" s="40">
        <v>900</v>
      </c>
      <c r="J742">
        <v>5524</v>
      </c>
      <c r="K742" s="3" t="str">
        <f>VLOOKUP(Table2[[#This Row],[Konto]],Table5[[Konto]:[Konto nimetus]],2,FALSE)</f>
        <v>Õppevahendid</v>
      </c>
      <c r="L742">
        <v>55</v>
      </c>
      <c r="M742" t="str">
        <f t="shared" si="23"/>
        <v>55</v>
      </c>
      <c r="N742" s="3" t="str">
        <f>VLOOKUP(Table2[[#This Row],[Tulu/kulu liik2]],Table5[[Tulu/kulu liik]:[Kontode koondnimetus]],4,FALSE)</f>
        <v>Muud tegevuskulud</v>
      </c>
      <c r="O742" s="3" t="str">
        <f>VLOOKUP(Table2[[#This Row],[Tulu/kulu liik2]],Table5[],6,FALSE)</f>
        <v>Majandamiskulud</v>
      </c>
      <c r="P742" s="3" t="str">
        <f>VLOOKUP(Table2[[#This Row],[Tulu/kulu liik2]],Table5[],5,FALSE)</f>
        <v>Põhitegevuse kulu</v>
      </c>
    </row>
    <row r="743" spans="1:16" x14ac:dyDescent="0.25">
      <c r="A743" t="str">
        <f t="shared" si="22"/>
        <v>09</v>
      </c>
      <c r="B743" t="s">
        <v>335</v>
      </c>
      <c r="C743" s="3" t="str">
        <f>VLOOKUP(Table2[[#This Row],[Tegevusala]],Table4[],2,FALSE)</f>
        <v xml:space="preserve"> Laekvere Lasteaed</v>
      </c>
      <c r="D743" s="3" t="str">
        <f>VLOOKUP(Table2[[#This Row],[Tegevusala]],Table4[[Tegevusala kood]:[Tegevusala alanimetus]],4,FALSE)</f>
        <v>Alusharidus</v>
      </c>
      <c r="E743" s="3" t="str">
        <f>VLOOKUP(Table2[[#This Row],[Tegevusala nimetus2]],Table4[[Tegevusala nimetus]:[Tegevusala koondnimetus]],2,FALSE)</f>
        <v>Haridus</v>
      </c>
      <c r="F743" t="s">
        <v>1870</v>
      </c>
      <c r="G743" t="s">
        <v>431</v>
      </c>
      <c r="H743" s="40">
        <v>100</v>
      </c>
      <c r="J743">
        <v>5524</v>
      </c>
      <c r="K743" s="3" t="str">
        <f>VLOOKUP(Table2[[#This Row],[Konto]],Table5[[Konto]:[Konto nimetus]],2,FALSE)</f>
        <v>Õppevahendid</v>
      </c>
      <c r="L743">
        <v>55</v>
      </c>
      <c r="M743" t="str">
        <f t="shared" si="23"/>
        <v>55</v>
      </c>
      <c r="N743" s="3" t="str">
        <f>VLOOKUP(Table2[[#This Row],[Tulu/kulu liik2]],Table5[[Tulu/kulu liik]:[Kontode koondnimetus]],4,FALSE)</f>
        <v>Muud tegevuskulud</v>
      </c>
      <c r="O743" s="3" t="str">
        <f>VLOOKUP(Table2[[#This Row],[Tulu/kulu liik2]],Table5[],6,FALSE)</f>
        <v>Majandamiskulud</v>
      </c>
      <c r="P743" s="3" t="str">
        <f>VLOOKUP(Table2[[#This Row],[Tulu/kulu liik2]],Table5[],5,FALSE)</f>
        <v>Põhitegevuse kulu</v>
      </c>
    </row>
    <row r="744" spans="1:16" x14ac:dyDescent="0.25">
      <c r="A744" t="str">
        <f t="shared" si="22"/>
        <v>09</v>
      </c>
      <c r="B744" t="s">
        <v>335</v>
      </c>
      <c r="C744" s="3" t="str">
        <f>VLOOKUP(Table2[[#This Row],[Tegevusala]],Table4[],2,FALSE)</f>
        <v xml:space="preserve"> Laekvere Lasteaed</v>
      </c>
      <c r="D744" s="3" t="str">
        <f>VLOOKUP(Table2[[#This Row],[Tegevusala]],Table4[[Tegevusala kood]:[Tegevusala alanimetus]],4,FALSE)</f>
        <v>Alusharidus</v>
      </c>
      <c r="E744" s="3" t="str">
        <f>VLOOKUP(Table2[[#This Row],[Tegevusala nimetus2]],Table4[[Tegevusala nimetus]:[Tegevusala koondnimetus]],2,FALSE)</f>
        <v>Haridus</v>
      </c>
      <c r="F744" t="s">
        <v>1870</v>
      </c>
      <c r="G744" t="s">
        <v>432</v>
      </c>
      <c r="H744" s="40">
        <v>500</v>
      </c>
      <c r="J744">
        <v>5524</v>
      </c>
      <c r="K744" s="3" t="str">
        <f>VLOOKUP(Table2[[#This Row],[Konto]],Table5[[Konto]:[Konto nimetus]],2,FALSE)</f>
        <v>Õppevahendid</v>
      </c>
      <c r="L744">
        <v>55</v>
      </c>
      <c r="M744" t="str">
        <f t="shared" si="23"/>
        <v>55</v>
      </c>
      <c r="N744" s="3" t="str">
        <f>VLOOKUP(Table2[[#This Row],[Tulu/kulu liik2]],Table5[[Tulu/kulu liik]:[Kontode koondnimetus]],4,FALSE)</f>
        <v>Muud tegevuskulud</v>
      </c>
      <c r="O744" s="3" t="str">
        <f>VLOOKUP(Table2[[#This Row],[Tulu/kulu liik2]],Table5[],6,FALSE)</f>
        <v>Majandamiskulud</v>
      </c>
      <c r="P744" s="3" t="str">
        <f>VLOOKUP(Table2[[#This Row],[Tulu/kulu liik2]],Table5[],5,FALSE)</f>
        <v>Põhitegevuse kulu</v>
      </c>
    </row>
    <row r="745" spans="1:16" x14ac:dyDescent="0.25">
      <c r="A745" t="str">
        <f t="shared" si="22"/>
        <v>09</v>
      </c>
      <c r="B745" t="s">
        <v>335</v>
      </c>
      <c r="C745" s="3" t="str">
        <f>VLOOKUP(Table2[[#This Row],[Tegevusala]],Table4[],2,FALSE)</f>
        <v xml:space="preserve"> Laekvere Lasteaed</v>
      </c>
      <c r="D745" s="3" t="str">
        <f>VLOOKUP(Table2[[#This Row],[Tegevusala]],Table4[[Tegevusala kood]:[Tegevusala alanimetus]],4,FALSE)</f>
        <v>Alusharidus</v>
      </c>
      <c r="E745" s="3" t="str">
        <f>VLOOKUP(Table2[[#This Row],[Tegevusala nimetus2]],Table4[[Tegevusala nimetus]:[Tegevusala koondnimetus]],2,FALSE)</f>
        <v>Haridus</v>
      </c>
      <c r="F745" t="s">
        <v>1870</v>
      </c>
      <c r="G745" t="s">
        <v>433</v>
      </c>
      <c r="H745" s="40">
        <v>500</v>
      </c>
      <c r="J745">
        <v>5525</v>
      </c>
      <c r="K745" s="3" t="str">
        <f>VLOOKUP(Table2[[#This Row],[Konto]],Table5[[Konto]:[Konto nimetus]],2,FALSE)</f>
        <v>Kommunikatsiooni-, kultuuri- ja vaba aja sisustamise kulud</v>
      </c>
      <c r="L745">
        <v>55</v>
      </c>
      <c r="M745" t="str">
        <f t="shared" si="23"/>
        <v>55</v>
      </c>
      <c r="N745" s="3" t="str">
        <f>VLOOKUP(Table2[[#This Row],[Tulu/kulu liik2]],Table5[[Tulu/kulu liik]:[Kontode koondnimetus]],4,FALSE)</f>
        <v>Muud tegevuskulud</v>
      </c>
      <c r="O745" s="3" t="str">
        <f>VLOOKUP(Table2[[#This Row],[Tulu/kulu liik2]],Table5[],6,FALSE)</f>
        <v>Majandamiskulud</v>
      </c>
      <c r="P745" s="3" t="str">
        <f>VLOOKUP(Table2[[#This Row],[Tulu/kulu liik2]],Table5[],5,FALSE)</f>
        <v>Põhitegevuse kulu</v>
      </c>
    </row>
    <row r="746" spans="1:16" x14ac:dyDescent="0.25">
      <c r="A746" t="str">
        <f t="shared" si="22"/>
        <v>09</v>
      </c>
      <c r="B746" t="s">
        <v>335</v>
      </c>
      <c r="C746" s="3" t="str">
        <f>VLOOKUP(Table2[[#This Row],[Tegevusala]],Table4[],2,FALSE)</f>
        <v xml:space="preserve"> Laekvere Lasteaed</v>
      </c>
      <c r="D746" s="3" t="str">
        <f>VLOOKUP(Table2[[#This Row],[Tegevusala]],Table4[[Tegevusala kood]:[Tegevusala alanimetus]],4,FALSE)</f>
        <v>Alusharidus</v>
      </c>
      <c r="E746" s="3" t="str">
        <f>VLOOKUP(Table2[[#This Row],[Tegevusala nimetus2]],Table4[[Tegevusala nimetus]:[Tegevusala koondnimetus]],2,FALSE)</f>
        <v>Haridus</v>
      </c>
      <c r="F746" t="s">
        <v>1870</v>
      </c>
      <c r="G746" t="s">
        <v>434</v>
      </c>
      <c r="H746" s="40">
        <v>100</v>
      </c>
      <c r="J746">
        <v>5525</v>
      </c>
      <c r="K746" s="3" t="str">
        <f>VLOOKUP(Table2[[#This Row],[Konto]],Table5[[Konto]:[Konto nimetus]],2,FALSE)</f>
        <v>Kommunikatsiooni-, kultuuri- ja vaba aja sisustamise kulud</v>
      </c>
      <c r="L746">
        <v>55</v>
      </c>
      <c r="M746" t="str">
        <f t="shared" si="23"/>
        <v>55</v>
      </c>
      <c r="N746" s="3" t="str">
        <f>VLOOKUP(Table2[[#This Row],[Tulu/kulu liik2]],Table5[[Tulu/kulu liik]:[Kontode koondnimetus]],4,FALSE)</f>
        <v>Muud tegevuskulud</v>
      </c>
      <c r="O746" s="3" t="str">
        <f>VLOOKUP(Table2[[#This Row],[Tulu/kulu liik2]],Table5[],6,FALSE)</f>
        <v>Majandamiskulud</v>
      </c>
      <c r="P746" s="3" t="str">
        <f>VLOOKUP(Table2[[#This Row],[Tulu/kulu liik2]],Table5[],5,FALSE)</f>
        <v>Põhitegevuse kulu</v>
      </c>
    </row>
    <row r="747" spans="1:16" x14ac:dyDescent="0.25">
      <c r="A747" t="str">
        <f t="shared" si="22"/>
        <v>09</v>
      </c>
      <c r="B747" t="s">
        <v>335</v>
      </c>
      <c r="C747" s="3" t="str">
        <f>VLOOKUP(Table2[[#This Row],[Tegevusala]],Table4[],2,FALSE)</f>
        <v xml:space="preserve"> Laekvere Lasteaed</v>
      </c>
      <c r="D747" s="3" t="str">
        <f>VLOOKUP(Table2[[#This Row],[Tegevusala]],Table4[[Tegevusala kood]:[Tegevusala alanimetus]],4,FALSE)</f>
        <v>Alusharidus</v>
      </c>
      <c r="E747" s="3" t="str">
        <f>VLOOKUP(Table2[[#This Row],[Tegevusala nimetus2]],Table4[[Tegevusala nimetus]:[Tegevusala koondnimetus]],2,FALSE)</f>
        <v>Haridus</v>
      </c>
      <c r="F747" t="s">
        <v>1870</v>
      </c>
      <c r="G747" t="s">
        <v>435</v>
      </c>
      <c r="H747" s="40">
        <v>1000</v>
      </c>
      <c r="J747">
        <v>5525</v>
      </c>
      <c r="K747" s="3" t="str">
        <f>VLOOKUP(Table2[[#This Row],[Konto]],Table5[[Konto]:[Konto nimetus]],2,FALSE)</f>
        <v>Kommunikatsiooni-, kultuuri- ja vaba aja sisustamise kulud</v>
      </c>
      <c r="L747">
        <v>55</v>
      </c>
      <c r="M747" t="str">
        <f t="shared" si="23"/>
        <v>55</v>
      </c>
      <c r="N747" s="3" t="str">
        <f>VLOOKUP(Table2[[#This Row],[Tulu/kulu liik2]],Table5[[Tulu/kulu liik]:[Kontode koondnimetus]],4,FALSE)</f>
        <v>Muud tegevuskulud</v>
      </c>
      <c r="O747" s="3" t="str">
        <f>VLOOKUP(Table2[[#This Row],[Tulu/kulu liik2]],Table5[],6,FALSE)</f>
        <v>Majandamiskulud</v>
      </c>
      <c r="P747" s="3" t="str">
        <f>VLOOKUP(Table2[[#This Row],[Tulu/kulu liik2]],Table5[],5,FALSE)</f>
        <v>Põhitegevuse kulu</v>
      </c>
    </row>
    <row r="748" spans="1:16" x14ac:dyDescent="0.25">
      <c r="A748" t="str">
        <f t="shared" si="22"/>
        <v>09</v>
      </c>
      <c r="B748" t="s">
        <v>335</v>
      </c>
      <c r="C748" s="3" t="str">
        <f>VLOOKUP(Table2[[#This Row],[Tegevusala]],Table4[],2,FALSE)</f>
        <v xml:space="preserve"> Laekvere Lasteaed</v>
      </c>
      <c r="D748" s="3" t="str">
        <f>VLOOKUP(Table2[[#This Row],[Tegevusala]],Table4[[Tegevusala kood]:[Tegevusala alanimetus]],4,FALSE)</f>
        <v>Alusharidus</v>
      </c>
      <c r="E748" s="3" t="str">
        <f>VLOOKUP(Table2[[#This Row],[Tegevusala nimetus2]],Table4[[Tegevusala nimetus]:[Tegevusala koondnimetus]],2,FALSE)</f>
        <v>Haridus</v>
      </c>
      <c r="F748" t="s">
        <v>1870</v>
      </c>
      <c r="G748" t="s">
        <v>419</v>
      </c>
      <c r="H748" s="40">
        <v>300</v>
      </c>
      <c r="J748">
        <v>5514</v>
      </c>
      <c r="K748" s="3" t="str">
        <f>VLOOKUP(Table2[[#This Row],[Konto]],Table5[[Konto]:[Konto nimetus]],2,FALSE)</f>
        <v>Info- ja kommunikatsioonitehnoliigised kulud</v>
      </c>
      <c r="L748">
        <v>55</v>
      </c>
      <c r="M748" t="str">
        <f t="shared" si="23"/>
        <v>55</v>
      </c>
      <c r="N748" s="3" t="str">
        <f>VLOOKUP(Table2[[#This Row],[Tulu/kulu liik2]],Table5[[Tulu/kulu liik]:[Kontode koondnimetus]],4,FALSE)</f>
        <v>Muud tegevuskulud</v>
      </c>
      <c r="O748" s="3" t="str">
        <f>VLOOKUP(Table2[[#This Row],[Tulu/kulu liik2]],Table5[],6,FALSE)</f>
        <v>Majandamiskulud</v>
      </c>
      <c r="P748" s="3" t="str">
        <f>VLOOKUP(Table2[[#This Row],[Tulu/kulu liik2]],Table5[],5,FALSE)</f>
        <v>Põhitegevuse kulu</v>
      </c>
    </row>
    <row r="749" spans="1:16" x14ac:dyDescent="0.25">
      <c r="A749" t="str">
        <f t="shared" si="22"/>
        <v>09</v>
      </c>
      <c r="B749" t="s">
        <v>335</v>
      </c>
      <c r="C749" s="3" t="str">
        <f>VLOOKUP(Table2[[#This Row],[Tegevusala]],Table4[],2,FALSE)</f>
        <v xml:space="preserve"> Laekvere Lasteaed</v>
      </c>
      <c r="D749" s="3" t="str">
        <f>VLOOKUP(Table2[[#This Row],[Tegevusala]],Table4[[Tegevusala kood]:[Tegevusala alanimetus]],4,FALSE)</f>
        <v>Alusharidus</v>
      </c>
      <c r="E749" s="3" t="str">
        <f>VLOOKUP(Table2[[#This Row],[Tegevusala nimetus2]],Table4[[Tegevusala nimetus]:[Tegevusala koondnimetus]],2,FALSE)</f>
        <v>Haridus</v>
      </c>
      <c r="F749" t="s">
        <v>1870</v>
      </c>
      <c r="G749" t="s">
        <v>420</v>
      </c>
      <c r="H749" s="40">
        <v>250</v>
      </c>
      <c r="J749">
        <v>5514</v>
      </c>
      <c r="K749" s="3" t="str">
        <f>VLOOKUP(Table2[[#This Row],[Konto]],Table5[[Konto]:[Konto nimetus]],2,FALSE)</f>
        <v>Info- ja kommunikatsioonitehnoliigised kulud</v>
      </c>
      <c r="L749">
        <v>55</v>
      </c>
      <c r="M749" t="str">
        <f t="shared" si="23"/>
        <v>55</v>
      </c>
      <c r="N749" s="3" t="str">
        <f>VLOOKUP(Table2[[#This Row],[Tulu/kulu liik2]],Table5[[Tulu/kulu liik]:[Kontode koondnimetus]],4,FALSE)</f>
        <v>Muud tegevuskulud</v>
      </c>
      <c r="O749" s="3" t="str">
        <f>VLOOKUP(Table2[[#This Row],[Tulu/kulu liik2]],Table5[],6,FALSE)</f>
        <v>Majandamiskulud</v>
      </c>
      <c r="P749" s="3" t="str">
        <f>VLOOKUP(Table2[[#This Row],[Tulu/kulu liik2]],Table5[],5,FALSE)</f>
        <v>Põhitegevuse kulu</v>
      </c>
    </row>
    <row r="750" spans="1:16" x14ac:dyDescent="0.25">
      <c r="A750" t="str">
        <f t="shared" si="22"/>
        <v>09</v>
      </c>
      <c r="B750" t="s">
        <v>335</v>
      </c>
      <c r="C750" s="3" t="str">
        <f>VLOOKUP(Table2[[#This Row],[Tegevusala]],Table4[],2,FALSE)</f>
        <v xml:space="preserve"> Laekvere Lasteaed</v>
      </c>
      <c r="D750" s="3" t="str">
        <f>VLOOKUP(Table2[[#This Row],[Tegevusala]],Table4[[Tegevusala kood]:[Tegevusala alanimetus]],4,FALSE)</f>
        <v>Alusharidus</v>
      </c>
      <c r="E750" s="3" t="str">
        <f>VLOOKUP(Table2[[#This Row],[Tegevusala nimetus2]],Table4[[Tegevusala nimetus]:[Tegevusala koondnimetus]],2,FALSE)</f>
        <v>Haridus</v>
      </c>
      <c r="F750" t="s">
        <v>1870</v>
      </c>
      <c r="G750" t="s">
        <v>421</v>
      </c>
      <c r="H750" s="40">
        <v>100</v>
      </c>
      <c r="J750">
        <v>5514</v>
      </c>
      <c r="K750" s="3" t="str">
        <f>VLOOKUP(Table2[[#This Row],[Konto]],Table5[[Konto]:[Konto nimetus]],2,FALSE)</f>
        <v>Info- ja kommunikatsioonitehnoliigised kulud</v>
      </c>
      <c r="L750">
        <v>55</v>
      </c>
      <c r="M750" t="str">
        <f t="shared" si="23"/>
        <v>55</v>
      </c>
      <c r="N750" s="3" t="str">
        <f>VLOOKUP(Table2[[#This Row],[Tulu/kulu liik2]],Table5[[Tulu/kulu liik]:[Kontode koondnimetus]],4,FALSE)</f>
        <v>Muud tegevuskulud</v>
      </c>
      <c r="O750" s="3" t="str">
        <f>VLOOKUP(Table2[[#This Row],[Tulu/kulu liik2]],Table5[],6,FALSE)</f>
        <v>Majandamiskulud</v>
      </c>
      <c r="P750" s="3" t="str">
        <f>VLOOKUP(Table2[[#This Row],[Tulu/kulu liik2]],Table5[],5,FALSE)</f>
        <v>Põhitegevuse kulu</v>
      </c>
    </row>
    <row r="751" spans="1:16" x14ac:dyDescent="0.25">
      <c r="A751" t="str">
        <f t="shared" si="22"/>
        <v>09</v>
      </c>
      <c r="B751" t="s">
        <v>335</v>
      </c>
      <c r="C751" s="3" t="str">
        <f>VLOOKUP(Table2[[#This Row],[Tegevusala]],Table4[],2,FALSE)</f>
        <v xml:space="preserve"> Laekvere Lasteaed</v>
      </c>
      <c r="D751" s="3" t="str">
        <f>VLOOKUP(Table2[[#This Row],[Tegevusala]],Table4[[Tegevusala kood]:[Tegevusala alanimetus]],4,FALSE)</f>
        <v>Alusharidus</v>
      </c>
      <c r="E751" s="3" t="str">
        <f>VLOOKUP(Table2[[#This Row],[Tegevusala nimetus2]],Table4[[Tegevusala nimetus]:[Tegevusala koondnimetus]],2,FALSE)</f>
        <v>Haridus</v>
      </c>
      <c r="F751" t="s">
        <v>1870</v>
      </c>
      <c r="G751" t="s">
        <v>199</v>
      </c>
      <c r="H751" s="40">
        <v>100</v>
      </c>
      <c r="J751">
        <v>5514</v>
      </c>
      <c r="K751" s="3" t="str">
        <f>VLOOKUP(Table2[[#This Row],[Konto]],Table5[[Konto]:[Konto nimetus]],2,FALSE)</f>
        <v>Info- ja kommunikatsioonitehnoliigised kulud</v>
      </c>
      <c r="L751">
        <v>55</v>
      </c>
      <c r="M751" t="str">
        <f t="shared" si="23"/>
        <v>55</v>
      </c>
      <c r="N751" s="3" t="str">
        <f>VLOOKUP(Table2[[#This Row],[Tulu/kulu liik2]],Table5[[Tulu/kulu liik]:[Kontode koondnimetus]],4,FALSE)</f>
        <v>Muud tegevuskulud</v>
      </c>
      <c r="O751" s="3" t="str">
        <f>VLOOKUP(Table2[[#This Row],[Tulu/kulu liik2]],Table5[],6,FALSE)</f>
        <v>Majandamiskulud</v>
      </c>
      <c r="P751" s="3" t="str">
        <f>VLOOKUP(Table2[[#This Row],[Tulu/kulu liik2]],Table5[],5,FALSE)</f>
        <v>Põhitegevuse kulu</v>
      </c>
    </row>
    <row r="752" spans="1:16" x14ac:dyDescent="0.25">
      <c r="A752" t="str">
        <f t="shared" si="22"/>
        <v>09</v>
      </c>
      <c r="B752" t="s">
        <v>245</v>
      </c>
      <c r="C752" s="3" t="str">
        <f>VLOOKUP(Table2[[#This Row],[Tegevusala]],Table4[],2,FALSE)</f>
        <v xml:space="preserve"> Roela Lasteaed</v>
      </c>
      <c r="D752" s="3" t="str">
        <f>VLOOKUP(Table2[[#This Row],[Tegevusala]],Table4[[Tegevusala kood]:[Tegevusala alanimetus]],4,FALSE)</f>
        <v>Alusharidus</v>
      </c>
      <c r="E752" s="3" t="str">
        <f>VLOOKUP(Table2[[#This Row],[Tegevusala nimetus2]],Table4[[Tegevusala nimetus]:[Tegevusala koondnimetus]],2,FALSE)</f>
        <v>Haridus</v>
      </c>
      <c r="F752" t="s">
        <v>166</v>
      </c>
      <c r="G752" t="s">
        <v>240</v>
      </c>
      <c r="H752" s="40">
        <v>630</v>
      </c>
      <c r="I752" s="2" t="s">
        <v>241</v>
      </c>
      <c r="J752">
        <v>5514</v>
      </c>
      <c r="K752" s="3" t="str">
        <f>VLOOKUP(Table2[[#This Row],[Konto]],Table5[[Konto]:[Konto nimetus]],2,FALSE)</f>
        <v>Info- ja kommunikatsioonitehnoliigised kulud</v>
      </c>
      <c r="L752">
        <v>55</v>
      </c>
      <c r="M752" t="str">
        <f t="shared" si="23"/>
        <v>55</v>
      </c>
      <c r="N752" t="str">
        <f>VLOOKUP(Table2[[#This Row],[Tulu/kulu liik2]],Table5[[Tulu/kulu liik]:[Kontode koondnimetus]],4,FALSE)</f>
        <v>Muud tegevuskulud</v>
      </c>
      <c r="O752" t="str">
        <f>VLOOKUP(Table2[[#This Row],[Tulu/kulu liik2]],Table5[],6,FALSE)</f>
        <v>Majandamiskulud</v>
      </c>
      <c r="P752" s="3" t="str">
        <f>VLOOKUP(Table2[[#This Row],[Tulu/kulu liik2]],Table5[],5,FALSE)</f>
        <v>Põhitegevuse kulu</v>
      </c>
    </row>
    <row r="753" spans="1:16" x14ac:dyDescent="0.25">
      <c r="A753" t="str">
        <f t="shared" si="22"/>
        <v>09</v>
      </c>
      <c r="B753" t="s">
        <v>245</v>
      </c>
      <c r="C753" s="3" t="str">
        <f>VLOOKUP(Table2[[#This Row],[Tegevusala]],Table4[],2,FALSE)</f>
        <v xml:space="preserve"> Roela Lasteaed</v>
      </c>
      <c r="D753" s="3" t="str">
        <f>VLOOKUP(Table2[[#This Row],[Tegevusala]],Table4[[Tegevusala kood]:[Tegevusala alanimetus]],4,FALSE)</f>
        <v>Alusharidus</v>
      </c>
      <c r="E753" s="3" t="str">
        <f>VLOOKUP(Table2[[#This Row],[Tegevusala nimetus2]],Table4[[Tegevusala nimetus]:[Tegevusala koondnimetus]],2,FALSE)</f>
        <v>Haridus</v>
      </c>
      <c r="F753" t="s">
        <v>166</v>
      </c>
      <c r="G753" t="s">
        <v>213</v>
      </c>
      <c r="H753" s="40">
        <v>6900</v>
      </c>
      <c r="J753">
        <v>5521</v>
      </c>
      <c r="K753" s="3" t="str">
        <f>VLOOKUP(Table2[[#This Row],[Konto]],Table5[[Konto]:[Konto nimetus]],2,FALSE)</f>
        <v>Toiduained ja toitlustusteenused</v>
      </c>
      <c r="L753">
        <v>55</v>
      </c>
      <c r="M753" t="str">
        <f t="shared" si="23"/>
        <v>55</v>
      </c>
      <c r="N753" s="3" t="str">
        <f>VLOOKUP(Table2[[#This Row],[Tulu/kulu liik2]],Table5[[Tulu/kulu liik]:[Kontode koondnimetus]],4,FALSE)</f>
        <v>Muud tegevuskulud</v>
      </c>
      <c r="O753" s="34" t="str">
        <f>VLOOKUP(Table2[[#This Row],[Tulu/kulu liik2]],Table5[],6,FALSE)</f>
        <v>Majandamiskulud</v>
      </c>
      <c r="P753" s="3" t="str">
        <f>VLOOKUP(Table2[[#This Row],[Tulu/kulu liik2]],Table5[],5,FALSE)</f>
        <v>Põhitegevuse kulu</v>
      </c>
    </row>
    <row r="754" spans="1:16" x14ac:dyDescent="0.25">
      <c r="A754" t="str">
        <f t="shared" si="22"/>
        <v>09</v>
      </c>
      <c r="B754" t="s">
        <v>245</v>
      </c>
      <c r="C754" s="3" t="str">
        <f>VLOOKUP(Table2[[#This Row],[Tegevusala]],Table4[],2,FALSE)</f>
        <v xml:space="preserve"> Roela Lasteaed</v>
      </c>
      <c r="D754" s="3" t="str">
        <f>VLOOKUP(Table2[[#This Row],[Tegevusala]],Table4[[Tegevusala kood]:[Tegevusala alanimetus]],4,FALSE)</f>
        <v>Alusharidus</v>
      </c>
      <c r="E754" s="3" t="str">
        <f>VLOOKUP(Table2[[#This Row],[Tegevusala nimetus2]],Table4[[Tegevusala nimetus]:[Tegevusala koondnimetus]],2,FALSE)</f>
        <v>Haridus</v>
      </c>
      <c r="F754" t="s">
        <v>166</v>
      </c>
      <c r="G754" t="s">
        <v>117</v>
      </c>
      <c r="H754" s="40">
        <v>1000</v>
      </c>
      <c r="J754">
        <v>5524</v>
      </c>
      <c r="K754" s="3" t="str">
        <f>VLOOKUP(Table2[[#This Row],[Konto]],Table5[[Konto]:[Konto nimetus]],2,FALSE)</f>
        <v>Õppevahendid</v>
      </c>
      <c r="L754">
        <v>55</v>
      </c>
      <c r="M754" t="str">
        <f t="shared" si="23"/>
        <v>55</v>
      </c>
      <c r="N754" s="3" t="str">
        <f>VLOOKUP(Table2[[#This Row],[Tulu/kulu liik2]],Table5[[Tulu/kulu liik]:[Kontode koondnimetus]],4,FALSE)</f>
        <v>Muud tegevuskulud</v>
      </c>
      <c r="O754" s="34" t="str">
        <f>VLOOKUP(Table2[[#This Row],[Tulu/kulu liik2]],Table5[],6,FALSE)</f>
        <v>Majandamiskulud</v>
      </c>
      <c r="P754" s="3" t="str">
        <f>VLOOKUP(Table2[[#This Row],[Tulu/kulu liik2]],Table5[],5,FALSE)</f>
        <v>Põhitegevuse kulu</v>
      </c>
    </row>
    <row r="755" spans="1:16" x14ac:dyDescent="0.25">
      <c r="A755" t="str">
        <f t="shared" si="22"/>
        <v>09</v>
      </c>
      <c r="B755" t="s">
        <v>338</v>
      </c>
      <c r="C755" s="3" t="str">
        <f>VLOOKUP(Table2[[#This Row],[Tegevusala]],Table4[],2,FALSE)</f>
        <v xml:space="preserve"> Kohatasud</v>
      </c>
      <c r="D755" s="3" t="str">
        <f>VLOOKUP(Table2[[#This Row],[Tegevusala]],Table4[[Tegevusala kood]:[Tegevusala alanimetus]],4,FALSE)</f>
        <v>Alusharidus</v>
      </c>
      <c r="E755" s="3" t="str">
        <f>VLOOKUP(Table2[[#This Row],[Tegevusala nimetus2]],Table4[[Tegevusala nimetus]:[Tegevusala koondnimetus]],2,FALSE)</f>
        <v>Haridus</v>
      </c>
      <c r="F755" t="s">
        <v>1548</v>
      </c>
      <c r="G755" t="s">
        <v>1554</v>
      </c>
      <c r="H755" s="40">
        <v>46249.440000000002</v>
      </c>
      <c r="I755" s="2" t="s">
        <v>1557</v>
      </c>
      <c r="J755">
        <v>5524</v>
      </c>
      <c r="K755" s="3" t="str">
        <f>VLOOKUP(Table2[[#This Row],[Konto]],Table5[[Konto]:[Konto nimetus]],2,FALSE)</f>
        <v>Õppevahendid</v>
      </c>
      <c r="L755">
        <v>55</v>
      </c>
      <c r="M755" t="str">
        <f t="shared" si="23"/>
        <v>55</v>
      </c>
      <c r="N755" s="3" t="str">
        <f>VLOOKUP(Table2[[#This Row],[Tulu/kulu liik2]],Table5[[Tulu/kulu liik]:[Kontode koondnimetus]],4,FALSE)</f>
        <v>Muud tegevuskulud</v>
      </c>
      <c r="O755" s="3" t="str">
        <f>VLOOKUP(Table2[[#This Row],[Tulu/kulu liik2]],Table5[],6,FALSE)</f>
        <v>Majandamiskulud</v>
      </c>
      <c r="P755" s="3" t="str">
        <f>VLOOKUP(Table2[[#This Row],[Tulu/kulu liik2]],Table5[],5,FALSE)</f>
        <v>Põhitegevuse kulu</v>
      </c>
    </row>
    <row r="756" spans="1:16" hidden="1" x14ac:dyDescent="0.25">
      <c r="A756" s="8" t="str">
        <f t="shared" si="22"/>
        <v>09</v>
      </c>
      <c r="B756" s="8" t="s">
        <v>338</v>
      </c>
      <c r="C756" s="32" t="str">
        <f>VLOOKUP(Table2[[#This Row],[Tegevusala]],Table4[],2,FALSE)</f>
        <v xml:space="preserve"> Kohatasud</v>
      </c>
      <c r="D756" s="32" t="str">
        <f>VLOOKUP(Table2[[#This Row],[Tegevusala]],Table4[[Tegevusala kood]:[Tegevusala alanimetus]],4,FALSE)</f>
        <v>Alusharidus</v>
      </c>
      <c r="E756" s="32" t="str">
        <f>VLOOKUP(Table2[[#This Row],[Tegevusala nimetus2]],Table4[[Tegevusala nimetus]:[Tegevusala koondnimetus]],2,FALSE)</f>
        <v>Haridus</v>
      </c>
      <c r="F756" s="8" t="s">
        <v>1548</v>
      </c>
      <c r="G756" s="8" t="s">
        <v>1549</v>
      </c>
      <c r="H756" s="43">
        <v>-63828</v>
      </c>
      <c r="I756" s="9" t="s">
        <v>1552</v>
      </c>
      <c r="J756" s="8">
        <v>32202</v>
      </c>
      <c r="K756" s="32" t="str">
        <f>VLOOKUP(Table2[[#This Row],[Konto]],Table5[[Konto]:[Konto nimetus]],2,FALSE)</f>
        <v>Õpilaskoht</v>
      </c>
      <c r="L756" s="8">
        <v>32</v>
      </c>
      <c r="M756" s="8" t="str">
        <f t="shared" si="23"/>
        <v>32</v>
      </c>
      <c r="N756" s="32" t="str">
        <f>VLOOKUP(Table2[[#This Row],[Tulu/kulu liik2]],Table5[[Tulu/kulu liik]:[Kontode koondnimetus]],4,FALSE)</f>
        <v>Tulud kaupade ja teenuste müügist</v>
      </c>
      <c r="O756" s="32" t="str">
        <f>VLOOKUP(Table2[[#This Row],[Tulu/kulu liik2]],Table5[],6,FALSE)</f>
        <v>Tulud kaupade ja teenuste müügist</v>
      </c>
      <c r="P756" s="32" t="str">
        <f>VLOOKUP(Table2[[#This Row],[Tulu/kulu liik2]],Table5[],5,FALSE)</f>
        <v>Põhitegevuse tulu</v>
      </c>
    </row>
    <row r="757" spans="1:16" x14ac:dyDescent="0.25">
      <c r="A757" t="str">
        <f t="shared" si="22"/>
        <v>09</v>
      </c>
      <c r="B757" t="s">
        <v>340</v>
      </c>
      <c r="C757" s="3" t="str">
        <f>VLOOKUP(Table2[[#This Row],[Tegevusala]],Table4[],2,FALSE)</f>
        <v xml:space="preserve"> Muuga-laekvere kool-Laekvere õppehoone</v>
      </c>
      <c r="D757" s="3" t="str">
        <f>VLOOKUP(Table2[[#This Row],[Tegevusala]],Table4[[Tegevusala kood]:[Tegevusala alanimetus]],4,FALSE)</f>
        <v>Põhihariduse otsekulud</v>
      </c>
      <c r="E757" s="3" t="str">
        <f>VLOOKUP(Table2[[#This Row],[Tegevusala nimetus2]],Table4[[Tegevusala nimetus]:[Tegevusala koondnimetus]],2,FALSE)</f>
        <v>Haridus</v>
      </c>
      <c r="F757" t="s">
        <v>1870</v>
      </c>
      <c r="G757" t="s">
        <v>177</v>
      </c>
      <c r="H757" s="40">
        <v>20000</v>
      </c>
      <c r="J757">
        <v>5511</v>
      </c>
      <c r="K757" s="3" t="str">
        <f>VLOOKUP(Table2[[#This Row],[Konto]],Table5[[Konto]:[Konto nimetus]],2,FALSE)</f>
        <v>Kinnistute, hoonete ja ruumide majandamiskulud</v>
      </c>
      <c r="L757">
        <v>55</v>
      </c>
      <c r="M757" t="str">
        <f t="shared" si="23"/>
        <v>55</v>
      </c>
      <c r="N757" s="3" t="str">
        <f>VLOOKUP(Table2[[#This Row],[Tulu/kulu liik2]],Table5[[Tulu/kulu liik]:[Kontode koondnimetus]],4,FALSE)</f>
        <v>Muud tegevuskulud</v>
      </c>
      <c r="O757" s="3" t="str">
        <f>VLOOKUP(Table2[[#This Row],[Tulu/kulu liik2]],Table5[],6,FALSE)</f>
        <v>Majandamiskulud</v>
      </c>
      <c r="P757" s="3" t="str">
        <f>VLOOKUP(Table2[[#This Row],[Tulu/kulu liik2]],Table5[],5,FALSE)</f>
        <v>Põhitegevuse kulu</v>
      </c>
    </row>
    <row r="758" spans="1:16" x14ac:dyDescent="0.25">
      <c r="A758" t="str">
        <f t="shared" si="22"/>
        <v>09</v>
      </c>
      <c r="B758" t="s">
        <v>340</v>
      </c>
      <c r="C758" s="3" t="str">
        <f>VLOOKUP(Table2[[#This Row],[Tegevusala]],Table4[],2,FALSE)</f>
        <v xml:space="preserve"> Muuga-laekvere kool-Laekvere õppehoone</v>
      </c>
      <c r="D758" s="3" t="str">
        <f>VLOOKUP(Table2[[#This Row],[Tegevusala]],Table4[[Tegevusala kood]:[Tegevusala alanimetus]],4,FALSE)</f>
        <v>Põhihariduse otsekulud</v>
      </c>
      <c r="E758" s="3" t="str">
        <f>VLOOKUP(Table2[[#This Row],[Tegevusala nimetus2]],Table4[[Tegevusala nimetus]:[Tegevusala koondnimetus]],2,FALSE)</f>
        <v>Haridus</v>
      </c>
      <c r="F758" t="s">
        <v>1870</v>
      </c>
      <c r="G758" t="s">
        <v>178</v>
      </c>
      <c r="H758" s="40">
        <v>6000</v>
      </c>
      <c r="J758">
        <v>5511</v>
      </c>
      <c r="K758" s="3" t="str">
        <f>VLOOKUP(Table2[[#This Row],[Konto]],Table5[[Konto]:[Konto nimetus]],2,FALSE)</f>
        <v>Kinnistute, hoonete ja ruumide majandamiskulud</v>
      </c>
      <c r="L758">
        <v>55</v>
      </c>
      <c r="M758" t="str">
        <f t="shared" si="23"/>
        <v>55</v>
      </c>
      <c r="N758" s="3" t="str">
        <f>VLOOKUP(Table2[[#This Row],[Tulu/kulu liik2]],Table5[[Tulu/kulu liik]:[Kontode koondnimetus]],4,FALSE)</f>
        <v>Muud tegevuskulud</v>
      </c>
      <c r="O758" s="3" t="str">
        <f>VLOOKUP(Table2[[#This Row],[Tulu/kulu liik2]],Table5[],6,FALSE)</f>
        <v>Majandamiskulud</v>
      </c>
      <c r="P758" s="3" t="str">
        <f>VLOOKUP(Table2[[#This Row],[Tulu/kulu liik2]],Table5[],5,FALSE)</f>
        <v>Põhitegevuse kulu</v>
      </c>
    </row>
    <row r="759" spans="1:16" x14ac:dyDescent="0.25">
      <c r="A759" t="str">
        <f t="shared" si="22"/>
        <v>09</v>
      </c>
      <c r="B759" t="s">
        <v>340</v>
      </c>
      <c r="C759" s="3" t="str">
        <f>VLOOKUP(Table2[[#This Row],[Tegevusala]],Table4[],2,FALSE)</f>
        <v xml:space="preserve"> Muuga-laekvere kool-Laekvere õppehoone</v>
      </c>
      <c r="D759" s="3" t="str">
        <f>VLOOKUP(Table2[[#This Row],[Tegevusala]],Table4[[Tegevusala kood]:[Tegevusala alanimetus]],4,FALSE)</f>
        <v>Põhihariduse otsekulud</v>
      </c>
      <c r="E759" s="3" t="str">
        <f>VLOOKUP(Table2[[#This Row],[Tegevusala nimetus2]],Table4[[Tegevusala nimetus]:[Tegevusala koondnimetus]],2,FALSE)</f>
        <v>Haridus</v>
      </c>
      <c r="F759" t="s">
        <v>1870</v>
      </c>
      <c r="G759" t="s">
        <v>410</v>
      </c>
      <c r="H759" s="40">
        <v>500</v>
      </c>
      <c r="J759">
        <v>5511</v>
      </c>
      <c r="K759" s="3" t="str">
        <f>VLOOKUP(Table2[[#This Row],[Konto]],Table5[[Konto]:[Konto nimetus]],2,FALSE)</f>
        <v>Kinnistute, hoonete ja ruumide majandamiskulud</v>
      </c>
      <c r="L759">
        <v>55</v>
      </c>
      <c r="M759" t="str">
        <f t="shared" si="23"/>
        <v>55</v>
      </c>
      <c r="N759" s="3" t="str">
        <f>VLOOKUP(Table2[[#This Row],[Tulu/kulu liik2]],Table5[[Tulu/kulu liik]:[Kontode koondnimetus]],4,FALSE)</f>
        <v>Muud tegevuskulud</v>
      </c>
      <c r="O759" s="3" t="str">
        <f>VLOOKUP(Table2[[#This Row],[Tulu/kulu liik2]],Table5[],6,FALSE)</f>
        <v>Majandamiskulud</v>
      </c>
      <c r="P759" s="3" t="str">
        <f>VLOOKUP(Table2[[#This Row],[Tulu/kulu liik2]],Table5[],5,FALSE)</f>
        <v>Põhitegevuse kulu</v>
      </c>
    </row>
    <row r="760" spans="1:16" x14ac:dyDescent="0.25">
      <c r="A760" t="str">
        <f t="shared" si="22"/>
        <v>09</v>
      </c>
      <c r="B760" t="s">
        <v>340</v>
      </c>
      <c r="C760" s="3" t="str">
        <f>VLOOKUP(Table2[[#This Row],[Tegevusala]],Table4[],2,FALSE)</f>
        <v xml:space="preserve"> Muuga-laekvere kool-Laekvere õppehoone</v>
      </c>
      <c r="D760" s="3" t="str">
        <f>VLOOKUP(Table2[[#This Row],[Tegevusala]],Table4[[Tegevusala kood]:[Tegevusala alanimetus]],4,FALSE)</f>
        <v>Põhihariduse otsekulud</v>
      </c>
      <c r="E760" s="3" t="str">
        <f>VLOOKUP(Table2[[#This Row],[Tegevusala nimetus2]],Table4[[Tegevusala nimetus]:[Tegevusala koondnimetus]],2,FALSE)</f>
        <v>Haridus</v>
      </c>
      <c r="F760" t="s">
        <v>1870</v>
      </c>
      <c r="G760" t="s">
        <v>411</v>
      </c>
      <c r="H760" s="40">
        <v>2600</v>
      </c>
      <c r="J760">
        <v>5511</v>
      </c>
      <c r="K760" s="3" t="str">
        <f>VLOOKUP(Table2[[#This Row],[Konto]],Table5[[Konto]:[Konto nimetus]],2,FALSE)</f>
        <v>Kinnistute, hoonete ja ruumide majandamiskulud</v>
      </c>
      <c r="L760">
        <v>55</v>
      </c>
      <c r="M760" t="str">
        <f t="shared" si="23"/>
        <v>55</v>
      </c>
      <c r="N760" s="3" t="str">
        <f>VLOOKUP(Table2[[#This Row],[Tulu/kulu liik2]],Table5[[Tulu/kulu liik]:[Kontode koondnimetus]],4,FALSE)</f>
        <v>Muud tegevuskulud</v>
      </c>
      <c r="O760" s="3" t="str">
        <f>VLOOKUP(Table2[[#This Row],[Tulu/kulu liik2]],Table5[],6,FALSE)</f>
        <v>Majandamiskulud</v>
      </c>
      <c r="P760" s="3" t="str">
        <f>VLOOKUP(Table2[[#This Row],[Tulu/kulu liik2]],Table5[],5,FALSE)</f>
        <v>Põhitegevuse kulu</v>
      </c>
    </row>
    <row r="761" spans="1:16" x14ac:dyDescent="0.25">
      <c r="A761" t="str">
        <f t="shared" si="22"/>
        <v>09</v>
      </c>
      <c r="B761" t="s">
        <v>340</v>
      </c>
      <c r="C761" s="3" t="str">
        <f>VLOOKUP(Table2[[#This Row],[Tegevusala]],Table4[],2,FALSE)</f>
        <v xml:space="preserve"> Muuga-laekvere kool-Laekvere õppehoone</v>
      </c>
      <c r="D761" s="3" t="str">
        <f>VLOOKUP(Table2[[#This Row],[Tegevusala]],Table4[[Tegevusala kood]:[Tegevusala alanimetus]],4,FALSE)</f>
        <v>Põhihariduse otsekulud</v>
      </c>
      <c r="E761" s="3" t="str">
        <f>VLOOKUP(Table2[[#This Row],[Tegevusala nimetus2]],Table4[[Tegevusala nimetus]:[Tegevusala koondnimetus]],2,FALSE)</f>
        <v>Haridus</v>
      </c>
      <c r="F761" t="s">
        <v>1870</v>
      </c>
      <c r="G761" t="s">
        <v>180</v>
      </c>
      <c r="H761" s="40">
        <v>500</v>
      </c>
      <c r="J761">
        <v>5511</v>
      </c>
      <c r="K761" s="3" t="str">
        <f>VLOOKUP(Table2[[#This Row],[Konto]],Table5[[Konto]:[Konto nimetus]],2,FALSE)</f>
        <v>Kinnistute, hoonete ja ruumide majandamiskulud</v>
      </c>
      <c r="L761">
        <v>55</v>
      </c>
      <c r="M761" t="str">
        <f t="shared" si="23"/>
        <v>55</v>
      </c>
      <c r="N761" s="3" t="str">
        <f>VLOOKUP(Table2[[#This Row],[Tulu/kulu liik2]],Table5[[Tulu/kulu liik]:[Kontode koondnimetus]],4,FALSE)</f>
        <v>Muud tegevuskulud</v>
      </c>
      <c r="O761" s="3" t="str">
        <f>VLOOKUP(Table2[[#This Row],[Tulu/kulu liik2]],Table5[],6,FALSE)</f>
        <v>Majandamiskulud</v>
      </c>
      <c r="P761" s="3" t="str">
        <f>VLOOKUP(Table2[[#This Row],[Tulu/kulu liik2]],Table5[],5,FALSE)</f>
        <v>Põhitegevuse kulu</v>
      </c>
    </row>
    <row r="762" spans="1:16" x14ac:dyDescent="0.25">
      <c r="A762" t="str">
        <f t="shared" si="22"/>
        <v>09</v>
      </c>
      <c r="B762" t="s">
        <v>340</v>
      </c>
      <c r="C762" s="3" t="str">
        <f>VLOOKUP(Table2[[#This Row],[Tegevusala]],Table4[],2,FALSE)</f>
        <v xml:space="preserve"> Muuga-laekvere kool-Laekvere õppehoone</v>
      </c>
      <c r="D762" s="3" t="str">
        <f>VLOOKUP(Table2[[#This Row],[Tegevusala]],Table4[[Tegevusala kood]:[Tegevusala alanimetus]],4,FALSE)</f>
        <v>Põhihariduse otsekulud</v>
      </c>
      <c r="E762" s="3" t="str">
        <f>VLOOKUP(Table2[[#This Row],[Tegevusala nimetus2]],Table4[[Tegevusala nimetus]:[Tegevusala koondnimetus]],2,FALSE)</f>
        <v>Haridus</v>
      </c>
      <c r="F762" t="s">
        <v>1870</v>
      </c>
      <c r="G762" t="s">
        <v>412</v>
      </c>
      <c r="H762" s="40">
        <v>120</v>
      </c>
      <c r="J762">
        <v>5511</v>
      </c>
      <c r="K762" s="3" t="str">
        <f>VLOOKUP(Table2[[#This Row],[Konto]],Table5[[Konto]:[Konto nimetus]],2,FALSE)</f>
        <v>Kinnistute, hoonete ja ruumide majandamiskulud</v>
      </c>
      <c r="L762">
        <v>55</v>
      </c>
      <c r="M762" t="str">
        <f t="shared" si="23"/>
        <v>55</v>
      </c>
      <c r="N762" s="3" t="str">
        <f>VLOOKUP(Table2[[#This Row],[Tulu/kulu liik2]],Table5[[Tulu/kulu liik]:[Kontode koondnimetus]],4,FALSE)</f>
        <v>Muud tegevuskulud</v>
      </c>
      <c r="O762" s="3" t="str">
        <f>VLOOKUP(Table2[[#This Row],[Tulu/kulu liik2]],Table5[],6,FALSE)</f>
        <v>Majandamiskulud</v>
      </c>
      <c r="P762" s="3" t="str">
        <f>VLOOKUP(Table2[[#This Row],[Tulu/kulu liik2]],Table5[],5,FALSE)</f>
        <v>Põhitegevuse kulu</v>
      </c>
    </row>
    <row r="763" spans="1:16" x14ac:dyDescent="0.25">
      <c r="A763" t="str">
        <f t="shared" si="22"/>
        <v>09</v>
      </c>
      <c r="B763" t="s">
        <v>340</v>
      </c>
      <c r="C763" s="3" t="str">
        <f>VLOOKUP(Table2[[#This Row],[Tegevusala]],Table4[],2,FALSE)</f>
        <v xml:space="preserve"> Muuga-laekvere kool-Laekvere õppehoone</v>
      </c>
      <c r="D763" s="3" t="str">
        <f>VLOOKUP(Table2[[#This Row],[Tegevusala]],Table4[[Tegevusala kood]:[Tegevusala alanimetus]],4,FALSE)</f>
        <v>Põhihariduse otsekulud</v>
      </c>
      <c r="E763" s="3" t="str">
        <f>VLOOKUP(Table2[[#This Row],[Tegevusala nimetus2]],Table4[[Tegevusala nimetus]:[Tegevusala koondnimetus]],2,FALSE)</f>
        <v>Haridus</v>
      </c>
      <c r="F763" t="s">
        <v>1870</v>
      </c>
      <c r="G763" t="s">
        <v>413</v>
      </c>
      <c r="H763" s="40">
        <v>3000</v>
      </c>
      <c r="J763">
        <v>5511</v>
      </c>
      <c r="K763" s="3" t="str">
        <f>VLOOKUP(Table2[[#This Row],[Konto]],Table5[[Konto]:[Konto nimetus]],2,FALSE)</f>
        <v>Kinnistute, hoonete ja ruumide majandamiskulud</v>
      </c>
      <c r="L763">
        <v>55</v>
      </c>
      <c r="M763" t="str">
        <f t="shared" si="23"/>
        <v>55</v>
      </c>
      <c r="N763" s="3" t="str">
        <f>VLOOKUP(Table2[[#This Row],[Tulu/kulu liik2]],Table5[[Tulu/kulu liik]:[Kontode koondnimetus]],4,FALSE)</f>
        <v>Muud tegevuskulud</v>
      </c>
      <c r="O763" s="3" t="str">
        <f>VLOOKUP(Table2[[#This Row],[Tulu/kulu liik2]],Table5[],6,FALSE)</f>
        <v>Majandamiskulud</v>
      </c>
      <c r="P763" s="3" t="str">
        <f>VLOOKUP(Table2[[#This Row],[Tulu/kulu liik2]],Table5[],5,FALSE)</f>
        <v>Põhitegevuse kulu</v>
      </c>
    </row>
    <row r="764" spans="1:16" x14ac:dyDescent="0.25">
      <c r="A764" t="str">
        <f t="shared" si="22"/>
        <v>09</v>
      </c>
      <c r="B764" t="s">
        <v>340</v>
      </c>
      <c r="C764" s="3" t="str">
        <f>VLOOKUP(Table2[[#This Row],[Tegevusala]],Table4[],2,FALSE)</f>
        <v xml:space="preserve"> Muuga-laekvere kool-Laekvere õppehoone</v>
      </c>
      <c r="D764" s="3" t="str">
        <f>VLOOKUP(Table2[[#This Row],[Tegevusala]],Table4[[Tegevusala kood]:[Tegevusala alanimetus]],4,FALSE)</f>
        <v>Põhihariduse otsekulud</v>
      </c>
      <c r="E764" s="3" t="str">
        <f>VLOOKUP(Table2[[#This Row],[Tegevusala nimetus2]],Table4[[Tegevusala nimetus]:[Tegevusala koondnimetus]],2,FALSE)</f>
        <v>Haridus</v>
      </c>
      <c r="F764" t="s">
        <v>1870</v>
      </c>
      <c r="G764" t="s">
        <v>414</v>
      </c>
      <c r="H764" s="40">
        <v>500</v>
      </c>
      <c r="J764">
        <v>5511</v>
      </c>
      <c r="K764" s="3" t="str">
        <f>VLOOKUP(Table2[[#This Row],[Konto]],Table5[[Konto]:[Konto nimetus]],2,FALSE)</f>
        <v>Kinnistute, hoonete ja ruumide majandamiskulud</v>
      </c>
      <c r="L764">
        <v>55</v>
      </c>
      <c r="M764" t="str">
        <f t="shared" si="23"/>
        <v>55</v>
      </c>
      <c r="N764" s="3" t="str">
        <f>VLOOKUP(Table2[[#This Row],[Tulu/kulu liik2]],Table5[[Tulu/kulu liik]:[Kontode koondnimetus]],4,FALSE)</f>
        <v>Muud tegevuskulud</v>
      </c>
      <c r="O764" s="3" t="str">
        <f>VLOOKUP(Table2[[#This Row],[Tulu/kulu liik2]],Table5[],6,FALSE)</f>
        <v>Majandamiskulud</v>
      </c>
      <c r="P764" s="3" t="str">
        <f>VLOOKUP(Table2[[#This Row],[Tulu/kulu liik2]],Table5[],5,FALSE)</f>
        <v>Põhitegevuse kulu</v>
      </c>
    </row>
    <row r="765" spans="1:16" x14ac:dyDescent="0.25">
      <c r="A765" t="str">
        <f t="shared" si="22"/>
        <v>09</v>
      </c>
      <c r="B765" t="s">
        <v>340</v>
      </c>
      <c r="C765" s="3" t="str">
        <f>VLOOKUP(Table2[[#This Row],[Tegevusala]],Table4[],2,FALSE)</f>
        <v xml:space="preserve"> Muuga-laekvere kool-Laekvere õppehoone</v>
      </c>
      <c r="D765" s="3" t="str">
        <f>VLOOKUP(Table2[[#This Row],[Tegevusala]],Table4[[Tegevusala kood]:[Tegevusala alanimetus]],4,FALSE)</f>
        <v>Põhihariduse otsekulud</v>
      </c>
      <c r="E765" s="3" t="str">
        <f>VLOOKUP(Table2[[#This Row],[Tegevusala nimetus2]],Table4[[Tegevusala nimetus]:[Tegevusala koondnimetus]],2,FALSE)</f>
        <v>Haridus</v>
      </c>
      <c r="F765" t="s">
        <v>1870</v>
      </c>
      <c r="G765" t="s">
        <v>415</v>
      </c>
      <c r="H765" s="40">
        <v>760</v>
      </c>
      <c r="J765">
        <v>5511</v>
      </c>
      <c r="K765" s="3" t="str">
        <f>VLOOKUP(Table2[[#This Row],[Konto]],Table5[[Konto]:[Konto nimetus]],2,FALSE)</f>
        <v>Kinnistute, hoonete ja ruumide majandamiskulud</v>
      </c>
      <c r="L765">
        <v>55</v>
      </c>
      <c r="M765" t="str">
        <f t="shared" si="23"/>
        <v>55</v>
      </c>
      <c r="N765" s="3" t="str">
        <f>VLOOKUP(Table2[[#This Row],[Tulu/kulu liik2]],Table5[[Tulu/kulu liik]:[Kontode koondnimetus]],4,FALSE)</f>
        <v>Muud tegevuskulud</v>
      </c>
      <c r="O765" s="3" t="str">
        <f>VLOOKUP(Table2[[#This Row],[Tulu/kulu liik2]],Table5[],6,FALSE)</f>
        <v>Majandamiskulud</v>
      </c>
      <c r="P765" s="3" t="str">
        <f>VLOOKUP(Table2[[#This Row],[Tulu/kulu liik2]],Table5[],5,FALSE)</f>
        <v>Põhitegevuse kulu</v>
      </c>
    </row>
    <row r="766" spans="1:16" x14ac:dyDescent="0.25">
      <c r="A766" t="str">
        <f t="shared" si="22"/>
        <v>09</v>
      </c>
      <c r="B766" t="s">
        <v>340</v>
      </c>
      <c r="C766" s="3" t="str">
        <f>VLOOKUP(Table2[[#This Row],[Tegevusala]],Table4[],2,FALSE)</f>
        <v xml:space="preserve"> Muuga-laekvere kool-Laekvere õppehoone</v>
      </c>
      <c r="D766" s="3" t="str">
        <f>VLOOKUP(Table2[[#This Row],[Tegevusala]],Table4[[Tegevusala kood]:[Tegevusala alanimetus]],4,FALSE)</f>
        <v>Põhihariduse otsekulud</v>
      </c>
      <c r="E766" s="3" t="str">
        <f>VLOOKUP(Table2[[#This Row],[Tegevusala nimetus2]],Table4[[Tegevusala nimetus]:[Tegevusala koondnimetus]],2,FALSE)</f>
        <v>Haridus</v>
      </c>
      <c r="F766" t="s">
        <v>1870</v>
      </c>
      <c r="G766" t="s">
        <v>1873</v>
      </c>
      <c r="H766" s="40">
        <v>1500</v>
      </c>
      <c r="J766">
        <v>5511</v>
      </c>
      <c r="K766" s="3" t="str">
        <f>VLOOKUP(Table2[[#This Row],[Konto]],Table5[[Konto]:[Konto nimetus]],2,FALSE)</f>
        <v>Kinnistute, hoonete ja ruumide majandamiskulud</v>
      </c>
      <c r="L766">
        <v>55</v>
      </c>
      <c r="M766" t="str">
        <f t="shared" si="23"/>
        <v>55</v>
      </c>
      <c r="N766" s="3" t="str">
        <f>VLOOKUP(Table2[[#This Row],[Tulu/kulu liik2]],Table5[[Tulu/kulu liik]:[Kontode koondnimetus]],4,FALSE)</f>
        <v>Muud tegevuskulud</v>
      </c>
      <c r="O766" s="3" t="str">
        <f>VLOOKUP(Table2[[#This Row],[Tulu/kulu liik2]],Table5[],6,FALSE)</f>
        <v>Majandamiskulud</v>
      </c>
      <c r="P766" s="3" t="str">
        <f>VLOOKUP(Table2[[#This Row],[Tulu/kulu liik2]],Table5[],5,FALSE)</f>
        <v>Põhitegevuse kulu</v>
      </c>
    </row>
    <row r="767" spans="1:16" x14ac:dyDescent="0.25">
      <c r="A767" t="str">
        <f t="shared" si="22"/>
        <v>09</v>
      </c>
      <c r="B767" t="s">
        <v>340</v>
      </c>
      <c r="C767" s="3" t="str">
        <f>VLOOKUP(Table2[[#This Row],[Tegevusala]],Table4[],2,FALSE)</f>
        <v xml:space="preserve"> Muuga-laekvere kool-Laekvere õppehoone</v>
      </c>
      <c r="D767" s="3" t="str">
        <f>VLOOKUP(Table2[[#This Row],[Tegevusala]],Table4[[Tegevusala kood]:[Tegevusala alanimetus]],4,FALSE)</f>
        <v>Põhihariduse otsekulud</v>
      </c>
      <c r="E767" s="3" t="str">
        <f>VLOOKUP(Table2[[#This Row],[Tegevusala nimetus2]],Table4[[Tegevusala nimetus]:[Tegevusala koondnimetus]],2,FALSE)</f>
        <v>Haridus</v>
      </c>
      <c r="F767" t="s">
        <v>1870</v>
      </c>
      <c r="G767" t="s">
        <v>436</v>
      </c>
      <c r="H767" s="40">
        <v>150</v>
      </c>
      <c r="J767">
        <v>5511</v>
      </c>
      <c r="K767" s="3" t="str">
        <f>VLOOKUP(Table2[[#This Row],[Konto]],Table5[[Konto]:[Konto nimetus]],2,FALSE)</f>
        <v>Kinnistute, hoonete ja ruumide majandamiskulud</v>
      </c>
      <c r="L767">
        <v>55</v>
      </c>
      <c r="M767" t="str">
        <f t="shared" si="23"/>
        <v>55</v>
      </c>
      <c r="N767" s="3" t="str">
        <f>VLOOKUP(Table2[[#This Row],[Tulu/kulu liik2]],Table5[[Tulu/kulu liik]:[Kontode koondnimetus]],4,FALSE)</f>
        <v>Muud tegevuskulud</v>
      </c>
      <c r="O767" s="3" t="str">
        <f>VLOOKUP(Table2[[#This Row],[Tulu/kulu liik2]],Table5[],6,FALSE)</f>
        <v>Majandamiskulud</v>
      </c>
      <c r="P767" s="3" t="str">
        <f>VLOOKUP(Table2[[#This Row],[Tulu/kulu liik2]],Table5[],5,FALSE)</f>
        <v>Põhitegevuse kulu</v>
      </c>
    </row>
    <row r="768" spans="1:16" x14ac:dyDescent="0.25">
      <c r="A768" t="str">
        <f t="shared" si="22"/>
        <v>09</v>
      </c>
      <c r="B768" t="s">
        <v>340</v>
      </c>
      <c r="C768" s="3" t="str">
        <f>VLOOKUP(Table2[[#This Row],[Tegevusala]],Table4[],2,FALSE)</f>
        <v xml:space="preserve"> Muuga-laekvere kool-Laekvere õppehoone</v>
      </c>
      <c r="D768" s="3" t="str">
        <f>VLOOKUP(Table2[[#This Row],[Tegevusala]],Table4[[Tegevusala kood]:[Tegevusala alanimetus]],4,FALSE)</f>
        <v>Põhihariduse otsekulud</v>
      </c>
      <c r="E768" s="3" t="str">
        <f>VLOOKUP(Table2[[#This Row],[Tegevusala nimetus2]],Table4[[Tegevusala nimetus]:[Tegevusala koondnimetus]],2,FALSE)</f>
        <v>Haridus</v>
      </c>
      <c r="F768" t="s">
        <v>1870</v>
      </c>
      <c r="G768" t="s">
        <v>401</v>
      </c>
      <c r="H768" s="40">
        <v>400</v>
      </c>
      <c r="J768">
        <v>5500</v>
      </c>
      <c r="K768" s="3" t="str">
        <f>VLOOKUP(Table2[[#This Row],[Konto]],Table5[[Konto]:[Konto nimetus]],2,FALSE)</f>
        <v>Administreerimiskulud</v>
      </c>
      <c r="L768">
        <v>55</v>
      </c>
      <c r="M768" t="str">
        <f t="shared" si="23"/>
        <v>55</v>
      </c>
      <c r="N768" s="3" t="str">
        <f>VLOOKUP(Table2[[#This Row],[Tulu/kulu liik2]],Table5[[Tulu/kulu liik]:[Kontode koondnimetus]],4,FALSE)</f>
        <v>Muud tegevuskulud</v>
      </c>
      <c r="O768" s="3" t="str">
        <f>VLOOKUP(Table2[[#This Row],[Tulu/kulu liik2]],Table5[],6,FALSE)</f>
        <v>Majandamiskulud</v>
      </c>
      <c r="P768" s="3" t="str">
        <f>VLOOKUP(Table2[[#This Row],[Tulu/kulu liik2]],Table5[],5,FALSE)</f>
        <v>Põhitegevuse kulu</v>
      </c>
    </row>
    <row r="769" spans="1:16" x14ac:dyDescent="0.25">
      <c r="A769" t="str">
        <f t="shared" si="22"/>
        <v>09</v>
      </c>
      <c r="B769" t="s">
        <v>340</v>
      </c>
      <c r="C769" s="3" t="str">
        <f>VLOOKUP(Table2[[#This Row],[Tegevusala]],Table4[],2,FALSE)</f>
        <v xml:space="preserve"> Muuga-laekvere kool-Laekvere õppehoone</v>
      </c>
      <c r="D769" s="3" t="str">
        <f>VLOOKUP(Table2[[#This Row],[Tegevusala]],Table4[[Tegevusala kood]:[Tegevusala alanimetus]],4,FALSE)</f>
        <v>Põhihariduse otsekulud</v>
      </c>
      <c r="E769" s="3" t="str">
        <f>VLOOKUP(Table2[[#This Row],[Tegevusala nimetus2]],Table4[[Tegevusala nimetus]:[Tegevusala koondnimetus]],2,FALSE)</f>
        <v>Haridus</v>
      </c>
      <c r="F769" t="s">
        <v>1870</v>
      </c>
      <c r="G769" t="s">
        <v>402</v>
      </c>
      <c r="H769" s="40">
        <v>150</v>
      </c>
      <c r="J769">
        <v>5500</v>
      </c>
      <c r="K769" s="3" t="str">
        <f>VLOOKUP(Table2[[#This Row],[Konto]],Table5[[Konto]:[Konto nimetus]],2,FALSE)</f>
        <v>Administreerimiskulud</v>
      </c>
      <c r="L769">
        <v>55</v>
      </c>
      <c r="M769" t="str">
        <f t="shared" si="23"/>
        <v>55</v>
      </c>
      <c r="N769" s="3" t="str">
        <f>VLOOKUP(Table2[[#This Row],[Tulu/kulu liik2]],Table5[[Tulu/kulu liik]:[Kontode koondnimetus]],4,FALSE)</f>
        <v>Muud tegevuskulud</v>
      </c>
      <c r="O769" s="3" t="str">
        <f>VLOOKUP(Table2[[#This Row],[Tulu/kulu liik2]],Table5[],6,FALSE)</f>
        <v>Majandamiskulud</v>
      </c>
      <c r="P769" s="3" t="str">
        <f>VLOOKUP(Table2[[#This Row],[Tulu/kulu liik2]],Table5[],5,FALSE)</f>
        <v>Põhitegevuse kulu</v>
      </c>
    </row>
    <row r="770" spans="1:16" x14ac:dyDescent="0.25">
      <c r="A770" t="str">
        <f t="shared" ref="A770:A833" si="24">LEFT(B770,2)</f>
        <v>09</v>
      </c>
      <c r="B770" t="s">
        <v>340</v>
      </c>
      <c r="C770" s="3" t="str">
        <f>VLOOKUP(Table2[[#This Row],[Tegevusala]],Table4[],2,FALSE)</f>
        <v xml:space="preserve"> Muuga-laekvere kool-Laekvere õppehoone</v>
      </c>
      <c r="D770" s="3" t="str">
        <f>VLOOKUP(Table2[[#This Row],[Tegevusala]],Table4[[Tegevusala kood]:[Tegevusala alanimetus]],4,FALSE)</f>
        <v>Põhihariduse otsekulud</v>
      </c>
      <c r="E770" s="3" t="str">
        <f>VLOOKUP(Table2[[#This Row],[Tegevusala nimetus2]],Table4[[Tegevusala nimetus]:[Tegevusala koondnimetus]],2,FALSE)</f>
        <v>Haridus</v>
      </c>
      <c r="F770" t="s">
        <v>1870</v>
      </c>
      <c r="G770" t="s">
        <v>403</v>
      </c>
      <c r="H770" s="40">
        <v>50</v>
      </c>
      <c r="J770">
        <v>5500</v>
      </c>
      <c r="K770" s="3" t="str">
        <f>VLOOKUP(Table2[[#This Row],[Konto]],Table5[[Konto]:[Konto nimetus]],2,FALSE)</f>
        <v>Administreerimiskulud</v>
      </c>
      <c r="L770">
        <v>55</v>
      </c>
      <c r="M770" t="str">
        <f t="shared" ref="M770:M833" si="25">LEFT(J770,2)</f>
        <v>55</v>
      </c>
      <c r="N770" s="3" t="str">
        <f>VLOOKUP(Table2[[#This Row],[Tulu/kulu liik2]],Table5[[Tulu/kulu liik]:[Kontode koondnimetus]],4,FALSE)</f>
        <v>Muud tegevuskulud</v>
      </c>
      <c r="O770" s="3" t="str">
        <f>VLOOKUP(Table2[[#This Row],[Tulu/kulu liik2]],Table5[],6,FALSE)</f>
        <v>Majandamiskulud</v>
      </c>
      <c r="P770" s="3" t="str">
        <f>VLOOKUP(Table2[[#This Row],[Tulu/kulu liik2]],Table5[],5,FALSE)</f>
        <v>Põhitegevuse kulu</v>
      </c>
    </row>
    <row r="771" spans="1:16" x14ac:dyDescent="0.25">
      <c r="A771" t="str">
        <f t="shared" si="24"/>
        <v>09</v>
      </c>
      <c r="B771" t="s">
        <v>340</v>
      </c>
      <c r="C771" s="3" t="str">
        <f>VLOOKUP(Table2[[#This Row],[Tegevusala]],Table4[],2,FALSE)</f>
        <v xml:space="preserve"> Muuga-laekvere kool-Laekvere õppehoone</v>
      </c>
      <c r="D771" s="3" t="str">
        <f>VLOOKUP(Table2[[#This Row],[Tegevusala]],Table4[[Tegevusala kood]:[Tegevusala alanimetus]],4,FALSE)</f>
        <v>Põhihariduse otsekulud</v>
      </c>
      <c r="E771" s="3" t="str">
        <f>VLOOKUP(Table2[[#This Row],[Tegevusala nimetus2]],Table4[[Tegevusala nimetus]:[Tegevusala koondnimetus]],2,FALSE)</f>
        <v>Haridus</v>
      </c>
      <c r="F771" t="s">
        <v>1870</v>
      </c>
      <c r="G771" t="s">
        <v>404</v>
      </c>
      <c r="H771" s="40">
        <v>350</v>
      </c>
      <c r="J771">
        <v>5500</v>
      </c>
      <c r="K771" s="3" t="str">
        <f>VLOOKUP(Table2[[#This Row],[Konto]],Table5[[Konto]:[Konto nimetus]],2,FALSE)</f>
        <v>Administreerimiskulud</v>
      </c>
      <c r="L771">
        <v>55</v>
      </c>
      <c r="M771" t="str">
        <f t="shared" si="25"/>
        <v>55</v>
      </c>
      <c r="N771" s="3" t="str">
        <f>VLOOKUP(Table2[[#This Row],[Tulu/kulu liik2]],Table5[[Tulu/kulu liik]:[Kontode koondnimetus]],4,FALSE)</f>
        <v>Muud tegevuskulud</v>
      </c>
      <c r="O771" s="3" t="str">
        <f>VLOOKUP(Table2[[#This Row],[Tulu/kulu liik2]],Table5[],6,FALSE)</f>
        <v>Majandamiskulud</v>
      </c>
      <c r="P771" s="3" t="str">
        <f>VLOOKUP(Table2[[#This Row],[Tulu/kulu liik2]],Table5[],5,FALSE)</f>
        <v>Põhitegevuse kulu</v>
      </c>
    </row>
    <row r="772" spans="1:16" x14ac:dyDescent="0.25">
      <c r="A772" t="str">
        <f t="shared" si="24"/>
        <v>09</v>
      </c>
      <c r="B772" t="s">
        <v>340</v>
      </c>
      <c r="C772" s="3" t="str">
        <f>VLOOKUP(Table2[[#This Row],[Tegevusala]],Table4[],2,FALSE)</f>
        <v xml:space="preserve"> Muuga-laekvere kool-Laekvere õppehoone</v>
      </c>
      <c r="D772" s="3" t="str">
        <f>VLOOKUP(Table2[[#This Row],[Tegevusala]],Table4[[Tegevusala kood]:[Tegevusala alanimetus]],4,FALSE)</f>
        <v>Põhihariduse otsekulud</v>
      </c>
      <c r="E772" s="3" t="str">
        <f>VLOOKUP(Table2[[#This Row],[Tegevusala nimetus2]],Table4[[Tegevusala nimetus]:[Tegevusala koondnimetus]],2,FALSE)</f>
        <v>Haridus</v>
      </c>
      <c r="F772" t="s">
        <v>1870</v>
      </c>
      <c r="G772" t="s">
        <v>405</v>
      </c>
      <c r="H772" s="40">
        <v>200</v>
      </c>
      <c r="J772">
        <v>5500</v>
      </c>
      <c r="K772" s="3" t="str">
        <f>VLOOKUP(Table2[[#This Row],[Konto]],Table5[[Konto]:[Konto nimetus]],2,FALSE)</f>
        <v>Administreerimiskulud</v>
      </c>
      <c r="L772">
        <v>55</v>
      </c>
      <c r="M772" t="str">
        <f t="shared" si="25"/>
        <v>55</v>
      </c>
      <c r="N772" s="3" t="str">
        <f>VLOOKUP(Table2[[#This Row],[Tulu/kulu liik2]],Table5[[Tulu/kulu liik]:[Kontode koondnimetus]],4,FALSE)</f>
        <v>Muud tegevuskulud</v>
      </c>
      <c r="O772" s="3" t="str">
        <f>VLOOKUP(Table2[[#This Row],[Tulu/kulu liik2]],Table5[],6,FALSE)</f>
        <v>Majandamiskulud</v>
      </c>
      <c r="P772" s="3" t="str">
        <f>VLOOKUP(Table2[[#This Row],[Tulu/kulu liik2]],Table5[],5,FALSE)</f>
        <v>Põhitegevuse kulu</v>
      </c>
    </row>
    <row r="773" spans="1:16" x14ac:dyDescent="0.25">
      <c r="A773" t="str">
        <f t="shared" si="24"/>
        <v>09</v>
      </c>
      <c r="B773" t="s">
        <v>340</v>
      </c>
      <c r="C773" s="3" t="str">
        <f>VLOOKUP(Table2[[#This Row],[Tegevusala]],Table4[],2,FALSE)</f>
        <v xml:space="preserve"> Muuga-laekvere kool-Laekvere õppehoone</v>
      </c>
      <c r="D773" s="3" t="str">
        <f>VLOOKUP(Table2[[#This Row],[Tegevusala]],Table4[[Tegevusala kood]:[Tegevusala alanimetus]],4,FALSE)</f>
        <v>Põhihariduse otsekulud</v>
      </c>
      <c r="E773" s="3" t="str">
        <f>VLOOKUP(Table2[[#This Row],[Tegevusala nimetus2]],Table4[[Tegevusala nimetus]:[Tegevusala koondnimetus]],2,FALSE)</f>
        <v>Haridus</v>
      </c>
      <c r="F773" t="s">
        <v>1870</v>
      </c>
      <c r="G773" t="s">
        <v>406</v>
      </c>
      <c r="H773" s="40">
        <v>150</v>
      </c>
      <c r="J773">
        <v>5500</v>
      </c>
      <c r="K773" s="3" t="str">
        <f>VLOOKUP(Table2[[#This Row],[Konto]],Table5[[Konto]:[Konto nimetus]],2,FALSE)</f>
        <v>Administreerimiskulud</v>
      </c>
      <c r="L773">
        <v>55</v>
      </c>
      <c r="M773" t="str">
        <f t="shared" si="25"/>
        <v>55</v>
      </c>
      <c r="N773" s="3" t="str">
        <f>VLOOKUP(Table2[[#This Row],[Tulu/kulu liik2]],Table5[[Tulu/kulu liik]:[Kontode koondnimetus]],4,FALSE)</f>
        <v>Muud tegevuskulud</v>
      </c>
      <c r="O773" s="3" t="str">
        <f>VLOOKUP(Table2[[#This Row],[Tulu/kulu liik2]],Table5[],6,FALSE)</f>
        <v>Majandamiskulud</v>
      </c>
      <c r="P773" s="3" t="str">
        <f>VLOOKUP(Table2[[#This Row],[Tulu/kulu liik2]],Table5[],5,FALSE)</f>
        <v>Põhitegevuse kulu</v>
      </c>
    </row>
    <row r="774" spans="1:16" x14ac:dyDescent="0.25">
      <c r="A774" t="str">
        <f t="shared" si="24"/>
        <v>09</v>
      </c>
      <c r="B774" t="s">
        <v>340</v>
      </c>
      <c r="C774" s="3" t="str">
        <f>VLOOKUP(Table2[[#This Row],[Tegevusala]],Table4[],2,FALSE)</f>
        <v xml:space="preserve"> Muuga-laekvere kool-Laekvere õppehoone</v>
      </c>
      <c r="D774" s="3" t="str">
        <f>VLOOKUP(Table2[[#This Row],[Tegevusala]],Table4[[Tegevusala kood]:[Tegevusala alanimetus]],4,FALSE)</f>
        <v>Põhihariduse otsekulud</v>
      </c>
      <c r="E774" s="3" t="str">
        <f>VLOOKUP(Table2[[#This Row],[Tegevusala nimetus2]],Table4[[Tegevusala nimetus]:[Tegevusala koondnimetus]],2,FALSE)</f>
        <v>Haridus</v>
      </c>
      <c r="F774" t="s">
        <v>1870</v>
      </c>
      <c r="G774" t="s">
        <v>407</v>
      </c>
      <c r="H774" s="40">
        <v>250</v>
      </c>
      <c r="J774">
        <v>5500</v>
      </c>
      <c r="K774" s="3" t="str">
        <f>VLOOKUP(Table2[[#This Row],[Konto]],Table5[[Konto]:[Konto nimetus]],2,FALSE)</f>
        <v>Administreerimiskulud</v>
      </c>
      <c r="L774">
        <v>55</v>
      </c>
      <c r="M774" t="str">
        <f t="shared" si="25"/>
        <v>55</v>
      </c>
      <c r="N774" s="3" t="str">
        <f>VLOOKUP(Table2[[#This Row],[Tulu/kulu liik2]],Table5[[Tulu/kulu liik]:[Kontode koondnimetus]],4,FALSE)</f>
        <v>Muud tegevuskulud</v>
      </c>
      <c r="O774" s="3" t="str">
        <f>VLOOKUP(Table2[[#This Row],[Tulu/kulu liik2]],Table5[],6,FALSE)</f>
        <v>Majandamiskulud</v>
      </c>
      <c r="P774" s="3" t="str">
        <f>VLOOKUP(Table2[[#This Row],[Tulu/kulu liik2]],Table5[],5,FALSE)</f>
        <v>Põhitegevuse kulu</v>
      </c>
    </row>
    <row r="775" spans="1:16" x14ac:dyDescent="0.25">
      <c r="A775" t="str">
        <f t="shared" si="24"/>
        <v>09</v>
      </c>
      <c r="B775" t="s">
        <v>340</v>
      </c>
      <c r="C775" s="3" t="str">
        <f>VLOOKUP(Table2[[#This Row],[Tegevusala]],Table4[],2,FALSE)</f>
        <v xml:space="preserve"> Muuga-laekvere kool-Laekvere õppehoone</v>
      </c>
      <c r="D775" s="3" t="str">
        <f>VLOOKUP(Table2[[#This Row],[Tegevusala]],Table4[[Tegevusala kood]:[Tegevusala alanimetus]],4,FALSE)</f>
        <v>Põhihariduse otsekulud</v>
      </c>
      <c r="E775" s="3" t="str">
        <f>VLOOKUP(Table2[[#This Row],[Tegevusala nimetus2]],Table4[[Tegevusala nimetus]:[Tegevusala koondnimetus]],2,FALSE)</f>
        <v>Haridus</v>
      </c>
      <c r="F775" t="s">
        <v>1870</v>
      </c>
      <c r="G775" t="s">
        <v>408</v>
      </c>
      <c r="H775" s="40">
        <v>50</v>
      </c>
      <c r="J775">
        <v>5500</v>
      </c>
      <c r="K775" s="3" t="str">
        <f>VLOOKUP(Table2[[#This Row],[Konto]],Table5[[Konto]:[Konto nimetus]],2,FALSE)</f>
        <v>Administreerimiskulud</v>
      </c>
      <c r="L775">
        <v>55</v>
      </c>
      <c r="M775" t="str">
        <f t="shared" si="25"/>
        <v>55</v>
      </c>
      <c r="N775" s="3" t="str">
        <f>VLOOKUP(Table2[[#This Row],[Tulu/kulu liik2]],Table5[[Tulu/kulu liik]:[Kontode koondnimetus]],4,FALSE)</f>
        <v>Muud tegevuskulud</v>
      </c>
      <c r="O775" s="3" t="str">
        <f>VLOOKUP(Table2[[#This Row],[Tulu/kulu liik2]],Table5[],6,FALSE)</f>
        <v>Majandamiskulud</v>
      </c>
      <c r="P775" s="3" t="str">
        <f>VLOOKUP(Table2[[#This Row],[Tulu/kulu liik2]],Table5[],5,FALSE)</f>
        <v>Põhitegevuse kulu</v>
      </c>
    </row>
    <row r="776" spans="1:16" x14ac:dyDescent="0.25">
      <c r="A776" t="str">
        <f t="shared" si="24"/>
        <v>09</v>
      </c>
      <c r="B776" t="s">
        <v>340</v>
      </c>
      <c r="C776" s="3" t="str">
        <f>VLOOKUP(Table2[[#This Row],[Tegevusala]],Table4[],2,FALSE)</f>
        <v xml:space="preserve"> Muuga-laekvere kool-Laekvere õppehoone</v>
      </c>
      <c r="D776" s="3" t="str">
        <f>VLOOKUP(Table2[[#This Row],[Tegevusala]],Table4[[Tegevusala kood]:[Tegevusala alanimetus]],4,FALSE)</f>
        <v>Põhihariduse otsekulud</v>
      </c>
      <c r="E776" s="3" t="str">
        <f>VLOOKUP(Table2[[#This Row],[Tegevusala nimetus2]],Table4[[Tegevusala nimetus]:[Tegevusala koondnimetus]],2,FALSE)</f>
        <v>Haridus</v>
      </c>
      <c r="F776" t="s">
        <v>1870</v>
      </c>
      <c r="G776" t="s">
        <v>1872</v>
      </c>
      <c r="H776" s="40">
        <v>150</v>
      </c>
      <c r="J776">
        <v>5500</v>
      </c>
      <c r="K776" s="3" t="str">
        <f>VLOOKUP(Table2[[#This Row],[Konto]],Table5[[Konto]:[Konto nimetus]],2,FALSE)</f>
        <v>Administreerimiskulud</v>
      </c>
      <c r="L776">
        <v>55</v>
      </c>
      <c r="M776" t="str">
        <f t="shared" si="25"/>
        <v>55</v>
      </c>
      <c r="N776" s="3" t="str">
        <f>VLOOKUP(Table2[[#This Row],[Tulu/kulu liik2]],Table5[[Tulu/kulu liik]:[Kontode koondnimetus]],4,FALSE)</f>
        <v>Muud tegevuskulud</v>
      </c>
      <c r="O776" s="3" t="str">
        <f>VLOOKUP(Table2[[#This Row],[Tulu/kulu liik2]],Table5[],6,FALSE)</f>
        <v>Majandamiskulud</v>
      </c>
      <c r="P776" s="3" t="str">
        <f>VLOOKUP(Table2[[#This Row],[Tulu/kulu liik2]],Table5[],5,FALSE)</f>
        <v>Põhitegevuse kulu</v>
      </c>
    </row>
    <row r="777" spans="1:16" x14ac:dyDescent="0.25">
      <c r="A777" t="str">
        <f t="shared" si="24"/>
        <v>09</v>
      </c>
      <c r="B777" t="s">
        <v>340</v>
      </c>
      <c r="C777" s="3" t="str">
        <f>VLOOKUP(Table2[[#This Row],[Tegevusala]],Table4[],2,FALSE)</f>
        <v xml:space="preserve"> Muuga-laekvere kool-Laekvere õppehoone</v>
      </c>
      <c r="D777" s="3" t="str">
        <f>VLOOKUP(Table2[[#This Row],[Tegevusala]],Table4[[Tegevusala kood]:[Tegevusala alanimetus]],4,FALSE)</f>
        <v>Põhihariduse otsekulud</v>
      </c>
      <c r="E777" s="3" t="str">
        <f>VLOOKUP(Table2[[#This Row],[Tegevusala nimetus2]],Table4[[Tegevusala nimetus]:[Tegevusala koondnimetus]],2,FALSE)</f>
        <v>Haridus</v>
      </c>
      <c r="F777" t="s">
        <v>1870</v>
      </c>
      <c r="G777" t="s">
        <v>1521</v>
      </c>
      <c r="H777" s="40">
        <f>1800-1384.56</f>
        <v>415.44000000000005</v>
      </c>
      <c r="J777">
        <v>5504</v>
      </c>
      <c r="K777" s="3" t="str">
        <f>VLOOKUP(Table2[[#This Row],[Konto]],Table5[[Konto]:[Konto nimetus]],2,FALSE)</f>
        <v>Koolituskulud</v>
      </c>
      <c r="L777">
        <v>55</v>
      </c>
      <c r="M777" t="str">
        <f t="shared" si="25"/>
        <v>55</v>
      </c>
      <c r="N777" s="3" t="str">
        <f>VLOOKUP(Table2[[#This Row],[Tulu/kulu liik2]],Table5[[Tulu/kulu liik]:[Kontode koondnimetus]],4,FALSE)</f>
        <v>Muud tegevuskulud</v>
      </c>
      <c r="O777" s="3" t="str">
        <f>VLOOKUP(Table2[[#This Row],[Tulu/kulu liik2]],Table5[],6,FALSE)</f>
        <v>Majandamiskulud</v>
      </c>
      <c r="P777" s="3" t="str">
        <f>VLOOKUP(Table2[[#This Row],[Tulu/kulu liik2]],Table5[],5,FALSE)</f>
        <v>Põhitegevuse kulu</v>
      </c>
    </row>
    <row r="778" spans="1:16" x14ac:dyDescent="0.25">
      <c r="A778" t="str">
        <f t="shared" si="24"/>
        <v>09</v>
      </c>
      <c r="B778" t="s">
        <v>340</v>
      </c>
      <c r="C778" s="3" t="str">
        <f>VLOOKUP(Table2[[#This Row],[Tegevusala]],Table4[],2,FALSE)</f>
        <v xml:space="preserve"> Muuga-laekvere kool-Laekvere õppehoone</v>
      </c>
      <c r="D778" s="3" t="str">
        <f>VLOOKUP(Table2[[#This Row],[Tegevusala]],Table4[[Tegevusala kood]:[Tegevusala alanimetus]],4,FALSE)</f>
        <v>Põhihariduse otsekulud</v>
      </c>
      <c r="E778" s="3" t="str">
        <f>VLOOKUP(Table2[[#This Row],[Tegevusala nimetus2]],Table4[[Tegevusala nimetus]:[Tegevusala koondnimetus]],2,FALSE)</f>
        <v>Haridus</v>
      </c>
      <c r="F778" t="s">
        <v>1870</v>
      </c>
      <c r="G778" t="s">
        <v>417</v>
      </c>
      <c r="H778" s="40">
        <v>2600</v>
      </c>
      <c r="J778">
        <v>5513</v>
      </c>
      <c r="K778" s="3" t="str">
        <f>VLOOKUP(Table2[[#This Row],[Konto]],Table5[[Konto]:[Konto nimetus]],2,FALSE)</f>
        <v>Sõidukite ülalpidamise kulud</v>
      </c>
      <c r="L778">
        <v>55</v>
      </c>
      <c r="M778" t="str">
        <f t="shared" si="25"/>
        <v>55</v>
      </c>
      <c r="N778" s="3" t="str">
        <f>VLOOKUP(Table2[[#This Row],[Tulu/kulu liik2]],Table5[[Tulu/kulu liik]:[Kontode koondnimetus]],4,FALSE)</f>
        <v>Muud tegevuskulud</v>
      </c>
      <c r="O778" s="3" t="str">
        <f>VLOOKUP(Table2[[#This Row],[Tulu/kulu liik2]],Table5[],6,FALSE)</f>
        <v>Majandamiskulud</v>
      </c>
      <c r="P778" s="3" t="str">
        <f>VLOOKUP(Table2[[#This Row],[Tulu/kulu liik2]],Table5[],5,FALSE)</f>
        <v>Põhitegevuse kulu</v>
      </c>
    </row>
    <row r="779" spans="1:16" x14ac:dyDescent="0.25">
      <c r="A779" s="33" t="str">
        <f t="shared" si="24"/>
        <v>09</v>
      </c>
      <c r="B779" s="33" t="s">
        <v>340</v>
      </c>
      <c r="C779" s="34" t="str">
        <f>VLOOKUP(Table2[[#This Row],[Tegevusala]],Table4[],2,FALSE)</f>
        <v xml:space="preserve"> Muuga-laekvere kool-Laekvere õppehoone</v>
      </c>
      <c r="D779" s="34" t="str">
        <f>VLOOKUP(Table2[[#This Row],[Tegevusala]],Table4[[Tegevusala kood]:[Tegevusala alanimetus]],4,FALSE)</f>
        <v>Põhihariduse otsekulud</v>
      </c>
      <c r="E779" s="34" t="str">
        <f>VLOOKUP(Table2[[#This Row],[Tegevusala nimetus2]],Table4[[Tegevusala nimetus]:[Tegevusala koondnimetus]],2,FALSE)</f>
        <v>Haridus</v>
      </c>
      <c r="F779" s="33" t="s">
        <v>1870</v>
      </c>
      <c r="G779" s="33" t="s">
        <v>418</v>
      </c>
      <c r="H779" s="47">
        <v>3500</v>
      </c>
      <c r="I779" s="35"/>
      <c r="J779" s="33">
        <v>5513</v>
      </c>
      <c r="K779" s="34" t="str">
        <f>VLOOKUP(Table2[[#This Row],[Konto]],Table5[[Konto]:[Konto nimetus]],2,FALSE)</f>
        <v>Sõidukite ülalpidamise kulud</v>
      </c>
      <c r="L779" s="33">
        <v>55</v>
      </c>
      <c r="M779" s="33" t="str">
        <f t="shared" si="25"/>
        <v>55</v>
      </c>
      <c r="N779" s="34" t="str">
        <f>VLOOKUP(Table2[[#This Row],[Tulu/kulu liik2]],Table5[[Tulu/kulu liik]:[Kontode koondnimetus]],4,FALSE)</f>
        <v>Muud tegevuskulud</v>
      </c>
      <c r="O779" s="34" t="str">
        <f>VLOOKUP(Table2[[#This Row],[Tulu/kulu liik2]],Table5[],6,FALSE)</f>
        <v>Majandamiskulud</v>
      </c>
      <c r="P779" s="34" t="str">
        <f>VLOOKUP(Table2[[#This Row],[Tulu/kulu liik2]],Table5[],5,FALSE)</f>
        <v>Põhitegevuse kulu</v>
      </c>
    </row>
    <row r="780" spans="1:16" x14ac:dyDescent="0.25">
      <c r="A780" t="str">
        <f t="shared" si="24"/>
        <v>09</v>
      </c>
      <c r="B780" t="s">
        <v>340</v>
      </c>
      <c r="C780" s="3" t="str">
        <f>VLOOKUP(Table2[[#This Row],[Tegevusala]],Table4[],2,FALSE)</f>
        <v xml:space="preserve"> Muuga-laekvere kool-Laekvere õppehoone</v>
      </c>
      <c r="D780" s="3" t="str">
        <f>VLOOKUP(Table2[[#This Row],[Tegevusala]],Table4[[Tegevusala kood]:[Tegevusala alanimetus]],4,FALSE)</f>
        <v>Põhihariduse otsekulud</v>
      </c>
      <c r="E780" s="3" t="str">
        <f>VLOOKUP(Table2[[#This Row],[Tegevusala nimetus2]],Table4[[Tegevusala nimetus]:[Tegevusala koondnimetus]],2,FALSE)</f>
        <v>Haridus</v>
      </c>
      <c r="F780" t="s">
        <v>1870</v>
      </c>
      <c r="G780" t="s">
        <v>423</v>
      </c>
      <c r="H780" s="40">
        <v>3000</v>
      </c>
      <c r="J780">
        <v>5515</v>
      </c>
      <c r="K780" s="3" t="str">
        <f>VLOOKUP(Table2[[#This Row],[Konto]],Table5[[Konto]:[Konto nimetus]],2,FALSE)</f>
        <v>Inventari kulud, v.a infotehnoloogia ja kaitseotstarbelised kulud</v>
      </c>
      <c r="L780">
        <v>55</v>
      </c>
      <c r="M780" t="str">
        <f t="shared" si="25"/>
        <v>55</v>
      </c>
      <c r="N780" s="3" t="str">
        <f>VLOOKUP(Table2[[#This Row],[Tulu/kulu liik2]],Table5[[Tulu/kulu liik]:[Kontode koondnimetus]],4,FALSE)</f>
        <v>Muud tegevuskulud</v>
      </c>
      <c r="O780" s="3" t="str">
        <f>VLOOKUP(Table2[[#This Row],[Tulu/kulu liik2]],Table5[],6,FALSE)</f>
        <v>Majandamiskulud</v>
      </c>
      <c r="P780" s="3" t="str">
        <f>VLOOKUP(Table2[[#This Row],[Tulu/kulu liik2]],Table5[],5,FALSE)</f>
        <v>Põhitegevuse kulu</v>
      </c>
    </row>
    <row r="781" spans="1:16" x14ac:dyDescent="0.25">
      <c r="A781" t="str">
        <f t="shared" si="24"/>
        <v>09</v>
      </c>
      <c r="B781" t="s">
        <v>340</v>
      </c>
      <c r="C781" s="3" t="str">
        <f>VLOOKUP(Table2[[#This Row],[Tegevusala]],Table4[],2,FALSE)</f>
        <v xml:space="preserve"> Muuga-laekvere kool-Laekvere õppehoone</v>
      </c>
      <c r="D781" s="3" t="str">
        <f>VLOOKUP(Table2[[#This Row],[Tegevusala]],Table4[[Tegevusala kood]:[Tegevusala alanimetus]],4,FALSE)</f>
        <v>Põhihariduse otsekulud</v>
      </c>
      <c r="E781" s="3" t="str">
        <f>VLOOKUP(Table2[[#This Row],[Tegevusala nimetus2]],Table4[[Tegevusala nimetus]:[Tegevusala koondnimetus]],2,FALSE)</f>
        <v>Haridus</v>
      </c>
      <c r="F781" t="s">
        <v>1870</v>
      </c>
      <c r="G781" t="s">
        <v>1874</v>
      </c>
      <c r="H781" s="40">
        <v>500</v>
      </c>
      <c r="J781">
        <v>5515</v>
      </c>
      <c r="K781" s="3" t="str">
        <f>VLOOKUP(Table2[[#This Row],[Konto]],Table5[[Konto]:[Konto nimetus]],2,FALSE)</f>
        <v>Inventari kulud, v.a infotehnoloogia ja kaitseotstarbelised kulud</v>
      </c>
      <c r="L781">
        <v>55</v>
      </c>
      <c r="M781" t="str">
        <f t="shared" si="25"/>
        <v>55</v>
      </c>
      <c r="N781" s="3" t="str">
        <f>VLOOKUP(Table2[[#This Row],[Tulu/kulu liik2]],Table5[[Tulu/kulu liik]:[Kontode koondnimetus]],4,FALSE)</f>
        <v>Muud tegevuskulud</v>
      </c>
      <c r="O781" s="3" t="str">
        <f>VLOOKUP(Table2[[#This Row],[Tulu/kulu liik2]],Table5[],6,FALSE)</f>
        <v>Majandamiskulud</v>
      </c>
      <c r="P781" s="3" t="str">
        <f>VLOOKUP(Table2[[#This Row],[Tulu/kulu liik2]],Table5[],5,FALSE)</f>
        <v>Põhitegevuse kulu</v>
      </c>
    </row>
    <row r="782" spans="1:16" x14ac:dyDescent="0.25">
      <c r="A782" t="str">
        <f t="shared" si="24"/>
        <v>09</v>
      </c>
      <c r="B782" t="s">
        <v>340</v>
      </c>
      <c r="C782" s="3" t="str">
        <f>VLOOKUP(Table2[[#This Row],[Tegevusala]],Table4[],2,FALSE)</f>
        <v xml:space="preserve"> Muuga-laekvere kool-Laekvere õppehoone</v>
      </c>
      <c r="D782" s="3" t="str">
        <f>VLOOKUP(Table2[[#This Row],[Tegevusala]],Table4[[Tegevusala kood]:[Tegevusala alanimetus]],4,FALSE)</f>
        <v>Põhihariduse otsekulud</v>
      </c>
      <c r="E782" s="3" t="str">
        <f>VLOOKUP(Table2[[#This Row],[Tegevusala nimetus2]],Table4[[Tegevusala nimetus]:[Tegevusala koondnimetus]],2,FALSE)</f>
        <v>Haridus</v>
      </c>
      <c r="F782" t="s">
        <v>1870</v>
      </c>
      <c r="G782" t="s">
        <v>1863</v>
      </c>
      <c r="H782" s="40">
        <v>13965</v>
      </c>
      <c r="I782" s="2" t="s">
        <v>2203</v>
      </c>
      <c r="J782">
        <v>5521</v>
      </c>
      <c r="K782" s="3" t="str">
        <f>VLOOKUP(Table2[[#This Row],[Konto]],Table5[[Konto]:[Konto nimetus]],2,FALSE)</f>
        <v>Toiduained ja toitlustusteenused</v>
      </c>
      <c r="L782">
        <v>55</v>
      </c>
      <c r="M782" t="str">
        <f t="shared" si="25"/>
        <v>55</v>
      </c>
      <c r="N782" s="3" t="str">
        <f>VLOOKUP(Table2[[#This Row],[Tulu/kulu liik2]],Table5[[Tulu/kulu liik]:[Kontode koondnimetus]],4,FALSE)</f>
        <v>Muud tegevuskulud</v>
      </c>
      <c r="O782" s="3" t="str">
        <f>VLOOKUP(Table2[[#This Row],[Tulu/kulu liik2]],Table5[],6,FALSE)</f>
        <v>Majandamiskulud</v>
      </c>
      <c r="P782" s="3" t="str">
        <f>VLOOKUP(Table2[[#This Row],[Tulu/kulu liik2]],Table5[],5,FALSE)</f>
        <v>Põhitegevuse kulu</v>
      </c>
    </row>
    <row r="783" spans="1:16" x14ac:dyDescent="0.25">
      <c r="A783" t="str">
        <f t="shared" si="24"/>
        <v>09</v>
      </c>
      <c r="B783" t="s">
        <v>340</v>
      </c>
      <c r="C783" s="3" t="str">
        <f>VLOOKUP(Table2[[#This Row],[Tegevusala]],Table4[],2,FALSE)</f>
        <v xml:space="preserve"> Muuga-laekvere kool-Laekvere õppehoone</v>
      </c>
      <c r="D783" s="3" t="str">
        <f>VLOOKUP(Table2[[#This Row],[Tegevusala]],Table4[[Tegevusala kood]:[Tegevusala alanimetus]],4,FALSE)</f>
        <v>Põhihariduse otsekulud</v>
      </c>
      <c r="E783" s="3" t="str">
        <f>VLOOKUP(Table2[[#This Row],[Tegevusala nimetus2]],Table4[[Tegevusala nimetus]:[Tegevusala koondnimetus]],2,FALSE)</f>
        <v>Haridus</v>
      </c>
      <c r="F783" t="s">
        <v>1870</v>
      </c>
      <c r="G783" t="s">
        <v>424</v>
      </c>
      <c r="H783" s="40">
        <v>100</v>
      </c>
      <c r="J783">
        <v>5522</v>
      </c>
      <c r="K783" s="3" t="str">
        <f>VLOOKUP(Table2[[#This Row],[Konto]],Table5[[Konto]:[Konto nimetus]],2,FALSE)</f>
        <v>Meditsiinikulud ja hügieenitarbed</v>
      </c>
      <c r="L783">
        <v>55</v>
      </c>
      <c r="M783" t="str">
        <f t="shared" si="25"/>
        <v>55</v>
      </c>
      <c r="N783" s="3" t="str">
        <f>VLOOKUP(Table2[[#This Row],[Tulu/kulu liik2]],Table5[[Tulu/kulu liik]:[Kontode koondnimetus]],4,FALSE)</f>
        <v>Muud tegevuskulud</v>
      </c>
      <c r="O783" s="3" t="str">
        <f>VLOOKUP(Table2[[#This Row],[Tulu/kulu liik2]],Table5[],6,FALSE)</f>
        <v>Majandamiskulud</v>
      </c>
      <c r="P783" s="3" t="str">
        <f>VLOOKUP(Table2[[#This Row],[Tulu/kulu liik2]],Table5[],5,FALSE)</f>
        <v>Põhitegevuse kulu</v>
      </c>
    </row>
    <row r="784" spans="1:16" x14ac:dyDescent="0.25">
      <c r="A784" t="str">
        <f t="shared" si="24"/>
        <v>09</v>
      </c>
      <c r="B784" t="s">
        <v>340</v>
      </c>
      <c r="C784" s="3" t="str">
        <f>VLOOKUP(Table2[[#This Row],[Tegevusala]],Table4[],2,FALSE)</f>
        <v xml:space="preserve"> Muuga-laekvere kool-Laekvere õppehoone</v>
      </c>
      <c r="D784" s="3" t="str">
        <f>VLOOKUP(Table2[[#This Row],[Tegevusala]],Table4[[Tegevusala kood]:[Tegevusala alanimetus]],4,FALSE)</f>
        <v>Põhihariduse otsekulud</v>
      </c>
      <c r="E784" s="3" t="str">
        <f>VLOOKUP(Table2[[#This Row],[Tegevusala nimetus2]],Table4[[Tegevusala nimetus]:[Tegevusala koondnimetus]],2,FALSE)</f>
        <v>Haridus</v>
      </c>
      <c r="F784" t="s">
        <v>1870</v>
      </c>
      <c r="G784" t="s">
        <v>425</v>
      </c>
      <c r="H784" s="40">
        <v>600</v>
      </c>
      <c r="J784">
        <v>5522</v>
      </c>
      <c r="K784" s="3" t="str">
        <f>VLOOKUP(Table2[[#This Row],[Konto]],Table5[[Konto]:[Konto nimetus]],2,FALSE)</f>
        <v>Meditsiinikulud ja hügieenitarbed</v>
      </c>
      <c r="L784">
        <v>55</v>
      </c>
      <c r="M784" t="str">
        <f t="shared" si="25"/>
        <v>55</v>
      </c>
      <c r="N784" s="3" t="str">
        <f>VLOOKUP(Table2[[#This Row],[Tulu/kulu liik2]],Table5[[Tulu/kulu liik]:[Kontode koondnimetus]],4,FALSE)</f>
        <v>Muud tegevuskulud</v>
      </c>
      <c r="O784" s="3" t="str">
        <f>VLOOKUP(Table2[[#This Row],[Tulu/kulu liik2]],Table5[],6,FALSE)</f>
        <v>Majandamiskulud</v>
      </c>
      <c r="P784" s="3" t="str">
        <f>VLOOKUP(Table2[[#This Row],[Tulu/kulu liik2]],Table5[],5,FALSE)</f>
        <v>Põhitegevuse kulu</v>
      </c>
    </row>
    <row r="785" spans="1:16" x14ac:dyDescent="0.25">
      <c r="A785" t="str">
        <f t="shared" si="24"/>
        <v>09</v>
      </c>
      <c r="B785" t="s">
        <v>340</v>
      </c>
      <c r="C785" s="3" t="str">
        <f>VLOOKUP(Table2[[#This Row],[Tegevusala]],Table4[],2,FALSE)</f>
        <v xml:space="preserve"> Muuga-laekvere kool-Laekvere õppehoone</v>
      </c>
      <c r="D785" s="3" t="str">
        <f>VLOOKUP(Table2[[#This Row],[Tegevusala]],Table4[[Tegevusala kood]:[Tegevusala alanimetus]],4,FALSE)</f>
        <v>Põhihariduse otsekulud</v>
      </c>
      <c r="E785" s="3" t="str">
        <f>VLOOKUP(Table2[[#This Row],[Tegevusala nimetus2]],Table4[[Tegevusala nimetus]:[Tegevusala koondnimetus]],2,FALSE)</f>
        <v>Haridus</v>
      </c>
      <c r="F785" t="s">
        <v>1870</v>
      </c>
      <c r="G785" t="s">
        <v>426</v>
      </c>
      <c r="H785" s="40">
        <v>50</v>
      </c>
      <c r="J785">
        <v>5522</v>
      </c>
      <c r="K785" s="3" t="str">
        <f>VLOOKUP(Table2[[#This Row],[Konto]],Table5[[Konto]:[Konto nimetus]],2,FALSE)</f>
        <v>Meditsiinikulud ja hügieenitarbed</v>
      </c>
      <c r="L785">
        <v>55</v>
      </c>
      <c r="M785" t="str">
        <f t="shared" si="25"/>
        <v>55</v>
      </c>
      <c r="N785" s="3" t="str">
        <f>VLOOKUP(Table2[[#This Row],[Tulu/kulu liik2]],Table5[[Tulu/kulu liik]:[Kontode koondnimetus]],4,FALSE)</f>
        <v>Muud tegevuskulud</v>
      </c>
      <c r="O785" s="3" t="str">
        <f>VLOOKUP(Table2[[#This Row],[Tulu/kulu liik2]],Table5[],6,FALSE)</f>
        <v>Majandamiskulud</v>
      </c>
      <c r="P785" s="3" t="str">
        <f>VLOOKUP(Table2[[#This Row],[Tulu/kulu liik2]],Table5[],5,FALSE)</f>
        <v>Põhitegevuse kulu</v>
      </c>
    </row>
    <row r="786" spans="1:16" x14ac:dyDescent="0.25">
      <c r="A786" t="str">
        <f t="shared" si="24"/>
        <v>09</v>
      </c>
      <c r="B786" t="s">
        <v>340</v>
      </c>
      <c r="C786" s="3" t="str">
        <f>VLOOKUP(Table2[[#This Row],[Tegevusala]],Table4[],2,FALSE)</f>
        <v xml:space="preserve"> Muuga-laekvere kool-Laekvere õppehoone</v>
      </c>
      <c r="D786" s="3" t="str">
        <f>VLOOKUP(Table2[[#This Row],[Tegevusala]],Table4[[Tegevusala kood]:[Tegevusala alanimetus]],4,FALSE)</f>
        <v>Põhihariduse otsekulud</v>
      </c>
      <c r="E786" s="3" t="str">
        <f>VLOOKUP(Table2[[#This Row],[Tegevusala nimetus2]],Table4[[Tegevusala nimetus]:[Tegevusala koondnimetus]],2,FALSE)</f>
        <v>Haridus</v>
      </c>
      <c r="F786" t="s">
        <v>1870</v>
      </c>
      <c r="G786" t="s">
        <v>427</v>
      </c>
      <c r="H786" s="40">
        <v>300</v>
      </c>
      <c r="J786">
        <v>5522</v>
      </c>
      <c r="K786" s="3" t="str">
        <f>VLOOKUP(Table2[[#This Row],[Konto]],Table5[[Konto]:[Konto nimetus]],2,FALSE)</f>
        <v>Meditsiinikulud ja hügieenitarbed</v>
      </c>
      <c r="L786">
        <v>55</v>
      </c>
      <c r="M786" t="str">
        <f t="shared" si="25"/>
        <v>55</v>
      </c>
      <c r="N786" s="3" t="str">
        <f>VLOOKUP(Table2[[#This Row],[Tulu/kulu liik2]],Table5[[Tulu/kulu liik]:[Kontode koondnimetus]],4,FALSE)</f>
        <v>Muud tegevuskulud</v>
      </c>
      <c r="O786" s="3" t="str">
        <f>VLOOKUP(Table2[[#This Row],[Tulu/kulu liik2]],Table5[],6,FALSE)</f>
        <v>Majandamiskulud</v>
      </c>
      <c r="P786" s="3" t="str">
        <f>VLOOKUP(Table2[[#This Row],[Tulu/kulu liik2]],Table5[],5,FALSE)</f>
        <v>Põhitegevuse kulu</v>
      </c>
    </row>
    <row r="787" spans="1:16" x14ac:dyDescent="0.25">
      <c r="A787" t="str">
        <f t="shared" si="24"/>
        <v>09</v>
      </c>
      <c r="B787" t="s">
        <v>340</v>
      </c>
      <c r="C787" s="3" t="str">
        <f>VLOOKUP(Table2[[#This Row],[Tegevusala]],Table4[],2,FALSE)</f>
        <v xml:space="preserve"> Muuga-laekvere kool-Laekvere õppehoone</v>
      </c>
      <c r="D787" s="3" t="str">
        <f>VLOOKUP(Table2[[#This Row],[Tegevusala]],Table4[[Tegevusala kood]:[Tegevusala alanimetus]],4,FALSE)</f>
        <v>Põhihariduse otsekulud</v>
      </c>
      <c r="E787" s="3" t="str">
        <f>VLOOKUP(Table2[[#This Row],[Tegevusala nimetus2]],Table4[[Tegevusala nimetus]:[Tegevusala koondnimetus]],2,FALSE)</f>
        <v>Haridus</v>
      </c>
      <c r="F787" t="s">
        <v>1870</v>
      </c>
      <c r="G787" t="s">
        <v>428</v>
      </c>
      <c r="H787" s="40">
        <f>7100-4311.42</f>
        <v>2788.58</v>
      </c>
      <c r="J787">
        <v>5524</v>
      </c>
      <c r="K787" s="3" t="str">
        <f>VLOOKUP(Table2[[#This Row],[Konto]],Table5[[Konto]:[Konto nimetus]],2,FALSE)</f>
        <v>Õppevahendid</v>
      </c>
      <c r="L787">
        <v>55</v>
      </c>
      <c r="M787" t="str">
        <f t="shared" si="25"/>
        <v>55</v>
      </c>
      <c r="N787" s="3" t="str">
        <f>VLOOKUP(Table2[[#This Row],[Tulu/kulu liik2]],Table5[[Tulu/kulu liik]:[Kontode koondnimetus]],4,FALSE)</f>
        <v>Muud tegevuskulud</v>
      </c>
      <c r="O787" s="3" t="str">
        <f>VLOOKUP(Table2[[#This Row],[Tulu/kulu liik2]],Table5[],6,FALSE)</f>
        <v>Majandamiskulud</v>
      </c>
      <c r="P787" s="3" t="str">
        <f>VLOOKUP(Table2[[#This Row],[Tulu/kulu liik2]],Table5[],5,FALSE)</f>
        <v>Põhitegevuse kulu</v>
      </c>
    </row>
    <row r="788" spans="1:16" x14ac:dyDescent="0.25">
      <c r="A788" t="str">
        <f t="shared" si="24"/>
        <v>09</v>
      </c>
      <c r="B788" t="s">
        <v>340</v>
      </c>
      <c r="C788" s="3" t="str">
        <f>VLOOKUP(Table2[[#This Row],[Tegevusala]],Table4[],2,FALSE)</f>
        <v xml:space="preserve"> Muuga-laekvere kool-Laekvere õppehoone</v>
      </c>
      <c r="D788" s="3" t="str">
        <f>VLOOKUP(Table2[[#This Row],[Tegevusala]],Table4[[Tegevusala kood]:[Tegevusala alanimetus]],4,FALSE)</f>
        <v>Põhihariduse otsekulud</v>
      </c>
      <c r="E788" s="3" t="str">
        <f>VLOOKUP(Table2[[#This Row],[Tegevusala nimetus2]],Table4[[Tegevusala nimetus]:[Tegevusala koondnimetus]],2,FALSE)</f>
        <v>Haridus</v>
      </c>
      <c r="F788" t="s">
        <v>1870</v>
      </c>
      <c r="G788" t="s">
        <v>429</v>
      </c>
      <c r="H788" s="40">
        <v>1400</v>
      </c>
      <c r="J788">
        <v>5524</v>
      </c>
      <c r="K788" s="3" t="str">
        <f>VLOOKUP(Table2[[#This Row],[Konto]],Table5[[Konto]:[Konto nimetus]],2,FALSE)</f>
        <v>Õppevahendid</v>
      </c>
      <c r="L788">
        <v>55</v>
      </c>
      <c r="M788" t="str">
        <f t="shared" si="25"/>
        <v>55</v>
      </c>
      <c r="N788" s="3" t="str">
        <f>VLOOKUP(Table2[[#This Row],[Tulu/kulu liik2]],Table5[[Tulu/kulu liik]:[Kontode koondnimetus]],4,FALSE)</f>
        <v>Muud tegevuskulud</v>
      </c>
      <c r="O788" s="3" t="str">
        <f>VLOOKUP(Table2[[#This Row],[Tulu/kulu liik2]],Table5[],6,FALSE)</f>
        <v>Majandamiskulud</v>
      </c>
      <c r="P788" s="3" t="str">
        <f>VLOOKUP(Table2[[#This Row],[Tulu/kulu liik2]],Table5[],5,FALSE)</f>
        <v>Põhitegevuse kulu</v>
      </c>
    </row>
    <row r="789" spans="1:16" x14ac:dyDescent="0.25">
      <c r="A789" t="str">
        <f t="shared" si="24"/>
        <v>09</v>
      </c>
      <c r="B789" t="s">
        <v>340</v>
      </c>
      <c r="C789" s="3" t="str">
        <f>VLOOKUP(Table2[[#This Row],[Tegevusala]],Table4[],2,FALSE)</f>
        <v xml:space="preserve"> Muuga-laekvere kool-Laekvere õppehoone</v>
      </c>
      <c r="D789" s="3" t="str">
        <f>VLOOKUP(Table2[[#This Row],[Tegevusala]],Table4[[Tegevusala kood]:[Tegevusala alanimetus]],4,FALSE)</f>
        <v>Põhihariduse otsekulud</v>
      </c>
      <c r="E789" s="3" t="str">
        <f>VLOOKUP(Table2[[#This Row],[Tegevusala nimetus2]],Table4[[Tegevusala nimetus]:[Tegevusala koondnimetus]],2,FALSE)</f>
        <v>Haridus</v>
      </c>
      <c r="F789" t="s">
        <v>1870</v>
      </c>
      <c r="G789" t="s">
        <v>430</v>
      </c>
      <c r="H789" s="40">
        <v>0</v>
      </c>
      <c r="J789">
        <v>5524</v>
      </c>
      <c r="K789" s="3" t="str">
        <f>VLOOKUP(Table2[[#This Row],[Konto]],Table5[[Konto]:[Konto nimetus]],2,FALSE)</f>
        <v>Õppevahendid</v>
      </c>
      <c r="L789">
        <v>55</v>
      </c>
      <c r="M789" t="str">
        <f t="shared" si="25"/>
        <v>55</v>
      </c>
      <c r="N789" s="3" t="str">
        <f>VLOOKUP(Table2[[#This Row],[Tulu/kulu liik2]],Table5[[Tulu/kulu liik]:[Kontode koondnimetus]],4,FALSE)</f>
        <v>Muud tegevuskulud</v>
      </c>
      <c r="O789" s="3" t="str">
        <f>VLOOKUP(Table2[[#This Row],[Tulu/kulu liik2]],Table5[],6,FALSE)</f>
        <v>Majandamiskulud</v>
      </c>
      <c r="P789" s="3" t="str">
        <f>VLOOKUP(Table2[[#This Row],[Tulu/kulu liik2]],Table5[],5,FALSE)</f>
        <v>Põhitegevuse kulu</v>
      </c>
    </row>
    <row r="790" spans="1:16" x14ac:dyDescent="0.25">
      <c r="A790" t="str">
        <f t="shared" si="24"/>
        <v>09</v>
      </c>
      <c r="B790" t="s">
        <v>340</v>
      </c>
      <c r="C790" s="3" t="str">
        <f>VLOOKUP(Table2[[#This Row],[Tegevusala]],Table4[],2,FALSE)</f>
        <v xml:space="preserve"> Muuga-laekvere kool-Laekvere õppehoone</v>
      </c>
      <c r="D790" s="3" t="str">
        <f>VLOOKUP(Table2[[#This Row],[Tegevusala]],Table4[[Tegevusala kood]:[Tegevusala alanimetus]],4,FALSE)</f>
        <v>Põhihariduse otsekulud</v>
      </c>
      <c r="E790" s="3" t="str">
        <f>VLOOKUP(Table2[[#This Row],[Tegevusala nimetus2]],Table4[[Tegevusala nimetus]:[Tegevusala koondnimetus]],2,FALSE)</f>
        <v>Haridus</v>
      </c>
      <c r="F790" t="s">
        <v>1870</v>
      </c>
      <c r="G790" t="s">
        <v>431</v>
      </c>
      <c r="H790" s="40">
        <v>600</v>
      </c>
      <c r="J790">
        <v>5524</v>
      </c>
      <c r="K790" s="3" t="str">
        <f>VLOOKUP(Table2[[#This Row],[Konto]],Table5[[Konto]:[Konto nimetus]],2,FALSE)</f>
        <v>Õppevahendid</v>
      </c>
      <c r="L790">
        <v>55</v>
      </c>
      <c r="M790" t="str">
        <f t="shared" si="25"/>
        <v>55</v>
      </c>
      <c r="N790" s="3" t="str">
        <f>VLOOKUP(Table2[[#This Row],[Tulu/kulu liik2]],Table5[[Tulu/kulu liik]:[Kontode koondnimetus]],4,FALSE)</f>
        <v>Muud tegevuskulud</v>
      </c>
      <c r="O790" s="3" t="str">
        <f>VLOOKUP(Table2[[#This Row],[Tulu/kulu liik2]],Table5[],6,FALSE)</f>
        <v>Majandamiskulud</v>
      </c>
      <c r="P790" s="3" t="str">
        <f>VLOOKUP(Table2[[#This Row],[Tulu/kulu liik2]],Table5[],5,FALSE)</f>
        <v>Põhitegevuse kulu</v>
      </c>
    </row>
    <row r="791" spans="1:16" x14ac:dyDescent="0.25">
      <c r="A791" t="str">
        <f t="shared" si="24"/>
        <v>09</v>
      </c>
      <c r="B791" t="s">
        <v>340</v>
      </c>
      <c r="C791" s="3" t="str">
        <f>VLOOKUP(Table2[[#This Row],[Tegevusala]],Table4[],2,FALSE)</f>
        <v xml:space="preserve"> Muuga-laekvere kool-Laekvere õppehoone</v>
      </c>
      <c r="D791" s="3" t="str">
        <f>VLOOKUP(Table2[[#This Row],[Tegevusala]],Table4[[Tegevusala kood]:[Tegevusala alanimetus]],4,FALSE)</f>
        <v>Põhihariduse otsekulud</v>
      </c>
      <c r="E791" s="3" t="str">
        <f>VLOOKUP(Table2[[#This Row],[Tegevusala nimetus2]],Table4[[Tegevusala nimetus]:[Tegevusala koondnimetus]],2,FALSE)</f>
        <v>Haridus</v>
      </c>
      <c r="F791" t="s">
        <v>1870</v>
      </c>
      <c r="G791" t="s">
        <v>432</v>
      </c>
      <c r="H791" s="40">
        <v>4000</v>
      </c>
      <c r="J791">
        <v>5524</v>
      </c>
      <c r="K791" s="3" t="str">
        <f>VLOOKUP(Table2[[#This Row],[Konto]],Table5[[Konto]:[Konto nimetus]],2,FALSE)</f>
        <v>Õppevahendid</v>
      </c>
      <c r="L791">
        <v>55</v>
      </c>
      <c r="M791" t="str">
        <f t="shared" si="25"/>
        <v>55</v>
      </c>
      <c r="N791" s="3" t="str">
        <f>VLOOKUP(Table2[[#This Row],[Tulu/kulu liik2]],Table5[[Tulu/kulu liik]:[Kontode koondnimetus]],4,FALSE)</f>
        <v>Muud tegevuskulud</v>
      </c>
      <c r="O791" s="3" t="str">
        <f>VLOOKUP(Table2[[#This Row],[Tulu/kulu liik2]],Table5[],6,FALSE)</f>
        <v>Majandamiskulud</v>
      </c>
      <c r="P791" s="3" t="str">
        <f>VLOOKUP(Table2[[#This Row],[Tulu/kulu liik2]],Table5[],5,FALSE)</f>
        <v>Põhitegevuse kulu</v>
      </c>
    </row>
    <row r="792" spans="1:16" x14ac:dyDescent="0.25">
      <c r="A792" s="33" t="str">
        <f t="shared" si="24"/>
        <v>09</v>
      </c>
      <c r="B792" s="33" t="s">
        <v>340</v>
      </c>
      <c r="C792" s="34" t="str">
        <f>VLOOKUP(Table2[[#This Row],[Tegevusala]],Table4[],2,FALSE)</f>
        <v xml:space="preserve"> Muuga-laekvere kool-Laekvere õppehoone</v>
      </c>
      <c r="D792" s="34" t="str">
        <f>VLOOKUP(Table2[[#This Row],[Tegevusala]],Table4[[Tegevusala kood]:[Tegevusala alanimetus]],4,FALSE)</f>
        <v>Põhihariduse otsekulud</v>
      </c>
      <c r="E792" s="34" t="str">
        <f>VLOOKUP(Table2[[#This Row],[Tegevusala nimetus2]],Table4[[Tegevusala nimetus]:[Tegevusala koondnimetus]],2,FALSE)</f>
        <v>Haridus</v>
      </c>
      <c r="F792" s="33" t="s">
        <v>1870</v>
      </c>
      <c r="G792" s="33" t="s">
        <v>1893</v>
      </c>
      <c r="H792" s="47">
        <v>900</v>
      </c>
      <c r="I792" s="35"/>
      <c r="J792" s="33">
        <v>5524</v>
      </c>
      <c r="K792" s="34" t="str">
        <f>VLOOKUP(Table2[[#This Row],[Konto]],Table5[[Konto]:[Konto nimetus]],2,FALSE)</f>
        <v>Õppevahendid</v>
      </c>
      <c r="L792" s="33">
        <v>55</v>
      </c>
      <c r="M792" s="33" t="str">
        <f t="shared" si="25"/>
        <v>55</v>
      </c>
      <c r="N792" s="34" t="str">
        <f>VLOOKUP(Table2[[#This Row],[Tulu/kulu liik2]],Table5[[Tulu/kulu liik]:[Kontode koondnimetus]],4,FALSE)</f>
        <v>Muud tegevuskulud</v>
      </c>
      <c r="O792" s="34" t="str">
        <f>VLOOKUP(Table2[[#This Row],[Tulu/kulu liik2]],Table5[],6,FALSE)</f>
        <v>Majandamiskulud</v>
      </c>
      <c r="P792" s="34" t="str">
        <f>VLOOKUP(Table2[[#This Row],[Tulu/kulu liik2]],Table5[],5,FALSE)</f>
        <v>Põhitegevuse kulu</v>
      </c>
    </row>
    <row r="793" spans="1:16" x14ac:dyDescent="0.25">
      <c r="A793" t="str">
        <f t="shared" si="24"/>
        <v>09</v>
      </c>
      <c r="B793" t="s">
        <v>340</v>
      </c>
      <c r="C793" s="3" t="str">
        <f>VLOOKUP(Table2[[#This Row],[Tegevusala]],Table4[],2,FALSE)</f>
        <v xml:space="preserve"> Muuga-laekvere kool-Laekvere õppehoone</v>
      </c>
      <c r="D793" s="3" t="str">
        <f>VLOOKUP(Table2[[#This Row],[Tegevusala]],Table4[[Tegevusala kood]:[Tegevusala alanimetus]],4,FALSE)</f>
        <v>Põhihariduse otsekulud</v>
      </c>
      <c r="E793" s="3" t="str">
        <f>VLOOKUP(Table2[[#This Row],[Tegevusala nimetus2]],Table4[[Tegevusala nimetus]:[Tegevusala koondnimetus]],2,FALSE)</f>
        <v>Haridus</v>
      </c>
      <c r="F793" t="s">
        <v>1870</v>
      </c>
      <c r="G793" t="s">
        <v>433</v>
      </c>
      <c r="H793" s="40">
        <v>150</v>
      </c>
      <c r="J793">
        <v>5525</v>
      </c>
      <c r="K793" s="3" t="str">
        <f>VLOOKUP(Table2[[#This Row],[Konto]],Table5[[Konto]:[Konto nimetus]],2,FALSE)</f>
        <v>Kommunikatsiooni-, kultuuri- ja vaba aja sisustamise kulud</v>
      </c>
      <c r="L793">
        <v>55</v>
      </c>
      <c r="M793" t="str">
        <f t="shared" si="25"/>
        <v>55</v>
      </c>
      <c r="N793" s="3" t="str">
        <f>VLOOKUP(Table2[[#This Row],[Tulu/kulu liik2]],Table5[[Tulu/kulu liik]:[Kontode koondnimetus]],4,FALSE)</f>
        <v>Muud tegevuskulud</v>
      </c>
      <c r="O793" s="3" t="str">
        <f>VLOOKUP(Table2[[#This Row],[Tulu/kulu liik2]],Table5[],6,FALSE)</f>
        <v>Majandamiskulud</v>
      </c>
      <c r="P793" s="3" t="str">
        <f>VLOOKUP(Table2[[#This Row],[Tulu/kulu liik2]],Table5[],5,FALSE)</f>
        <v>Põhitegevuse kulu</v>
      </c>
    </row>
    <row r="794" spans="1:16" x14ac:dyDescent="0.25">
      <c r="A794" t="str">
        <f t="shared" si="24"/>
        <v>09</v>
      </c>
      <c r="B794" t="s">
        <v>340</v>
      </c>
      <c r="C794" s="3" t="str">
        <f>VLOOKUP(Table2[[#This Row],[Tegevusala]],Table4[],2,FALSE)</f>
        <v xml:space="preserve"> Muuga-laekvere kool-Laekvere õppehoone</v>
      </c>
      <c r="D794" s="3" t="str">
        <f>VLOOKUP(Table2[[#This Row],[Tegevusala]],Table4[[Tegevusala kood]:[Tegevusala alanimetus]],4,FALSE)</f>
        <v>Põhihariduse otsekulud</v>
      </c>
      <c r="E794" s="3" t="str">
        <f>VLOOKUP(Table2[[#This Row],[Tegevusala nimetus2]],Table4[[Tegevusala nimetus]:[Tegevusala koondnimetus]],2,FALSE)</f>
        <v>Haridus</v>
      </c>
      <c r="F794" t="s">
        <v>1870</v>
      </c>
      <c r="G794" t="s">
        <v>434</v>
      </c>
      <c r="H794" s="40">
        <v>100</v>
      </c>
      <c r="J794">
        <v>5525</v>
      </c>
      <c r="K794" s="3" t="str">
        <f>VLOOKUP(Table2[[#This Row],[Konto]],Table5[[Konto]:[Konto nimetus]],2,FALSE)</f>
        <v>Kommunikatsiooni-, kultuuri- ja vaba aja sisustamise kulud</v>
      </c>
      <c r="L794">
        <v>55</v>
      </c>
      <c r="M794" t="str">
        <f t="shared" si="25"/>
        <v>55</v>
      </c>
      <c r="N794" s="3" t="str">
        <f>VLOOKUP(Table2[[#This Row],[Tulu/kulu liik2]],Table5[[Tulu/kulu liik]:[Kontode koondnimetus]],4,FALSE)</f>
        <v>Muud tegevuskulud</v>
      </c>
      <c r="O794" s="3" t="str">
        <f>VLOOKUP(Table2[[#This Row],[Tulu/kulu liik2]],Table5[],6,FALSE)</f>
        <v>Majandamiskulud</v>
      </c>
      <c r="P794" s="3" t="str">
        <f>VLOOKUP(Table2[[#This Row],[Tulu/kulu liik2]],Table5[],5,FALSE)</f>
        <v>Põhitegevuse kulu</v>
      </c>
    </row>
    <row r="795" spans="1:16" x14ac:dyDescent="0.25">
      <c r="A795" t="str">
        <f t="shared" si="24"/>
        <v>09</v>
      </c>
      <c r="B795" t="s">
        <v>340</v>
      </c>
      <c r="C795" s="3" t="str">
        <f>VLOOKUP(Table2[[#This Row],[Tegevusala]],Table4[],2,FALSE)</f>
        <v xml:space="preserve"> Muuga-laekvere kool-Laekvere õppehoone</v>
      </c>
      <c r="D795" s="3" t="str">
        <f>VLOOKUP(Table2[[#This Row],[Tegevusala]],Table4[[Tegevusala kood]:[Tegevusala alanimetus]],4,FALSE)</f>
        <v>Põhihariduse otsekulud</v>
      </c>
      <c r="E795" s="3" t="str">
        <f>VLOOKUP(Table2[[#This Row],[Tegevusala nimetus2]],Table4[[Tegevusala nimetus]:[Tegevusala koondnimetus]],2,FALSE)</f>
        <v>Haridus</v>
      </c>
      <c r="F795" t="s">
        <v>1870</v>
      </c>
      <c r="G795" t="s">
        <v>435</v>
      </c>
      <c r="H795" s="40">
        <v>3000</v>
      </c>
      <c r="J795">
        <v>5525</v>
      </c>
      <c r="K795" s="3" t="str">
        <f>VLOOKUP(Table2[[#This Row],[Konto]],Table5[[Konto]:[Konto nimetus]],2,FALSE)</f>
        <v>Kommunikatsiooni-, kultuuri- ja vaba aja sisustamise kulud</v>
      </c>
      <c r="L795">
        <v>55</v>
      </c>
      <c r="M795" t="str">
        <f t="shared" si="25"/>
        <v>55</v>
      </c>
      <c r="N795" s="3" t="str">
        <f>VLOOKUP(Table2[[#This Row],[Tulu/kulu liik2]],Table5[[Tulu/kulu liik]:[Kontode koondnimetus]],4,FALSE)</f>
        <v>Muud tegevuskulud</v>
      </c>
      <c r="O795" s="3" t="str">
        <f>VLOOKUP(Table2[[#This Row],[Tulu/kulu liik2]],Table5[],6,FALSE)</f>
        <v>Majandamiskulud</v>
      </c>
      <c r="P795" s="3" t="str">
        <f>VLOOKUP(Table2[[#This Row],[Tulu/kulu liik2]],Table5[],5,FALSE)</f>
        <v>Põhitegevuse kulu</v>
      </c>
    </row>
    <row r="796" spans="1:16" x14ac:dyDescent="0.25">
      <c r="A796" t="str">
        <f t="shared" si="24"/>
        <v>09</v>
      </c>
      <c r="B796" t="s">
        <v>340</v>
      </c>
      <c r="C796" s="3" t="str">
        <f>VLOOKUP(Table2[[#This Row],[Tegevusala]],Table4[],2,FALSE)</f>
        <v xml:space="preserve"> Muuga-laekvere kool-Laekvere õppehoone</v>
      </c>
      <c r="D796" s="3" t="str">
        <f>VLOOKUP(Table2[[#This Row],[Tegevusala]],Table4[[Tegevusala kood]:[Tegevusala alanimetus]],4,FALSE)</f>
        <v>Põhihariduse otsekulud</v>
      </c>
      <c r="E796" s="3" t="str">
        <f>VLOOKUP(Table2[[#This Row],[Tegevusala nimetus2]],Table4[[Tegevusala nimetus]:[Tegevusala koondnimetus]],2,FALSE)</f>
        <v>Haridus</v>
      </c>
      <c r="F796" t="s">
        <v>1870</v>
      </c>
      <c r="G796" t="s">
        <v>1894</v>
      </c>
      <c r="H796" s="40">
        <v>2000</v>
      </c>
      <c r="J796">
        <v>5525</v>
      </c>
      <c r="K796" s="3" t="str">
        <f>VLOOKUP(Table2[[#This Row],[Konto]],Table5[[Konto]:[Konto nimetus]],2,FALSE)</f>
        <v>Kommunikatsiooni-, kultuuri- ja vaba aja sisustamise kulud</v>
      </c>
      <c r="L796">
        <v>55</v>
      </c>
      <c r="M796" t="str">
        <f t="shared" si="25"/>
        <v>55</v>
      </c>
      <c r="N796" s="3" t="str">
        <f>VLOOKUP(Table2[[#This Row],[Tulu/kulu liik2]],Table5[[Tulu/kulu liik]:[Kontode koondnimetus]],4,FALSE)</f>
        <v>Muud tegevuskulud</v>
      </c>
      <c r="O796" s="3" t="str">
        <f>VLOOKUP(Table2[[#This Row],[Tulu/kulu liik2]],Table5[],6,FALSE)</f>
        <v>Majandamiskulud</v>
      </c>
      <c r="P796" s="3" t="str">
        <f>VLOOKUP(Table2[[#This Row],[Tulu/kulu liik2]],Table5[],5,FALSE)</f>
        <v>Põhitegevuse kulu</v>
      </c>
    </row>
    <row r="797" spans="1:16" x14ac:dyDescent="0.25">
      <c r="A797" t="str">
        <f t="shared" si="24"/>
        <v>09</v>
      </c>
      <c r="B797" t="s">
        <v>340</v>
      </c>
      <c r="C797" s="3" t="str">
        <f>VLOOKUP(Table2[[#This Row],[Tegevusala]],Table4[],2,FALSE)</f>
        <v xml:space="preserve"> Muuga-laekvere kool-Laekvere õppehoone</v>
      </c>
      <c r="D797" s="3" t="str">
        <f>VLOOKUP(Table2[[#This Row],[Tegevusala]],Table4[[Tegevusala kood]:[Tegevusala alanimetus]],4,FALSE)</f>
        <v>Põhihariduse otsekulud</v>
      </c>
      <c r="E797" s="3" t="str">
        <f>VLOOKUP(Table2[[#This Row],[Tegevusala nimetus2]],Table4[[Tegevusala nimetus]:[Tegevusala koondnimetus]],2,FALSE)</f>
        <v>Haridus</v>
      </c>
      <c r="F797" t="s">
        <v>1870</v>
      </c>
      <c r="G797" t="s">
        <v>419</v>
      </c>
      <c r="H797" s="40">
        <v>1000</v>
      </c>
      <c r="J797">
        <v>5514</v>
      </c>
      <c r="K797" s="3" t="str">
        <f>VLOOKUP(Table2[[#This Row],[Konto]],Table5[[Konto]:[Konto nimetus]],2,FALSE)</f>
        <v>Info- ja kommunikatsioonitehnoliigised kulud</v>
      </c>
      <c r="L797">
        <v>55</v>
      </c>
      <c r="M797" t="str">
        <f t="shared" si="25"/>
        <v>55</v>
      </c>
      <c r="N797" s="3" t="str">
        <f>VLOOKUP(Table2[[#This Row],[Tulu/kulu liik2]],Table5[[Tulu/kulu liik]:[Kontode koondnimetus]],4,FALSE)</f>
        <v>Muud tegevuskulud</v>
      </c>
      <c r="O797" s="3" t="str">
        <f>VLOOKUP(Table2[[#This Row],[Tulu/kulu liik2]],Table5[],6,FALSE)</f>
        <v>Majandamiskulud</v>
      </c>
      <c r="P797" s="3" t="str">
        <f>VLOOKUP(Table2[[#This Row],[Tulu/kulu liik2]],Table5[],5,FALSE)</f>
        <v>Põhitegevuse kulu</v>
      </c>
    </row>
    <row r="798" spans="1:16" x14ac:dyDescent="0.25">
      <c r="A798" t="str">
        <f t="shared" si="24"/>
        <v>09</v>
      </c>
      <c r="B798" t="s">
        <v>340</v>
      </c>
      <c r="C798" s="3" t="str">
        <f>VLOOKUP(Table2[[#This Row],[Tegevusala]],Table4[],2,FALSE)</f>
        <v xml:space="preserve"> Muuga-laekvere kool-Laekvere õppehoone</v>
      </c>
      <c r="D798" s="3" t="str">
        <f>VLOOKUP(Table2[[#This Row],[Tegevusala]],Table4[[Tegevusala kood]:[Tegevusala alanimetus]],4,FALSE)</f>
        <v>Põhihariduse otsekulud</v>
      </c>
      <c r="E798" s="3" t="str">
        <f>VLOOKUP(Table2[[#This Row],[Tegevusala nimetus2]],Table4[[Tegevusala nimetus]:[Tegevusala koondnimetus]],2,FALSE)</f>
        <v>Haridus</v>
      </c>
      <c r="F798" t="s">
        <v>1870</v>
      </c>
      <c r="G798" t="s">
        <v>420</v>
      </c>
      <c r="H798" s="40">
        <v>500</v>
      </c>
      <c r="J798">
        <v>5514</v>
      </c>
      <c r="K798" s="3" t="str">
        <f>VLOOKUP(Table2[[#This Row],[Konto]],Table5[[Konto]:[Konto nimetus]],2,FALSE)</f>
        <v>Info- ja kommunikatsioonitehnoliigised kulud</v>
      </c>
      <c r="L798">
        <v>55</v>
      </c>
      <c r="M798" t="str">
        <f t="shared" si="25"/>
        <v>55</v>
      </c>
      <c r="N798" s="3" t="str">
        <f>VLOOKUP(Table2[[#This Row],[Tulu/kulu liik2]],Table5[[Tulu/kulu liik]:[Kontode koondnimetus]],4,FALSE)</f>
        <v>Muud tegevuskulud</v>
      </c>
      <c r="O798" s="3" t="str">
        <f>VLOOKUP(Table2[[#This Row],[Tulu/kulu liik2]],Table5[],6,FALSE)</f>
        <v>Majandamiskulud</v>
      </c>
      <c r="P798" s="3" t="str">
        <f>VLOOKUP(Table2[[#This Row],[Tulu/kulu liik2]],Table5[],5,FALSE)</f>
        <v>Põhitegevuse kulu</v>
      </c>
    </row>
    <row r="799" spans="1:16" x14ac:dyDescent="0.25">
      <c r="A799" t="str">
        <f t="shared" si="24"/>
        <v>09</v>
      </c>
      <c r="B799" t="s">
        <v>340</v>
      </c>
      <c r="C799" s="3" t="str">
        <f>VLOOKUP(Table2[[#This Row],[Tegevusala]],Table4[],2,FALSE)</f>
        <v xml:space="preserve"> Muuga-laekvere kool-Laekvere õppehoone</v>
      </c>
      <c r="D799" s="3" t="str">
        <f>VLOOKUP(Table2[[#This Row],[Tegevusala]],Table4[[Tegevusala kood]:[Tegevusala alanimetus]],4,FALSE)</f>
        <v>Põhihariduse otsekulud</v>
      </c>
      <c r="E799" s="3" t="str">
        <f>VLOOKUP(Table2[[#This Row],[Tegevusala nimetus2]],Table4[[Tegevusala nimetus]:[Tegevusala koondnimetus]],2,FALSE)</f>
        <v>Haridus</v>
      </c>
      <c r="F799" t="s">
        <v>1870</v>
      </c>
      <c r="G799" t="s">
        <v>421</v>
      </c>
      <c r="H799" s="40">
        <v>600</v>
      </c>
      <c r="J799">
        <v>5514</v>
      </c>
      <c r="K799" s="3" t="str">
        <f>VLOOKUP(Table2[[#This Row],[Konto]],Table5[[Konto]:[Konto nimetus]],2,FALSE)</f>
        <v>Info- ja kommunikatsioonitehnoliigised kulud</v>
      </c>
      <c r="L799">
        <v>55</v>
      </c>
      <c r="M799" t="str">
        <f t="shared" si="25"/>
        <v>55</v>
      </c>
      <c r="N799" s="3" t="str">
        <f>VLOOKUP(Table2[[#This Row],[Tulu/kulu liik2]],Table5[[Tulu/kulu liik]:[Kontode koondnimetus]],4,FALSE)</f>
        <v>Muud tegevuskulud</v>
      </c>
      <c r="O799" s="3" t="str">
        <f>VLOOKUP(Table2[[#This Row],[Tulu/kulu liik2]],Table5[],6,FALSE)</f>
        <v>Majandamiskulud</v>
      </c>
      <c r="P799" s="3" t="str">
        <f>VLOOKUP(Table2[[#This Row],[Tulu/kulu liik2]],Table5[],5,FALSE)</f>
        <v>Põhitegevuse kulu</v>
      </c>
    </row>
    <row r="800" spans="1:16" x14ac:dyDescent="0.25">
      <c r="A800" t="str">
        <f t="shared" si="24"/>
        <v>09</v>
      </c>
      <c r="B800" t="s">
        <v>340</v>
      </c>
      <c r="C800" s="3" t="str">
        <f>VLOOKUP(Table2[[#This Row],[Tegevusala]],Table4[],2,FALSE)</f>
        <v xml:space="preserve"> Muuga-laekvere kool-Laekvere õppehoone</v>
      </c>
      <c r="D800" s="3" t="str">
        <f>VLOOKUP(Table2[[#This Row],[Tegevusala]],Table4[[Tegevusala kood]:[Tegevusala alanimetus]],4,FALSE)</f>
        <v>Põhihariduse otsekulud</v>
      </c>
      <c r="E800" s="3" t="str">
        <f>VLOOKUP(Table2[[#This Row],[Tegevusala nimetus2]],Table4[[Tegevusala nimetus]:[Tegevusala koondnimetus]],2,FALSE)</f>
        <v>Haridus</v>
      </c>
      <c r="F800" t="s">
        <v>1870</v>
      </c>
      <c r="G800" t="s">
        <v>199</v>
      </c>
      <c r="H800" s="40">
        <v>300</v>
      </c>
      <c r="J800">
        <v>5514</v>
      </c>
      <c r="K800" s="3" t="str">
        <f>VLOOKUP(Table2[[#This Row],[Konto]],Table5[[Konto]:[Konto nimetus]],2,FALSE)</f>
        <v>Info- ja kommunikatsioonitehnoliigised kulud</v>
      </c>
      <c r="L800">
        <v>55</v>
      </c>
      <c r="M800" t="str">
        <f t="shared" si="25"/>
        <v>55</v>
      </c>
      <c r="N800" s="3" t="str">
        <f>VLOOKUP(Table2[[#This Row],[Tulu/kulu liik2]],Table5[[Tulu/kulu liik]:[Kontode koondnimetus]],4,FALSE)</f>
        <v>Muud tegevuskulud</v>
      </c>
      <c r="O800" s="3" t="str">
        <f>VLOOKUP(Table2[[#This Row],[Tulu/kulu liik2]],Table5[],6,FALSE)</f>
        <v>Majandamiskulud</v>
      </c>
      <c r="P800" s="3" t="str">
        <f>VLOOKUP(Table2[[#This Row],[Tulu/kulu liik2]],Table5[],5,FALSE)</f>
        <v>Põhitegevuse kulu</v>
      </c>
    </row>
    <row r="801" spans="1:16" hidden="1" x14ac:dyDescent="0.25">
      <c r="A801" t="str">
        <f t="shared" si="24"/>
        <v>09</v>
      </c>
      <c r="B801" t="s">
        <v>340</v>
      </c>
      <c r="C801" s="3" t="str">
        <f>VLOOKUP(Table2[[#This Row],[Tegevusala]],Table4[],2,FALSE)</f>
        <v xml:space="preserve"> Muuga-laekvere kool-Laekvere õppehoone</v>
      </c>
      <c r="D801" s="3" t="str">
        <f>VLOOKUP(Table2[[#This Row],[Tegevusala]],Table4[[Tegevusala kood]:[Tegevusala alanimetus]],4,FALSE)</f>
        <v>Põhihariduse otsekulud</v>
      </c>
      <c r="E801" s="3" t="str">
        <f>VLOOKUP(Table2[[#This Row],[Tegevusala nimetus2]],Table4[[Tegevusala nimetus]:[Tegevusala koondnimetus]],2,FALSE)</f>
        <v>Haridus</v>
      </c>
      <c r="F801" t="s">
        <v>841</v>
      </c>
      <c r="G801" t="s">
        <v>2236</v>
      </c>
      <c r="H801" s="40">
        <v>290000</v>
      </c>
      <c r="J801">
        <v>1551</v>
      </c>
      <c r="K801" s="3" t="str">
        <f>VLOOKUP(Table2[[#This Row],[Konto]],Table5[[Konto]:[Konto nimetus]],2,FALSE)</f>
        <v>Rajatiste ja hoonete soetamine ja renoveerimine</v>
      </c>
      <c r="L801">
        <v>15</v>
      </c>
      <c r="M801" t="str">
        <f t="shared" si="25"/>
        <v>15</v>
      </c>
      <c r="N801" s="3" t="str">
        <f>VLOOKUP(Table2[[#This Row],[Tulu/kulu liik2]],Table5[[Tulu/kulu liik]:[Kontode koondnimetus]],4,FALSE)</f>
        <v>Põhivara soetus (-)</v>
      </c>
      <c r="O801" s="34" t="str">
        <f>VLOOKUP(Table2[[#This Row],[Tulu/kulu liik2]],Table5[],6,FALSE)</f>
        <v>Põhivara soetus (-)</v>
      </c>
      <c r="P801" s="3" t="str">
        <f>VLOOKUP(Table2[[#This Row],[Tulu/kulu liik2]],Table5[],5,FALSE)</f>
        <v>Investeerimistegevus</v>
      </c>
    </row>
    <row r="802" spans="1:16" x14ac:dyDescent="0.25">
      <c r="A802" t="str">
        <f t="shared" si="24"/>
        <v>09</v>
      </c>
      <c r="B802" t="s">
        <v>340</v>
      </c>
      <c r="C802" s="3" t="str">
        <f>VLOOKUP(Table2[[#This Row],[Tegevusala]],Table4[],2,FALSE)</f>
        <v xml:space="preserve"> Muuga-laekvere kool-Laekvere õppehoone</v>
      </c>
      <c r="D802" s="3" t="str">
        <f>VLOOKUP(Table2[[#This Row],[Tegevusala]],Table4[[Tegevusala kood]:[Tegevusala alanimetus]],4,FALSE)</f>
        <v>Põhihariduse otsekulud</v>
      </c>
      <c r="E802" s="3" t="str">
        <f>VLOOKUP(Table2[[#This Row],[Tegevusala nimetus2]],Table4[[Tegevusala nimetus]:[Tegevusala koondnimetus]],2,FALSE)</f>
        <v>Haridus</v>
      </c>
      <c r="F802" t="s">
        <v>1870</v>
      </c>
      <c r="G802" t="s">
        <v>2199</v>
      </c>
      <c r="H802" s="40">
        <v>1384.56</v>
      </c>
      <c r="I802" s="2" t="s">
        <v>2203</v>
      </c>
      <c r="J802">
        <v>5504</v>
      </c>
      <c r="K802" s="3" t="str">
        <f>VLOOKUP(Table2[[#This Row],[Konto]],Table5[[Konto]:[Konto nimetus]],2,FALSE)</f>
        <v>Koolituskulud</v>
      </c>
      <c r="L802">
        <v>55</v>
      </c>
      <c r="M802" t="str">
        <f t="shared" si="25"/>
        <v>55</v>
      </c>
      <c r="N802" s="3" t="str">
        <f>VLOOKUP(Table2[[#This Row],[Tulu/kulu liik2]],Table5[[Tulu/kulu liik]:[Kontode koondnimetus]],4,FALSE)</f>
        <v>Muud tegevuskulud</v>
      </c>
      <c r="O802" s="34" t="str">
        <f>VLOOKUP(Table2[[#This Row],[Tulu/kulu liik2]],Table5[],6,FALSE)</f>
        <v>Majandamiskulud</v>
      </c>
      <c r="P802" s="3" t="str">
        <f>VLOOKUP(Table2[[#This Row],[Tulu/kulu liik2]],Table5[],5,FALSE)</f>
        <v>Põhitegevuse kulu</v>
      </c>
    </row>
    <row r="803" spans="1:16" x14ac:dyDescent="0.25">
      <c r="A803" t="str">
        <f t="shared" si="24"/>
        <v>09</v>
      </c>
      <c r="B803" s="33" t="s">
        <v>340</v>
      </c>
      <c r="C803" s="3" t="str">
        <f>VLOOKUP(Table2[[#This Row],[Tegevusala]],Table4[],2,FALSE)</f>
        <v xml:space="preserve"> Muuga-laekvere kool-Laekvere õppehoone</v>
      </c>
      <c r="D803" s="3" t="str">
        <f>VLOOKUP(Table2[[#This Row],[Tegevusala]],Table4[[Tegevusala kood]:[Tegevusala alanimetus]],4,FALSE)</f>
        <v>Põhihariduse otsekulud</v>
      </c>
      <c r="E803" s="3" t="str">
        <f>VLOOKUP(Table2[[#This Row],[Tegevusala nimetus2]],Table4[[Tegevusala nimetus]:[Tegevusala koondnimetus]],2,FALSE)</f>
        <v>Haridus</v>
      </c>
      <c r="F803" s="33" t="s">
        <v>1870</v>
      </c>
      <c r="G803" t="s">
        <v>2200</v>
      </c>
      <c r="H803" s="40">
        <v>4311.42</v>
      </c>
      <c r="I803" s="2" t="s">
        <v>2203</v>
      </c>
      <c r="J803">
        <v>5524</v>
      </c>
      <c r="K803" s="3" t="str">
        <f>VLOOKUP(Table2[[#This Row],[Konto]],Table5[[Konto]:[Konto nimetus]],2,FALSE)</f>
        <v>Õppevahendid</v>
      </c>
      <c r="L803">
        <v>55</v>
      </c>
      <c r="M803" t="str">
        <f t="shared" si="25"/>
        <v>55</v>
      </c>
      <c r="N803" s="3" t="str">
        <f>VLOOKUP(Table2[[#This Row],[Tulu/kulu liik2]],Table5[[Tulu/kulu liik]:[Kontode koondnimetus]],4,FALSE)</f>
        <v>Muud tegevuskulud</v>
      </c>
      <c r="O803" s="34" t="str">
        <f>VLOOKUP(Table2[[#This Row],[Tulu/kulu liik2]],Table5[],6,FALSE)</f>
        <v>Majandamiskulud</v>
      </c>
      <c r="P803" s="3" t="str">
        <f>VLOOKUP(Table2[[#This Row],[Tulu/kulu liik2]],Table5[],5,FALSE)</f>
        <v>Põhitegevuse kulu</v>
      </c>
    </row>
    <row r="804" spans="1:16" x14ac:dyDescent="0.25">
      <c r="A804" t="str">
        <f t="shared" si="24"/>
        <v>09</v>
      </c>
      <c r="B804" t="s">
        <v>341</v>
      </c>
      <c r="C804" s="3" t="str">
        <f>VLOOKUP(Table2[[#This Row],[Tegevusala]],Table4[],2,FALSE)</f>
        <v xml:space="preserve"> Muuga Laekvere kool-Muuga õppehoone</v>
      </c>
      <c r="D804" s="3" t="str">
        <f>VLOOKUP(Table2[[#This Row],[Tegevusala]],Table4[[Tegevusala kood]:[Tegevusala alanimetus]],4,FALSE)</f>
        <v>Põhihariduse otsekulud</v>
      </c>
      <c r="E804" s="3" t="str">
        <f>VLOOKUP(Table2[[#This Row],[Tegevusala nimetus2]],Table4[[Tegevusala nimetus]:[Tegevusala koondnimetus]],2,FALSE)</f>
        <v>Haridus</v>
      </c>
      <c r="F804" t="s">
        <v>1870</v>
      </c>
      <c r="G804" t="s">
        <v>177</v>
      </c>
      <c r="H804" s="40">
        <v>27000</v>
      </c>
      <c r="J804">
        <v>5511</v>
      </c>
      <c r="K804" s="3" t="str">
        <f>VLOOKUP(Table2[[#This Row],[Konto]],Table5[[Konto]:[Konto nimetus]],2,FALSE)</f>
        <v>Kinnistute, hoonete ja ruumide majandamiskulud</v>
      </c>
      <c r="L804">
        <v>55</v>
      </c>
      <c r="M804" t="str">
        <f t="shared" si="25"/>
        <v>55</v>
      </c>
      <c r="N804" s="3" t="str">
        <f>VLOOKUP(Table2[[#This Row],[Tulu/kulu liik2]],Table5[[Tulu/kulu liik]:[Kontode koondnimetus]],4,FALSE)</f>
        <v>Muud tegevuskulud</v>
      </c>
      <c r="O804" s="3" t="str">
        <f>VLOOKUP(Table2[[#This Row],[Tulu/kulu liik2]],Table5[],6,FALSE)</f>
        <v>Majandamiskulud</v>
      </c>
      <c r="P804" s="3" t="str">
        <f>VLOOKUP(Table2[[#This Row],[Tulu/kulu liik2]],Table5[],5,FALSE)</f>
        <v>Põhitegevuse kulu</v>
      </c>
    </row>
    <row r="805" spans="1:16" x14ac:dyDescent="0.25">
      <c r="A805" t="str">
        <f t="shared" si="24"/>
        <v>09</v>
      </c>
      <c r="B805" t="s">
        <v>341</v>
      </c>
      <c r="C805" s="3" t="str">
        <f>VLOOKUP(Table2[[#This Row],[Tegevusala]],Table4[],2,FALSE)</f>
        <v xml:space="preserve"> Muuga Laekvere kool-Muuga õppehoone</v>
      </c>
      <c r="D805" s="3" t="str">
        <f>VLOOKUP(Table2[[#This Row],[Tegevusala]],Table4[[Tegevusala kood]:[Tegevusala alanimetus]],4,FALSE)</f>
        <v>Põhihariduse otsekulud</v>
      </c>
      <c r="E805" s="3" t="str">
        <f>VLOOKUP(Table2[[#This Row],[Tegevusala nimetus2]],Table4[[Tegevusala nimetus]:[Tegevusala koondnimetus]],2,FALSE)</f>
        <v>Haridus</v>
      </c>
      <c r="F805" t="s">
        <v>1870</v>
      </c>
      <c r="G805" t="s">
        <v>178</v>
      </c>
      <c r="H805" s="40">
        <v>5300</v>
      </c>
      <c r="J805">
        <v>5511</v>
      </c>
      <c r="K805" s="3" t="str">
        <f>VLOOKUP(Table2[[#This Row],[Konto]],Table5[[Konto]:[Konto nimetus]],2,FALSE)</f>
        <v>Kinnistute, hoonete ja ruumide majandamiskulud</v>
      </c>
      <c r="L805">
        <v>55</v>
      </c>
      <c r="M805" t="str">
        <f t="shared" si="25"/>
        <v>55</v>
      </c>
      <c r="N805" s="3" t="str">
        <f>VLOOKUP(Table2[[#This Row],[Tulu/kulu liik2]],Table5[[Tulu/kulu liik]:[Kontode koondnimetus]],4,FALSE)</f>
        <v>Muud tegevuskulud</v>
      </c>
      <c r="O805" s="3" t="str">
        <f>VLOOKUP(Table2[[#This Row],[Tulu/kulu liik2]],Table5[],6,FALSE)</f>
        <v>Majandamiskulud</v>
      </c>
      <c r="P805" s="3" t="str">
        <f>VLOOKUP(Table2[[#This Row],[Tulu/kulu liik2]],Table5[],5,FALSE)</f>
        <v>Põhitegevuse kulu</v>
      </c>
    </row>
    <row r="806" spans="1:16" x14ac:dyDescent="0.25">
      <c r="A806" t="str">
        <f t="shared" si="24"/>
        <v>09</v>
      </c>
      <c r="B806" t="s">
        <v>341</v>
      </c>
      <c r="C806" s="3" t="str">
        <f>VLOOKUP(Table2[[#This Row],[Tegevusala]],Table4[],2,FALSE)</f>
        <v xml:space="preserve"> Muuga Laekvere kool-Muuga õppehoone</v>
      </c>
      <c r="D806" s="3" t="str">
        <f>VLOOKUP(Table2[[#This Row],[Tegevusala]],Table4[[Tegevusala kood]:[Tegevusala alanimetus]],4,FALSE)</f>
        <v>Põhihariduse otsekulud</v>
      </c>
      <c r="E806" s="3" t="str">
        <f>VLOOKUP(Table2[[#This Row],[Tegevusala nimetus2]],Table4[[Tegevusala nimetus]:[Tegevusala koondnimetus]],2,FALSE)</f>
        <v>Haridus</v>
      </c>
      <c r="F806" t="s">
        <v>1870</v>
      </c>
      <c r="G806" t="s">
        <v>410</v>
      </c>
      <c r="H806" s="40">
        <v>400</v>
      </c>
      <c r="J806">
        <v>5511</v>
      </c>
      <c r="K806" s="3" t="str">
        <f>VLOOKUP(Table2[[#This Row],[Konto]],Table5[[Konto]:[Konto nimetus]],2,FALSE)</f>
        <v>Kinnistute, hoonete ja ruumide majandamiskulud</v>
      </c>
      <c r="L806">
        <v>55</v>
      </c>
      <c r="M806" t="str">
        <f t="shared" si="25"/>
        <v>55</v>
      </c>
      <c r="N806" s="3" t="str">
        <f>VLOOKUP(Table2[[#This Row],[Tulu/kulu liik2]],Table5[[Tulu/kulu liik]:[Kontode koondnimetus]],4,FALSE)</f>
        <v>Muud tegevuskulud</v>
      </c>
      <c r="O806" s="3" t="str">
        <f>VLOOKUP(Table2[[#This Row],[Tulu/kulu liik2]],Table5[],6,FALSE)</f>
        <v>Majandamiskulud</v>
      </c>
      <c r="P806" s="3" t="str">
        <f>VLOOKUP(Table2[[#This Row],[Tulu/kulu liik2]],Table5[],5,FALSE)</f>
        <v>Põhitegevuse kulu</v>
      </c>
    </row>
    <row r="807" spans="1:16" x14ac:dyDescent="0.25">
      <c r="A807" t="str">
        <f t="shared" si="24"/>
        <v>09</v>
      </c>
      <c r="B807" t="s">
        <v>341</v>
      </c>
      <c r="C807" s="3" t="str">
        <f>VLOOKUP(Table2[[#This Row],[Tegevusala]],Table4[],2,FALSE)</f>
        <v xml:space="preserve"> Muuga Laekvere kool-Muuga õppehoone</v>
      </c>
      <c r="D807" s="3" t="str">
        <f>VLOOKUP(Table2[[#This Row],[Tegevusala]],Table4[[Tegevusala kood]:[Tegevusala alanimetus]],4,FALSE)</f>
        <v>Põhihariduse otsekulud</v>
      </c>
      <c r="E807" s="3" t="str">
        <f>VLOOKUP(Table2[[#This Row],[Tegevusala nimetus2]],Table4[[Tegevusala nimetus]:[Tegevusala koondnimetus]],2,FALSE)</f>
        <v>Haridus</v>
      </c>
      <c r="F807" t="s">
        <v>1870</v>
      </c>
      <c r="G807" t="s">
        <v>411</v>
      </c>
      <c r="H807" s="40">
        <v>2000</v>
      </c>
      <c r="J807">
        <v>5511</v>
      </c>
      <c r="K807" s="3" t="str">
        <f>VLOOKUP(Table2[[#This Row],[Konto]],Table5[[Konto]:[Konto nimetus]],2,FALSE)</f>
        <v>Kinnistute, hoonete ja ruumide majandamiskulud</v>
      </c>
      <c r="L807">
        <v>55</v>
      </c>
      <c r="M807" t="str">
        <f t="shared" si="25"/>
        <v>55</v>
      </c>
      <c r="N807" s="3" t="str">
        <f>VLOOKUP(Table2[[#This Row],[Tulu/kulu liik2]],Table5[[Tulu/kulu liik]:[Kontode koondnimetus]],4,FALSE)</f>
        <v>Muud tegevuskulud</v>
      </c>
      <c r="O807" s="3" t="str">
        <f>VLOOKUP(Table2[[#This Row],[Tulu/kulu liik2]],Table5[],6,FALSE)</f>
        <v>Majandamiskulud</v>
      </c>
      <c r="P807" s="3" t="str">
        <f>VLOOKUP(Table2[[#This Row],[Tulu/kulu liik2]],Table5[],5,FALSE)</f>
        <v>Põhitegevuse kulu</v>
      </c>
    </row>
    <row r="808" spans="1:16" x14ac:dyDescent="0.25">
      <c r="A808" t="str">
        <f t="shared" si="24"/>
        <v>09</v>
      </c>
      <c r="B808" t="s">
        <v>341</v>
      </c>
      <c r="C808" s="3" t="str">
        <f>VLOOKUP(Table2[[#This Row],[Tegevusala]],Table4[],2,FALSE)</f>
        <v xml:space="preserve"> Muuga Laekvere kool-Muuga õppehoone</v>
      </c>
      <c r="D808" s="3" t="str">
        <f>VLOOKUP(Table2[[#This Row],[Tegevusala]],Table4[[Tegevusala kood]:[Tegevusala alanimetus]],4,FALSE)</f>
        <v>Põhihariduse otsekulud</v>
      </c>
      <c r="E808" s="3" t="str">
        <f>VLOOKUP(Table2[[#This Row],[Tegevusala nimetus2]],Table4[[Tegevusala nimetus]:[Tegevusala koondnimetus]],2,FALSE)</f>
        <v>Haridus</v>
      </c>
      <c r="F808" t="s">
        <v>1870</v>
      </c>
      <c r="G808" t="s">
        <v>180</v>
      </c>
      <c r="H808" s="40">
        <v>500</v>
      </c>
      <c r="J808">
        <v>5511</v>
      </c>
      <c r="K808" s="3" t="str">
        <f>VLOOKUP(Table2[[#This Row],[Konto]],Table5[[Konto]:[Konto nimetus]],2,FALSE)</f>
        <v>Kinnistute, hoonete ja ruumide majandamiskulud</v>
      </c>
      <c r="L808">
        <v>55</v>
      </c>
      <c r="M808" t="str">
        <f t="shared" si="25"/>
        <v>55</v>
      </c>
      <c r="N808" s="3" t="str">
        <f>VLOOKUP(Table2[[#This Row],[Tulu/kulu liik2]],Table5[[Tulu/kulu liik]:[Kontode koondnimetus]],4,FALSE)</f>
        <v>Muud tegevuskulud</v>
      </c>
      <c r="O808" s="3" t="str">
        <f>VLOOKUP(Table2[[#This Row],[Tulu/kulu liik2]],Table5[],6,FALSE)</f>
        <v>Majandamiskulud</v>
      </c>
      <c r="P808" s="3" t="str">
        <f>VLOOKUP(Table2[[#This Row],[Tulu/kulu liik2]],Table5[],5,FALSE)</f>
        <v>Põhitegevuse kulu</v>
      </c>
    </row>
    <row r="809" spans="1:16" x14ac:dyDescent="0.25">
      <c r="A809" t="str">
        <f t="shared" si="24"/>
        <v>09</v>
      </c>
      <c r="B809" t="s">
        <v>341</v>
      </c>
      <c r="C809" s="3" t="str">
        <f>VLOOKUP(Table2[[#This Row],[Tegevusala]],Table4[],2,FALSE)</f>
        <v xml:space="preserve"> Muuga Laekvere kool-Muuga õppehoone</v>
      </c>
      <c r="D809" s="3" t="str">
        <f>VLOOKUP(Table2[[#This Row],[Tegevusala]],Table4[[Tegevusala kood]:[Tegevusala alanimetus]],4,FALSE)</f>
        <v>Põhihariduse otsekulud</v>
      </c>
      <c r="E809" s="3" t="str">
        <f>VLOOKUP(Table2[[#This Row],[Tegevusala nimetus2]],Table4[[Tegevusala nimetus]:[Tegevusala koondnimetus]],2,FALSE)</f>
        <v>Haridus</v>
      </c>
      <c r="F809" t="s">
        <v>1870</v>
      </c>
      <c r="G809" t="s">
        <v>412</v>
      </c>
      <c r="H809" s="40">
        <v>0</v>
      </c>
      <c r="J809">
        <v>5511</v>
      </c>
      <c r="K809" s="3" t="str">
        <f>VLOOKUP(Table2[[#This Row],[Konto]],Table5[[Konto]:[Konto nimetus]],2,FALSE)</f>
        <v>Kinnistute, hoonete ja ruumide majandamiskulud</v>
      </c>
      <c r="L809">
        <v>55</v>
      </c>
      <c r="M809" t="str">
        <f t="shared" si="25"/>
        <v>55</v>
      </c>
      <c r="N809" s="3" t="str">
        <f>VLOOKUP(Table2[[#This Row],[Tulu/kulu liik2]],Table5[[Tulu/kulu liik]:[Kontode koondnimetus]],4,FALSE)</f>
        <v>Muud tegevuskulud</v>
      </c>
      <c r="O809" s="3" t="str">
        <f>VLOOKUP(Table2[[#This Row],[Tulu/kulu liik2]],Table5[],6,FALSE)</f>
        <v>Majandamiskulud</v>
      </c>
      <c r="P809" s="3" t="str">
        <f>VLOOKUP(Table2[[#This Row],[Tulu/kulu liik2]],Table5[],5,FALSE)</f>
        <v>Põhitegevuse kulu</v>
      </c>
    </row>
    <row r="810" spans="1:16" x14ac:dyDescent="0.25">
      <c r="A810" t="str">
        <f t="shared" si="24"/>
        <v>09</v>
      </c>
      <c r="B810" t="s">
        <v>341</v>
      </c>
      <c r="C810" s="3" t="str">
        <f>VLOOKUP(Table2[[#This Row],[Tegevusala]],Table4[],2,FALSE)</f>
        <v xml:space="preserve"> Muuga Laekvere kool-Muuga õppehoone</v>
      </c>
      <c r="D810" s="3" t="str">
        <f>VLOOKUP(Table2[[#This Row],[Tegevusala]],Table4[[Tegevusala kood]:[Tegevusala alanimetus]],4,FALSE)</f>
        <v>Põhihariduse otsekulud</v>
      </c>
      <c r="E810" s="3" t="str">
        <f>VLOOKUP(Table2[[#This Row],[Tegevusala nimetus2]],Table4[[Tegevusala nimetus]:[Tegevusala koondnimetus]],2,FALSE)</f>
        <v>Haridus</v>
      </c>
      <c r="F810" t="s">
        <v>1870</v>
      </c>
      <c r="G810" t="s">
        <v>413</v>
      </c>
      <c r="H810" s="40">
        <v>1500</v>
      </c>
      <c r="J810">
        <v>5511</v>
      </c>
      <c r="K810" s="3" t="str">
        <f>VLOOKUP(Table2[[#This Row],[Konto]],Table5[[Konto]:[Konto nimetus]],2,FALSE)</f>
        <v>Kinnistute, hoonete ja ruumide majandamiskulud</v>
      </c>
      <c r="L810">
        <v>55</v>
      </c>
      <c r="M810" t="str">
        <f t="shared" si="25"/>
        <v>55</v>
      </c>
      <c r="N810" s="3" t="str">
        <f>VLOOKUP(Table2[[#This Row],[Tulu/kulu liik2]],Table5[[Tulu/kulu liik]:[Kontode koondnimetus]],4,FALSE)</f>
        <v>Muud tegevuskulud</v>
      </c>
      <c r="O810" s="3" t="str">
        <f>VLOOKUP(Table2[[#This Row],[Tulu/kulu liik2]],Table5[],6,FALSE)</f>
        <v>Majandamiskulud</v>
      </c>
      <c r="P810" s="3" t="str">
        <f>VLOOKUP(Table2[[#This Row],[Tulu/kulu liik2]],Table5[],5,FALSE)</f>
        <v>Põhitegevuse kulu</v>
      </c>
    </row>
    <row r="811" spans="1:16" x14ac:dyDescent="0.25">
      <c r="A811" t="str">
        <f t="shared" si="24"/>
        <v>09</v>
      </c>
      <c r="B811" t="s">
        <v>341</v>
      </c>
      <c r="C811" s="3" t="str">
        <f>VLOOKUP(Table2[[#This Row],[Tegevusala]],Table4[],2,FALSE)</f>
        <v xml:space="preserve"> Muuga Laekvere kool-Muuga õppehoone</v>
      </c>
      <c r="D811" s="3" t="str">
        <f>VLOOKUP(Table2[[#This Row],[Tegevusala]],Table4[[Tegevusala kood]:[Tegevusala alanimetus]],4,FALSE)</f>
        <v>Põhihariduse otsekulud</v>
      </c>
      <c r="E811" s="3" t="str">
        <f>VLOOKUP(Table2[[#This Row],[Tegevusala nimetus2]],Table4[[Tegevusala nimetus]:[Tegevusala koondnimetus]],2,FALSE)</f>
        <v>Haridus</v>
      </c>
      <c r="F811" t="s">
        <v>1870</v>
      </c>
      <c r="G811" t="s">
        <v>414</v>
      </c>
      <c r="H811" s="40">
        <v>500</v>
      </c>
      <c r="J811">
        <v>5511</v>
      </c>
      <c r="K811" s="3" t="str">
        <f>VLOOKUP(Table2[[#This Row],[Konto]],Table5[[Konto]:[Konto nimetus]],2,FALSE)</f>
        <v>Kinnistute, hoonete ja ruumide majandamiskulud</v>
      </c>
      <c r="L811">
        <v>55</v>
      </c>
      <c r="M811" t="str">
        <f t="shared" si="25"/>
        <v>55</v>
      </c>
      <c r="N811" s="3" t="str">
        <f>VLOOKUP(Table2[[#This Row],[Tulu/kulu liik2]],Table5[[Tulu/kulu liik]:[Kontode koondnimetus]],4,FALSE)</f>
        <v>Muud tegevuskulud</v>
      </c>
      <c r="O811" s="3" t="str">
        <f>VLOOKUP(Table2[[#This Row],[Tulu/kulu liik2]],Table5[],6,FALSE)</f>
        <v>Majandamiskulud</v>
      </c>
      <c r="P811" s="3" t="str">
        <f>VLOOKUP(Table2[[#This Row],[Tulu/kulu liik2]],Table5[],5,FALSE)</f>
        <v>Põhitegevuse kulu</v>
      </c>
    </row>
    <row r="812" spans="1:16" x14ac:dyDescent="0.25">
      <c r="A812" t="str">
        <f t="shared" si="24"/>
        <v>09</v>
      </c>
      <c r="B812" t="s">
        <v>341</v>
      </c>
      <c r="C812" s="3" t="str">
        <f>VLOOKUP(Table2[[#This Row],[Tegevusala]],Table4[],2,FALSE)</f>
        <v xml:space="preserve"> Muuga Laekvere kool-Muuga õppehoone</v>
      </c>
      <c r="D812" s="3" t="str">
        <f>VLOOKUP(Table2[[#This Row],[Tegevusala]],Table4[[Tegevusala kood]:[Tegevusala alanimetus]],4,FALSE)</f>
        <v>Põhihariduse otsekulud</v>
      </c>
      <c r="E812" s="3" t="str">
        <f>VLOOKUP(Table2[[#This Row],[Tegevusala nimetus2]],Table4[[Tegevusala nimetus]:[Tegevusala koondnimetus]],2,FALSE)</f>
        <v>Haridus</v>
      </c>
      <c r="F812" t="s">
        <v>1870</v>
      </c>
      <c r="G812" t="s">
        <v>415</v>
      </c>
      <c r="H812" s="40">
        <v>900</v>
      </c>
      <c r="J812">
        <v>5511</v>
      </c>
      <c r="K812" s="3" t="str">
        <f>VLOOKUP(Table2[[#This Row],[Konto]],Table5[[Konto]:[Konto nimetus]],2,FALSE)</f>
        <v>Kinnistute, hoonete ja ruumide majandamiskulud</v>
      </c>
      <c r="L812">
        <v>55</v>
      </c>
      <c r="M812" t="str">
        <f t="shared" si="25"/>
        <v>55</v>
      </c>
      <c r="N812" s="3" t="str">
        <f>VLOOKUP(Table2[[#This Row],[Tulu/kulu liik2]],Table5[[Tulu/kulu liik]:[Kontode koondnimetus]],4,FALSE)</f>
        <v>Muud tegevuskulud</v>
      </c>
      <c r="O812" s="3" t="str">
        <f>VLOOKUP(Table2[[#This Row],[Tulu/kulu liik2]],Table5[],6,FALSE)</f>
        <v>Majandamiskulud</v>
      </c>
      <c r="P812" s="3" t="str">
        <f>VLOOKUP(Table2[[#This Row],[Tulu/kulu liik2]],Table5[],5,FALSE)</f>
        <v>Põhitegevuse kulu</v>
      </c>
    </row>
    <row r="813" spans="1:16" x14ac:dyDescent="0.25">
      <c r="A813" t="str">
        <f t="shared" si="24"/>
        <v>09</v>
      </c>
      <c r="B813" t="s">
        <v>341</v>
      </c>
      <c r="C813" s="3" t="str">
        <f>VLOOKUP(Table2[[#This Row],[Tegevusala]],Table4[],2,FALSE)</f>
        <v xml:space="preserve"> Muuga Laekvere kool-Muuga õppehoone</v>
      </c>
      <c r="D813" s="3" t="str">
        <f>VLOOKUP(Table2[[#This Row],[Tegevusala]],Table4[[Tegevusala kood]:[Tegevusala alanimetus]],4,FALSE)</f>
        <v>Põhihariduse otsekulud</v>
      </c>
      <c r="E813" s="3" t="str">
        <f>VLOOKUP(Table2[[#This Row],[Tegevusala nimetus2]],Table4[[Tegevusala nimetus]:[Tegevusala koondnimetus]],2,FALSE)</f>
        <v>Haridus</v>
      </c>
      <c r="F813" t="s">
        <v>1870</v>
      </c>
      <c r="G813" t="s">
        <v>1873</v>
      </c>
      <c r="H813" s="40">
        <v>700</v>
      </c>
      <c r="J813">
        <v>5511</v>
      </c>
      <c r="K813" s="3" t="str">
        <f>VLOOKUP(Table2[[#This Row],[Konto]],Table5[[Konto]:[Konto nimetus]],2,FALSE)</f>
        <v>Kinnistute, hoonete ja ruumide majandamiskulud</v>
      </c>
      <c r="L813">
        <v>55</v>
      </c>
      <c r="M813" t="str">
        <f t="shared" si="25"/>
        <v>55</v>
      </c>
      <c r="N813" s="3" t="str">
        <f>VLOOKUP(Table2[[#This Row],[Tulu/kulu liik2]],Table5[[Tulu/kulu liik]:[Kontode koondnimetus]],4,FALSE)</f>
        <v>Muud tegevuskulud</v>
      </c>
      <c r="O813" s="3" t="str">
        <f>VLOOKUP(Table2[[#This Row],[Tulu/kulu liik2]],Table5[],6,FALSE)</f>
        <v>Majandamiskulud</v>
      </c>
      <c r="P813" s="3" t="str">
        <f>VLOOKUP(Table2[[#This Row],[Tulu/kulu liik2]],Table5[],5,FALSE)</f>
        <v>Põhitegevuse kulu</v>
      </c>
    </row>
    <row r="814" spans="1:16" x14ac:dyDescent="0.25">
      <c r="A814" t="str">
        <f t="shared" si="24"/>
        <v>09</v>
      </c>
      <c r="B814" t="s">
        <v>341</v>
      </c>
      <c r="C814" s="3" t="str">
        <f>VLOOKUP(Table2[[#This Row],[Tegevusala]],Table4[],2,FALSE)</f>
        <v xml:space="preserve"> Muuga Laekvere kool-Muuga õppehoone</v>
      </c>
      <c r="D814" s="3" t="str">
        <f>VLOOKUP(Table2[[#This Row],[Tegevusala]],Table4[[Tegevusala kood]:[Tegevusala alanimetus]],4,FALSE)</f>
        <v>Põhihariduse otsekulud</v>
      </c>
      <c r="E814" s="3" t="str">
        <f>VLOOKUP(Table2[[#This Row],[Tegevusala nimetus2]],Table4[[Tegevusala nimetus]:[Tegevusala koondnimetus]],2,FALSE)</f>
        <v>Haridus</v>
      </c>
      <c r="F814" t="s">
        <v>1870</v>
      </c>
      <c r="G814" t="s">
        <v>436</v>
      </c>
      <c r="H814" s="40">
        <v>150</v>
      </c>
      <c r="J814">
        <v>5511</v>
      </c>
      <c r="K814" s="3" t="str">
        <f>VLOOKUP(Table2[[#This Row],[Konto]],Table5[[Konto]:[Konto nimetus]],2,FALSE)</f>
        <v>Kinnistute, hoonete ja ruumide majandamiskulud</v>
      </c>
      <c r="L814">
        <v>55</v>
      </c>
      <c r="M814" t="str">
        <f t="shared" si="25"/>
        <v>55</v>
      </c>
      <c r="N814" s="3" t="str">
        <f>VLOOKUP(Table2[[#This Row],[Tulu/kulu liik2]],Table5[[Tulu/kulu liik]:[Kontode koondnimetus]],4,FALSE)</f>
        <v>Muud tegevuskulud</v>
      </c>
      <c r="O814" s="3" t="str">
        <f>VLOOKUP(Table2[[#This Row],[Tulu/kulu liik2]],Table5[],6,FALSE)</f>
        <v>Majandamiskulud</v>
      </c>
      <c r="P814" s="3" t="str">
        <f>VLOOKUP(Table2[[#This Row],[Tulu/kulu liik2]],Table5[],5,FALSE)</f>
        <v>Põhitegevuse kulu</v>
      </c>
    </row>
    <row r="815" spans="1:16" x14ac:dyDescent="0.25">
      <c r="A815" t="str">
        <f t="shared" si="24"/>
        <v>09</v>
      </c>
      <c r="B815" t="s">
        <v>341</v>
      </c>
      <c r="C815" s="3" t="str">
        <f>VLOOKUP(Table2[[#This Row],[Tegevusala]],Table4[],2,FALSE)</f>
        <v xml:space="preserve"> Muuga Laekvere kool-Muuga õppehoone</v>
      </c>
      <c r="D815" s="3" t="str">
        <f>VLOOKUP(Table2[[#This Row],[Tegevusala]],Table4[[Tegevusala kood]:[Tegevusala alanimetus]],4,FALSE)</f>
        <v>Põhihariduse otsekulud</v>
      </c>
      <c r="E815" s="3" t="str">
        <f>VLOOKUP(Table2[[#This Row],[Tegevusala nimetus2]],Table4[[Tegevusala nimetus]:[Tegevusala koondnimetus]],2,FALSE)</f>
        <v>Haridus</v>
      </c>
      <c r="F815" t="s">
        <v>1870</v>
      </c>
      <c r="G815" t="s">
        <v>1871</v>
      </c>
      <c r="H815" s="40">
        <v>400</v>
      </c>
      <c r="J815">
        <v>5500</v>
      </c>
      <c r="K815" s="3" t="str">
        <f>VLOOKUP(Table2[[#This Row],[Konto]],Table5[[Konto]:[Konto nimetus]],2,FALSE)</f>
        <v>Administreerimiskulud</v>
      </c>
      <c r="L815">
        <v>55</v>
      </c>
      <c r="M815" t="str">
        <f t="shared" si="25"/>
        <v>55</v>
      </c>
      <c r="N815" s="3" t="str">
        <f>VLOOKUP(Table2[[#This Row],[Tulu/kulu liik2]],Table5[[Tulu/kulu liik]:[Kontode koondnimetus]],4,FALSE)</f>
        <v>Muud tegevuskulud</v>
      </c>
      <c r="O815" s="3" t="str">
        <f>VLOOKUP(Table2[[#This Row],[Tulu/kulu liik2]],Table5[],6,FALSE)</f>
        <v>Majandamiskulud</v>
      </c>
      <c r="P815" s="3" t="str">
        <f>VLOOKUP(Table2[[#This Row],[Tulu/kulu liik2]],Table5[],5,FALSE)</f>
        <v>Põhitegevuse kulu</v>
      </c>
    </row>
    <row r="816" spans="1:16" x14ac:dyDescent="0.25">
      <c r="A816" t="str">
        <f t="shared" si="24"/>
        <v>09</v>
      </c>
      <c r="B816" t="s">
        <v>341</v>
      </c>
      <c r="C816" s="3" t="str">
        <f>VLOOKUP(Table2[[#This Row],[Tegevusala]],Table4[],2,FALSE)</f>
        <v xml:space="preserve"> Muuga Laekvere kool-Muuga õppehoone</v>
      </c>
      <c r="D816" s="3" t="str">
        <f>VLOOKUP(Table2[[#This Row],[Tegevusala]],Table4[[Tegevusala kood]:[Tegevusala alanimetus]],4,FALSE)</f>
        <v>Põhihariduse otsekulud</v>
      </c>
      <c r="E816" s="3" t="str">
        <f>VLOOKUP(Table2[[#This Row],[Tegevusala nimetus2]],Table4[[Tegevusala nimetus]:[Tegevusala koondnimetus]],2,FALSE)</f>
        <v>Haridus</v>
      </c>
      <c r="F816" t="s">
        <v>1870</v>
      </c>
      <c r="G816" t="s">
        <v>401</v>
      </c>
      <c r="H816" s="40">
        <v>250</v>
      </c>
      <c r="J816">
        <v>5500</v>
      </c>
      <c r="K816" s="3" t="str">
        <f>VLOOKUP(Table2[[#This Row],[Konto]],Table5[[Konto]:[Konto nimetus]],2,FALSE)</f>
        <v>Administreerimiskulud</v>
      </c>
      <c r="L816">
        <v>55</v>
      </c>
      <c r="M816" t="str">
        <f t="shared" si="25"/>
        <v>55</v>
      </c>
      <c r="N816" s="3" t="str">
        <f>VLOOKUP(Table2[[#This Row],[Tulu/kulu liik2]],Table5[[Tulu/kulu liik]:[Kontode koondnimetus]],4,FALSE)</f>
        <v>Muud tegevuskulud</v>
      </c>
      <c r="O816" s="3" t="str">
        <f>VLOOKUP(Table2[[#This Row],[Tulu/kulu liik2]],Table5[],6,FALSE)</f>
        <v>Majandamiskulud</v>
      </c>
      <c r="P816" s="3" t="str">
        <f>VLOOKUP(Table2[[#This Row],[Tulu/kulu liik2]],Table5[],5,FALSE)</f>
        <v>Põhitegevuse kulu</v>
      </c>
    </row>
    <row r="817" spans="1:16" x14ac:dyDescent="0.25">
      <c r="A817" t="str">
        <f t="shared" si="24"/>
        <v>09</v>
      </c>
      <c r="B817" t="s">
        <v>341</v>
      </c>
      <c r="C817" s="3" t="str">
        <f>VLOOKUP(Table2[[#This Row],[Tegevusala]],Table4[],2,FALSE)</f>
        <v xml:space="preserve"> Muuga Laekvere kool-Muuga õppehoone</v>
      </c>
      <c r="D817" s="3" t="str">
        <f>VLOOKUP(Table2[[#This Row],[Tegevusala]],Table4[[Tegevusala kood]:[Tegevusala alanimetus]],4,FALSE)</f>
        <v>Põhihariduse otsekulud</v>
      </c>
      <c r="E817" s="3" t="str">
        <f>VLOOKUP(Table2[[#This Row],[Tegevusala nimetus2]],Table4[[Tegevusala nimetus]:[Tegevusala koondnimetus]],2,FALSE)</f>
        <v>Haridus</v>
      </c>
      <c r="F817" t="s">
        <v>1870</v>
      </c>
      <c r="G817" t="s">
        <v>402</v>
      </c>
      <c r="H817" s="40">
        <v>170</v>
      </c>
      <c r="J817">
        <v>5500</v>
      </c>
      <c r="K817" s="3" t="str">
        <f>VLOOKUP(Table2[[#This Row],[Konto]],Table5[[Konto]:[Konto nimetus]],2,FALSE)</f>
        <v>Administreerimiskulud</v>
      </c>
      <c r="L817">
        <v>55</v>
      </c>
      <c r="M817" t="str">
        <f t="shared" si="25"/>
        <v>55</v>
      </c>
      <c r="N817" s="3" t="str">
        <f>VLOOKUP(Table2[[#This Row],[Tulu/kulu liik2]],Table5[[Tulu/kulu liik]:[Kontode koondnimetus]],4,FALSE)</f>
        <v>Muud tegevuskulud</v>
      </c>
      <c r="O817" s="3" t="str">
        <f>VLOOKUP(Table2[[#This Row],[Tulu/kulu liik2]],Table5[],6,FALSE)</f>
        <v>Majandamiskulud</v>
      </c>
      <c r="P817" s="3" t="str">
        <f>VLOOKUP(Table2[[#This Row],[Tulu/kulu liik2]],Table5[],5,FALSE)</f>
        <v>Põhitegevuse kulu</v>
      </c>
    </row>
    <row r="818" spans="1:16" x14ac:dyDescent="0.25">
      <c r="A818" t="str">
        <f t="shared" si="24"/>
        <v>09</v>
      </c>
      <c r="B818" t="s">
        <v>341</v>
      </c>
      <c r="C818" s="3" t="str">
        <f>VLOOKUP(Table2[[#This Row],[Tegevusala]],Table4[],2,FALSE)</f>
        <v xml:space="preserve"> Muuga Laekvere kool-Muuga õppehoone</v>
      </c>
      <c r="D818" s="3" t="str">
        <f>VLOOKUP(Table2[[#This Row],[Tegevusala]],Table4[[Tegevusala kood]:[Tegevusala alanimetus]],4,FALSE)</f>
        <v>Põhihariduse otsekulud</v>
      </c>
      <c r="E818" s="3" t="str">
        <f>VLOOKUP(Table2[[#This Row],[Tegevusala nimetus2]],Table4[[Tegevusala nimetus]:[Tegevusala koondnimetus]],2,FALSE)</f>
        <v>Haridus</v>
      </c>
      <c r="F818" t="s">
        <v>1870</v>
      </c>
      <c r="G818" t="s">
        <v>403</v>
      </c>
      <c r="H818" s="40">
        <v>50</v>
      </c>
      <c r="J818">
        <v>5500</v>
      </c>
      <c r="K818" s="3" t="str">
        <f>VLOOKUP(Table2[[#This Row],[Konto]],Table5[[Konto]:[Konto nimetus]],2,FALSE)</f>
        <v>Administreerimiskulud</v>
      </c>
      <c r="L818">
        <v>55</v>
      </c>
      <c r="M818" t="str">
        <f t="shared" si="25"/>
        <v>55</v>
      </c>
      <c r="N818" s="3" t="str">
        <f>VLOOKUP(Table2[[#This Row],[Tulu/kulu liik2]],Table5[[Tulu/kulu liik]:[Kontode koondnimetus]],4,FALSE)</f>
        <v>Muud tegevuskulud</v>
      </c>
      <c r="O818" s="3" t="str">
        <f>VLOOKUP(Table2[[#This Row],[Tulu/kulu liik2]],Table5[],6,FALSE)</f>
        <v>Majandamiskulud</v>
      </c>
      <c r="P818" s="3" t="str">
        <f>VLOOKUP(Table2[[#This Row],[Tulu/kulu liik2]],Table5[],5,FALSE)</f>
        <v>Põhitegevuse kulu</v>
      </c>
    </row>
    <row r="819" spans="1:16" x14ac:dyDescent="0.25">
      <c r="A819" t="str">
        <f t="shared" si="24"/>
        <v>09</v>
      </c>
      <c r="B819" t="s">
        <v>341</v>
      </c>
      <c r="C819" s="3" t="str">
        <f>VLOOKUP(Table2[[#This Row],[Tegevusala]],Table4[],2,FALSE)</f>
        <v xml:space="preserve"> Muuga Laekvere kool-Muuga õppehoone</v>
      </c>
      <c r="D819" s="3" t="str">
        <f>VLOOKUP(Table2[[#This Row],[Tegevusala]],Table4[[Tegevusala kood]:[Tegevusala alanimetus]],4,FALSE)</f>
        <v>Põhihariduse otsekulud</v>
      </c>
      <c r="E819" s="3" t="str">
        <f>VLOOKUP(Table2[[#This Row],[Tegevusala nimetus2]],Table4[[Tegevusala nimetus]:[Tegevusala koondnimetus]],2,FALSE)</f>
        <v>Haridus</v>
      </c>
      <c r="F819" t="s">
        <v>1870</v>
      </c>
      <c r="G819" t="s">
        <v>404</v>
      </c>
      <c r="H819" s="40">
        <v>300</v>
      </c>
      <c r="J819">
        <v>5500</v>
      </c>
      <c r="K819" s="3" t="str">
        <f>VLOOKUP(Table2[[#This Row],[Konto]],Table5[[Konto]:[Konto nimetus]],2,FALSE)</f>
        <v>Administreerimiskulud</v>
      </c>
      <c r="L819">
        <v>55</v>
      </c>
      <c r="M819" t="str">
        <f t="shared" si="25"/>
        <v>55</v>
      </c>
      <c r="N819" s="3" t="str">
        <f>VLOOKUP(Table2[[#This Row],[Tulu/kulu liik2]],Table5[[Tulu/kulu liik]:[Kontode koondnimetus]],4,FALSE)</f>
        <v>Muud tegevuskulud</v>
      </c>
      <c r="O819" s="3" t="str">
        <f>VLOOKUP(Table2[[#This Row],[Tulu/kulu liik2]],Table5[],6,FALSE)</f>
        <v>Majandamiskulud</v>
      </c>
      <c r="P819" s="3" t="str">
        <f>VLOOKUP(Table2[[#This Row],[Tulu/kulu liik2]],Table5[],5,FALSE)</f>
        <v>Põhitegevuse kulu</v>
      </c>
    </row>
    <row r="820" spans="1:16" x14ac:dyDescent="0.25">
      <c r="A820" t="str">
        <f t="shared" si="24"/>
        <v>09</v>
      </c>
      <c r="B820" t="s">
        <v>341</v>
      </c>
      <c r="C820" s="3" t="str">
        <f>VLOOKUP(Table2[[#This Row],[Tegevusala]],Table4[],2,FALSE)</f>
        <v xml:space="preserve"> Muuga Laekvere kool-Muuga õppehoone</v>
      </c>
      <c r="D820" s="3" t="str">
        <f>VLOOKUP(Table2[[#This Row],[Tegevusala]],Table4[[Tegevusala kood]:[Tegevusala alanimetus]],4,FALSE)</f>
        <v>Põhihariduse otsekulud</v>
      </c>
      <c r="E820" s="3" t="str">
        <f>VLOOKUP(Table2[[#This Row],[Tegevusala nimetus2]],Table4[[Tegevusala nimetus]:[Tegevusala koondnimetus]],2,FALSE)</f>
        <v>Haridus</v>
      </c>
      <c r="F820" t="s">
        <v>1870</v>
      </c>
      <c r="G820" t="s">
        <v>405</v>
      </c>
      <c r="H820" s="40">
        <v>0</v>
      </c>
      <c r="J820">
        <v>5500</v>
      </c>
      <c r="K820" s="3" t="str">
        <f>VLOOKUP(Table2[[#This Row],[Konto]],Table5[[Konto]:[Konto nimetus]],2,FALSE)</f>
        <v>Administreerimiskulud</v>
      </c>
      <c r="L820">
        <v>55</v>
      </c>
      <c r="M820" t="str">
        <f t="shared" si="25"/>
        <v>55</v>
      </c>
      <c r="N820" s="3" t="str">
        <f>VLOOKUP(Table2[[#This Row],[Tulu/kulu liik2]],Table5[[Tulu/kulu liik]:[Kontode koondnimetus]],4,FALSE)</f>
        <v>Muud tegevuskulud</v>
      </c>
      <c r="O820" s="3" t="str">
        <f>VLOOKUP(Table2[[#This Row],[Tulu/kulu liik2]],Table5[],6,FALSE)</f>
        <v>Majandamiskulud</v>
      </c>
      <c r="P820" s="3" t="str">
        <f>VLOOKUP(Table2[[#This Row],[Tulu/kulu liik2]],Table5[],5,FALSE)</f>
        <v>Põhitegevuse kulu</v>
      </c>
    </row>
    <row r="821" spans="1:16" x14ac:dyDescent="0.25">
      <c r="A821" t="str">
        <f t="shared" si="24"/>
        <v>09</v>
      </c>
      <c r="B821" t="s">
        <v>341</v>
      </c>
      <c r="C821" s="3" t="str">
        <f>VLOOKUP(Table2[[#This Row],[Tegevusala]],Table4[],2,FALSE)</f>
        <v xml:space="preserve"> Muuga Laekvere kool-Muuga õppehoone</v>
      </c>
      <c r="D821" s="3" t="str">
        <f>VLOOKUP(Table2[[#This Row],[Tegevusala]],Table4[[Tegevusala kood]:[Tegevusala alanimetus]],4,FALSE)</f>
        <v>Põhihariduse otsekulud</v>
      </c>
      <c r="E821" s="3" t="str">
        <f>VLOOKUP(Table2[[#This Row],[Tegevusala nimetus2]],Table4[[Tegevusala nimetus]:[Tegevusala koondnimetus]],2,FALSE)</f>
        <v>Haridus</v>
      </c>
      <c r="F821" t="s">
        <v>1870</v>
      </c>
      <c r="G821" t="s">
        <v>406</v>
      </c>
      <c r="H821" s="40">
        <v>150</v>
      </c>
      <c r="J821">
        <v>5500</v>
      </c>
      <c r="K821" s="3" t="str">
        <f>VLOOKUP(Table2[[#This Row],[Konto]],Table5[[Konto]:[Konto nimetus]],2,FALSE)</f>
        <v>Administreerimiskulud</v>
      </c>
      <c r="L821">
        <v>55</v>
      </c>
      <c r="M821" t="str">
        <f t="shared" si="25"/>
        <v>55</v>
      </c>
      <c r="N821" s="3" t="str">
        <f>VLOOKUP(Table2[[#This Row],[Tulu/kulu liik2]],Table5[[Tulu/kulu liik]:[Kontode koondnimetus]],4,FALSE)</f>
        <v>Muud tegevuskulud</v>
      </c>
      <c r="O821" s="3" t="str">
        <f>VLOOKUP(Table2[[#This Row],[Tulu/kulu liik2]],Table5[],6,FALSE)</f>
        <v>Majandamiskulud</v>
      </c>
      <c r="P821" s="3" t="str">
        <f>VLOOKUP(Table2[[#This Row],[Tulu/kulu liik2]],Table5[],5,FALSE)</f>
        <v>Põhitegevuse kulu</v>
      </c>
    </row>
    <row r="822" spans="1:16" x14ac:dyDescent="0.25">
      <c r="A822" t="str">
        <f t="shared" si="24"/>
        <v>09</v>
      </c>
      <c r="B822" t="s">
        <v>341</v>
      </c>
      <c r="C822" s="3" t="str">
        <f>VLOOKUP(Table2[[#This Row],[Tegevusala]],Table4[],2,FALSE)</f>
        <v xml:space="preserve"> Muuga Laekvere kool-Muuga õppehoone</v>
      </c>
      <c r="D822" s="3" t="str">
        <f>VLOOKUP(Table2[[#This Row],[Tegevusala]],Table4[[Tegevusala kood]:[Tegevusala alanimetus]],4,FALSE)</f>
        <v>Põhihariduse otsekulud</v>
      </c>
      <c r="E822" s="3" t="str">
        <f>VLOOKUP(Table2[[#This Row],[Tegevusala nimetus2]],Table4[[Tegevusala nimetus]:[Tegevusala koondnimetus]],2,FALSE)</f>
        <v>Haridus</v>
      </c>
      <c r="F822" t="s">
        <v>1870</v>
      </c>
      <c r="G822" t="s">
        <v>407</v>
      </c>
      <c r="H822" s="40">
        <v>150</v>
      </c>
      <c r="J822">
        <v>5500</v>
      </c>
      <c r="K822" s="3" t="str">
        <f>VLOOKUP(Table2[[#This Row],[Konto]],Table5[[Konto]:[Konto nimetus]],2,FALSE)</f>
        <v>Administreerimiskulud</v>
      </c>
      <c r="L822">
        <v>55</v>
      </c>
      <c r="M822" t="str">
        <f t="shared" si="25"/>
        <v>55</v>
      </c>
      <c r="N822" s="3" t="str">
        <f>VLOOKUP(Table2[[#This Row],[Tulu/kulu liik2]],Table5[[Tulu/kulu liik]:[Kontode koondnimetus]],4,FALSE)</f>
        <v>Muud tegevuskulud</v>
      </c>
      <c r="O822" s="3" t="str">
        <f>VLOOKUP(Table2[[#This Row],[Tulu/kulu liik2]],Table5[],6,FALSE)</f>
        <v>Majandamiskulud</v>
      </c>
      <c r="P822" s="3" t="str">
        <f>VLOOKUP(Table2[[#This Row],[Tulu/kulu liik2]],Table5[],5,FALSE)</f>
        <v>Põhitegevuse kulu</v>
      </c>
    </row>
    <row r="823" spans="1:16" x14ac:dyDescent="0.25">
      <c r="A823" t="str">
        <f t="shared" si="24"/>
        <v>09</v>
      </c>
      <c r="B823" t="s">
        <v>341</v>
      </c>
      <c r="C823" s="3" t="str">
        <f>VLOOKUP(Table2[[#This Row],[Tegevusala]],Table4[],2,FALSE)</f>
        <v xml:space="preserve"> Muuga Laekvere kool-Muuga õppehoone</v>
      </c>
      <c r="D823" s="3" t="str">
        <f>VLOOKUP(Table2[[#This Row],[Tegevusala]],Table4[[Tegevusala kood]:[Tegevusala alanimetus]],4,FALSE)</f>
        <v>Põhihariduse otsekulud</v>
      </c>
      <c r="E823" s="3" t="str">
        <f>VLOOKUP(Table2[[#This Row],[Tegevusala nimetus2]],Table4[[Tegevusala nimetus]:[Tegevusala koondnimetus]],2,FALSE)</f>
        <v>Haridus</v>
      </c>
      <c r="F823" t="s">
        <v>1870</v>
      </c>
      <c r="G823" t="s">
        <v>408</v>
      </c>
      <c r="H823" s="40">
        <v>50</v>
      </c>
      <c r="J823">
        <v>5500</v>
      </c>
      <c r="K823" s="3" t="str">
        <f>VLOOKUP(Table2[[#This Row],[Konto]],Table5[[Konto]:[Konto nimetus]],2,FALSE)</f>
        <v>Administreerimiskulud</v>
      </c>
      <c r="L823">
        <v>55</v>
      </c>
      <c r="M823" t="str">
        <f t="shared" si="25"/>
        <v>55</v>
      </c>
      <c r="N823" s="3" t="str">
        <f>VLOOKUP(Table2[[#This Row],[Tulu/kulu liik2]],Table5[[Tulu/kulu liik]:[Kontode koondnimetus]],4,FALSE)</f>
        <v>Muud tegevuskulud</v>
      </c>
      <c r="O823" s="3" t="str">
        <f>VLOOKUP(Table2[[#This Row],[Tulu/kulu liik2]],Table5[],6,FALSE)</f>
        <v>Majandamiskulud</v>
      </c>
      <c r="P823" s="3" t="str">
        <f>VLOOKUP(Table2[[#This Row],[Tulu/kulu liik2]],Table5[],5,FALSE)</f>
        <v>Põhitegevuse kulu</v>
      </c>
    </row>
    <row r="824" spans="1:16" x14ac:dyDescent="0.25">
      <c r="A824" t="str">
        <f t="shared" si="24"/>
        <v>09</v>
      </c>
      <c r="B824" t="s">
        <v>341</v>
      </c>
      <c r="C824" s="3" t="str">
        <f>VLOOKUP(Table2[[#This Row],[Tegevusala]],Table4[],2,FALSE)</f>
        <v xml:space="preserve"> Muuga Laekvere kool-Muuga õppehoone</v>
      </c>
      <c r="D824" s="3" t="str">
        <f>VLOOKUP(Table2[[#This Row],[Tegevusala]],Table4[[Tegevusala kood]:[Tegevusala alanimetus]],4,FALSE)</f>
        <v>Põhihariduse otsekulud</v>
      </c>
      <c r="E824" s="3" t="str">
        <f>VLOOKUP(Table2[[#This Row],[Tegevusala nimetus2]],Table4[[Tegevusala nimetus]:[Tegevusala koondnimetus]],2,FALSE)</f>
        <v>Haridus</v>
      </c>
      <c r="F824" t="s">
        <v>1870</v>
      </c>
      <c r="G824" t="s">
        <v>1872</v>
      </c>
      <c r="H824" s="40">
        <v>150</v>
      </c>
      <c r="J824">
        <v>5500</v>
      </c>
      <c r="K824" s="3" t="str">
        <f>VLOOKUP(Table2[[#This Row],[Konto]],Table5[[Konto]:[Konto nimetus]],2,FALSE)</f>
        <v>Administreerimiskulud</v>
      </c>
      <c r="L824">
        <v>55</v>
      </c>
      <c r="M824" t="str">
        <f t="shared" si="25"/>
        <v>55</v>
      </c>
      <c r="N824" s="3" t="str">
        <f>VLOOKUP(Table2[[#This Row],[Tulu/kulu liik2]],Table5[[Tulu/kulu liik]:[Kontode koondnimetus]],4,FALSE)</f>
        <v>Muud tegevuskulud</v>
      </c>
      <c r="O824" s="3" t="str">
        <f>VLOOKUP(Table2[[#This Row],[Tulu/kulu liik2]],Table5[],6,FALSE)</f>
        <v>Majandamiskulud</v>
      </c>
      <c r="P824" s="3" t="str">
        <f>VLOOKUP(Table2[[#This Row],[Tulu/kulu liik2]],Table5[],5,FALSE)</f>
        <v>Põhitegevuse kulu</v>
      </c>
    </row>
    <row r="825" spans="1:16" x14ac:dyDescent="0.25">
      <c r="A825" t="str">
        <f t="shared" si="24"/>
        <v>09</v>
      </c>
      <c r="B825" t="s">
        <v>341</v>
      </c>
      <c r="C825" s="3" t="str">
        <f>VLOOKUP(Table2[[#This Row],[Tegevusala]],Table4[],2,FALSE)</f>
        <v xml:space="preserve"> Muuga Laekvere kool-Muuga õppehoone</v>
      </c>
      <c r="D825" s="3" t="str">
        <f>VLOOKUP(Table2[[#This Row],[Tegevusala]],Table4[[Tegevusala kood]:[Tegevusala alanimetus]],4,FALSE)</f>
        <v>Põhihariduse otsekulud</v>
      </c>
      <c r="E825" s="3" t="str">
        <f>VLOOKUP(Table2[[#This Row],[Tegevusala nimetus2]],Table4[[Tegevusala nimetus]:[Tegevusala koondnimetus]],2,FALSE)</f>
        <v>Haridus</v>
      </c>
      <c r="F825" t="s">
        <v>1870</v>
      </c>
      <c r="G825" t="s">
        <v>1521</v>
      </c>
      <c r="H825" s="40">
        <f>800-615.36</f>
        <v>184.64</v>
      </c>
      <c r="J825">
        <v>5504</v>
      </c>
      <c r="K825" s="3" t="str">
        <f>VLOOKUP(Table2[[#This Row],[Konto]],Table5[[Konto]:[Konto nimetus]],2,FALSE)</f>
        <v>Koolituskulud</v>
      </c>
      <c r="L825">
        <v>55</v>
      </c>
      <c r="M825" t="str">
        <f t="shared" si="25"/>
        <v>55</v>
      </c>
      <c r="N825" s="3" t="str">
        <f>VLOOKUP(Table2[[#This Row],[Tulu/kulu liik2]],Table5[[Tulu/kulu liik]:[Kontode koondnimetus]],4,FALSE)</f>
        <v>Muud tegevuskulud</v>
      </c>
      <c r="O825" s="3" t="str">
        <f>VLOOKUP(Table2[[#This Row],[Tulu/kulu liik2]],Table5[],6,FALSE)</f>
        <v>Majandamiskulud</v>
      </c>
      <c r="P825" s="3" t="str">
        <f>VLOOKUP(Table2[[#This Row],[Tulu/kulu liik2]],Table5[],5,FALSE)</f>
        <v>Põhitegevuse kulu</v>
      </c>
    </row>
    <row r="826" spans="1:16" x14ac:dyDescent="0.25">
      <c r="A826" t="str">
        <f t="shared" si="24"/>
        <v>09</v>
      </c>
      <c r="B826" t="s">
        <v>341</v>
      </c>
      <c r="C826" s="3" t="str">
        <f>VLOOKUP(Table2[[#This Row],[Tegevusala]],Table4[],2,FALSE)</f>
        <v xml:space="preserve"> Muuga Laekvere kool-Muuga õppehoone</v>
      </c>
      <c r="D826" s="3" t="str">
        <f>VLOOKUP(Table2[[#This Row],[Tegevusala]],Table4[[Tegevusala kood]:[Tegevusala alanimetus]],4,FALSE)</f>
        <v>Põhihariduse otsekulud</v>
      </c>
      <c r="E826" s="3" t="str">
        <f>VLOOKUP(Table2[[#This Row],[Tegevusala nimetus2]],Table4[[Tegevusala nimetus]:[Tegevusala koondnimetus]],2,FALSE)</f>
        <v>Haridus</v>
      </c>
      <c r="F826" t="s">
        <v>1870</v>
      </c>
      <c r="G826" t="s">
        <v>417</v>
      </c>
      <c r="H826" s="40">
        <v>600</v>
      </c>
      <c r="J826">
        <v>5513</v>
      </c>
      <c r="K826" s="3" t="str">
        <f>VLOOKUP(Table2[[#This Row],[Konto]],Table5[[Konto]:[Konto nimetus]],2,FALSE)</f>
        <v>Sõidukite ülalpidamise kulud</v>
      </c>
      <c r="L826">
        <v>55</v>
      </c>
      <c r="M826" t="str">
        <f t="shared" si="25"/>
        <v>55</v>
      </c>
      <c r="N826" s="3" t="str">
        <f>VLOOKUP(Table2[[#This Row],[Tulu/kulu liik2]],Table5[[Tulu/kulu liik]:[Kontode koondnimetus]],4,FALSE)</f>
        <v>Muud tegevuskulud</v>
      </c>
      <c r="O826" s="3" t="str">
        <f>VLOOKUP(Table2[[#This Row],[Tulu/kulu liik2]],Table5[],6,FALSE)</f>
        <v>Majandamiskulud</v>
      </c>
      <c r="P826" s="3" t="str">
        <f>VLOOKUP(Table2[[#This Row],[Tulu/kulu liik2]],Table5[],5,FALSE)</f>
        <v>Põhitegevuse kulu</v>
      </c>
    </row>
    <row r="827" spans="1:16" x14ac:dyDescent="0.25">
      <c r="A827" s="33" t="str">
        <f t="shared" si="24"/>
        <v>09</v>
      </c>
      <c r="B827" s="33" t="s">
        <v>341</v>
      </c>
      <c r="C827" s="34" t="str">
        <f>VLOOKUP(Table2[[#This Row],[Tegevusala]],Table4[],2,FALSE)</f>
        <v xml:space="preserve"> Muuga Laekvere kool-Muuga õppehoone</v>
      </c>
      <c r="D827" s="34" t="str">
        <f>VLOOKUP(Table2[[#This Row],[Tegevusala]],Table4[[Tegevusala kood]:[Tegevusala alanimetus]],4,FALSE)</f>
        <v>Põhihariduse otsekulud</v>
      </c>
      <c r="E827" s="34" t="str">
        <f>VLOOKUP(Table2[[#This Row],[Tegevusala nimetus2]],Table4[[Tegevusala nimetus]:[Tegevusala koondnimetus]],2,FALSE)</f>
        <v>Haridus</v>
      </c>
      <c r="F827" s="33" t="s">
        <v>1870</v>
      </c>
      <c r="G827" s="33" t="s">
        <v>418</v>
      </c>
      <c r="H827" s="47">
        <v>3500</v>
      </c>
      <c r="I827" s="35"/>
      <c r="J827" s="33">
        <v>5513</v>
      </c>
      <c r="K827" s="34" t="str">
        <f>VLOOKUP(Table2[[#This Row],[Konto]],Table5[[Konto]:[Konto nimetus]],2,FALSE)</f>
        <v>Sõidukite ülalpidamise kulud</v>
      </c>
      <c r="L827" s="33">
        <v>55</v>
      </c>
      <c r="M827" s="33" t="str">
        <f t="shared" si="25"/>
        <v>55</v>
      </c>
      <c r="N827" s="34" t="str">
        <f>VLOOKUP(Table2[[#This Row],[Tulu/kulu liik2]],Table5[[Tulu/kulu liik]:[Kontode koondnimetus]],4,FALSE)</f>
        <v>Muud tegevuskulud</v>
      </c>
      <c r="O827" s="34" t="str">
        <f>VLOOKUP(Table2[[#This Row],[Tulu/kulu liik2]],Table5[],6,FALSE)</f>
        <v>Majandamiskulud</v>
      </c>
      <c r="P827" s="34" t="str">
        <f>VLOOKUP(Table2[[#This Row],[Tulu/kulu liik2]],Table5[],5,FALSE)</f>
        <v>Põhitegevuse kulu</v>
      </c>
    </row>
    <row r="828" spans="1:16" x14ac:dyDescent="0.25">
      <c r="A828" t="str">
        <f t="shared" si="24"/>
        <v>09</v>
      </c>
      <c r="B828" t="s">
        <v>341</v>
      </c>
      <c r="C828" s="3" t="str">
        <f>VLOOKUP(Table2[[#This Row],[Tegevusala]],Table4[],2,FALSE)</f>
        <v xml:space="preserve"> Muuga Laekvere kool-Muuga õppehoone</v>
      </c>
      <c r="D828" s="3" t="str">
        <f>VLOOKUP(Table2[[#This Row],[Tegevusala]],Table4[[Tegevusala kood]:[Tegevusala alanimetus]],4,FALSE)</f>
        <v>Põhihariduse otsekulud</v>
      </c>
      <c r="E828" s="3" t="str">
        <f>VLOOKUP(Table2[[#This Row],[Tegevusala nimetus2]],Table4[[Tegevusala nimetus]:[Tegevusala koondnimetus]],2,FALSE)</f>
        <v>Haridus</v>
      </c>
      <c r="F828" t="s">
        <v>1870</v>
      </c>
      <c r="G828" t="s">
        <v>423</v>
      </c>
      <c r="H828" s="40">
        <v>500</v>
      </c>
      <c r="J828">
        <v>5515</v>
      </c>
      <c r="K828" s="3" t="str">
        <f>VLOOKUP(Table2[[#This Row],[Konto]],Table5[[Konto]:[Konto nimetus]],2,FALSE)</f>
        <v>Inventari kulud, v.a infotehnoloogia ja kaitseotstarbelised kulud</v>
      </c>
      <c r="L828">
        <v>55</v>
      </c>
      <c r="M828" t="str">
        <f t="shared" si="25"/>
        <v>55</v>
      </c>
      <c r="N828" s="3" t="str">
        <f>VLOOKUP(Table2[[#This Row],[Tulu/kulu liik2]],Table5[[Tulu/kulu liik]:[Kontode koondnimetus]],4,FALSE)</f>
        <v>Muud tegevuskulud</v>
      </c>
      <c r="O828" s="3" t="str">
        <f>VLOOKUP(Table2[[#This Row],[Tulu/kulu liik2]],Table5[],6,FALSE)</f>
        <v>Majandamiskulud</v>
      </c>
      <c r="P828" s="3" t="str">
        <f>VLOOKUP(Table2[[#This Row],[Tulu/kulu liik2]],Table5[],5,FALSE)</f>
        <v>Põhitegevuse kulu</v>
      </c>
    </row>
    <row r="829" spans="1:16" x14ac:dyDescent="0.25">
      <c r="A829" t="str">
        <f t="shared" si="24"/>
        <v>09</v>
      </c>
      <c r="B829" t="s">
        <v>341</v>
      </c>
      <c r="C829" s="3" t="str">
        <f>VLOOKUP(Table2[[#This Row],[Tegevusala]],Table4[],2,FALSE)</f>
        <v xml:space="preserve"> Muuga Laekvere kool-Muuga õppehoone</v>
      </c>
      <c r="D829" s="3" t="str">
        <f>VLOOKUP(Table2[[#This Row],[Tegevusala]],Table4[[Tegevusala kood]:[Tegevusala alanimetus]],4,FALSE)</f>
        <v>Põhihariduse otsekulud</v>
      </c>
      <c r="E829" s="3" t="str">
        <f>VLOOKUP(Table2[[#This Row],[Tegevusala nimetus2]],Table4[[Tegevusala nimetus]:[Tegevusala koondnimetus]],2,FALSE)</f>
        <v>Haridus</v>
      </c>
      <c r="F829" t="s">
        <v>1870</v>
      </c>
      <c r="G829" t="s">
        <v>1874</v>
      </c>
      <c r="H829" s="40">
        <v>700</v>
      </c>
      <c r="J829">
        <v>5515</v>
      </c>
      <c r="K829" s="3" t="str">
        <f>VLOOKUP(Table2[[#This Row],[Konto]],Table5[[Konto]:[Konto nimetus]],2,FALSE)</f>
        <v>Inventari kulud, v.a infotehnoloogia ja kaitseotstarbelised kulud</v>
      </c>
      <c r="L829">
        <v>55</v>
      </c>
      <c r="M829" t="str">
        <f t="shared" si="25"/>
        <v>55</v>
      </c>
      <c r="N829" s="3" t="str">
        <f>VLOOKUP(Table2[[#This Row],[Tulu/kulu liik2]],Table5[[Tulu/kulu liik]:[Kontode koondnimetus]],4,FALSE)</f>
        <v>Muud tegevuskulud</v>
      </c>
      <c r="O829" s="3" t="str">
        <f>VLOOKUP(Table2[[#This Row],[Tulu/kulu liik2]],Table5[],6,FALSE)</f>
        <v>Majandamiskulud</v>
      </c>
      <c r="P829" s="3" t="str">
        <f>VLOOKUP(Table2[[#This Row],[Tulu/kulu liik2]],Table5[],5,FALSE)</f>
        <v>Põhitegevuse kulu</v>
      </c>
    </row>
    <row r="830" spans="1:16" x14ac:dyDescent="0.25">
      <c r="A830" t="str">
        <f t="shared" si="24"/>
        <v>09</v>
      </c>
      <c r="B830" t="s">
        <v>341</v>
      </c>
      <c r="C830" s="3" t="str">
        <f>VLOOKUP(Table2[[#This Row],[Tegevusala]],Table4[],2,FALSE)</f>
        <v xml:space="preserve"> Muuga Laekvere kool-Muuga õppehoone</v>
      </c>
      <c r="D830" s="3" t="str">
        <f>VLOOKUP(Table2[[#This Row],[Tegevusala]],Table4[[Tegevusala kood]:[Tegevusala alanimetus]],4,FALSE)</f>
        <v>Põhihariduse otsekulud</v>
      </c>
      <c r="E830" s="3" t="str">
        <f>VLOOKUP(Table2[[#This Row],[Tegevusala nimetus2]],Table4[[Tegevusala nimetus]:[Tegevusala koondnimetus]],2,FALSE)</f>
        <v>Haridus</v>
      </c>
      <c r="F830" t="s">
        <v>1870</v>
      </c>
      <c r="G830" t="s">
        <v>422</v>
      </c>
      <c r="H830" s="40">
        <v>300</v>
      </c>
      <c r="J830">
        <v>5515</v>
      </c>
      <c r="K830" s="3" t="str">
        <f>VLOOKUP(Table2[[#This Row],[Konto]],Table5[[Konto]:[Konto nimetus]],2,FALSE)</f>
        <v>Inventari kulud, v.a infotehnoloogia ja kaitseotstarbelised kulud</v>
      </c>
      <c r="L830">
        <v>55</v>
      </c>
      <c r="M830" t="str">
        <f t="shared" si="25"/>
        <v>55</v>
      </c>
      <c r="N830" s="3" t="str">
        <f>VLOOKUP(Table2[[#This Row],[Tulu/kulu liik2]],Table5[[Tulu/kulu liik]:[Kontode koondnimetus]],4,FALSE)</f>
        <v>Muud tegevuskulud</v>
      </c>
      <c r="O830" s="3" t="str">
        <f>VLOOKUP(Table2[[#This Row],[Tulu/kulu liik2]],Table5[],6,FALSE)</f>
        <v>Majandamiskulud</v>
      </c>
      <c r="P830" s="3" t="str">
        <f>VLOOKUP(Table2[[#This Row],[Tulu/kulu liik2]],Table5[],5,FALSE)</f>
        <v>Põhitegevuse kulu</v>
      </c>
    </row>
    <row r="831" spans="1:16" x14ac:dyDescent="0.25">
      <c r="A831" t="str">
        <f t="shared" si="24"/>
        <v>09</v>
      </c>
      <c r="B831" t="s">
        <v>341</v>
      </c>
      <c r="C831" s="3" t="str">
        <f>VLOOKUP(Table2[[#This Row],[Tegevusala]],Table4[],2,FALSE)</f>
        <v xml:space="preserve"> Muuga Laekvere kool-Muuga õppehoone</v>
      </c>
      <c r="D831" s="3" t="str">
        <f>VLOOKUP(Table2[[#This Row],[Tegevusala]],Table4[[Tegevusala kood]:[Tegevusala alanimetus]],4,FALSE)</f>
        <v>Põhihariduse otsekulud</v>
      </c>
      <c r="E831" s="3" t="str">
        <f>VLOOKUP(Table2[[#This Row],[Tegevusala nimetus2]],Table4[[Tegevusala nimetus]:[Tegevusala koondnimetus]],2,FALSE)</f>
        <v>Haridus</v>
      </c>
      <c r="F831" t="s">
        <v>1870</v>
      </c>
      <c r="G831" t="s">
        <v>1138</v>
      </c>
      <c r="H831" s="40">
        <v>5985</v>
      </c>
      <c r="I831" s="2" t="s">
        <v>2203</v>
      </c>
      <c r="J831">
        <v>5521</v>
      </c>
      <c r="K831" s="3" t="str">
        <f>VLOOKUP(Table2[[#This Row],[Konto]],Table5[[Konto]:[Konto nimetus]],2,FALSE)</f>
        <v>Toiduained ja toitlustusteenused</v>
      </c>
      <c r="L831">
        <v>55</v>
      </c>
      <c r="M831" t="str">
        <f t="shared" si="25"/>
        <v>55</v>
      </c>
      <c r="N831" s="3" t="str">
        <f>VLOOKUP(Table2[[#This Row],[Tulu/kulu liik2]],Table5[[Tulu/kulu liik]:[Kontode koondnimetus]],4,FALSE)</f>
        <v>Muud tegevuskulud</v>
      </c>
      <c r="O831" s="3" t="str">
        <f>VLOOKUP(Table2[[#This Row],[Tulu/kulu liik2]],Table5[],6,FALSE)</f>
        <v>Majandamiskulud</v>
      </c>
      <c r="P831" s="3" t="str">
        <f>VLOOKUP(Table2[[#This Row],[Tulu/kulu liik2]],Table5[],5,FALSE)</f>
        <v>Põhitegevuse kulu</v>
      </c>
    </row>
    <row r="832" spans="1:16" x14ac:dyDescent="0.25">
      <c r="A832" t="str">
        <f t="shared" si="24"/>
        <v>09</v>
      </c>
      <c r="B832" t="s">
        <v>341</v>
      </c>
      <c r="C832" s="3" t="str">
        <f>VLOOKUP(Table2[[#This Row],[Tegevusala]],Table4[],2,FALSE)</f>
        <v xml:space="preserve"> Muuga Laekvere kool-Muuga õppehoone</v>
      </c>
      <c r="D832" s="3" t="str">
        <f>VLOOKUP(Table2[[#This Row],[Tegevusala]],Table4[[Tegevusala kood]:[Tegevusala alanimetus]],4,FALSE)</f>
        <v>Põhihariduse otsekulud</v>
      </c>
      <c r="E832" s="3" t="str">
        <f>VLOOKUP(Table2[[#This Row],[Tegevusala nimetus2]],Table4[[Tegevusala nimetus]:[Tegevusala koondnimetus]],2,FALSE)</f>
        <v>Haridus</v>
      </c>
      <c r="F832" t="s">
        <v>1870</v>
      </c>
      <c r="G832" t="s">
        <v>424</v>
      </c>
      <c r="H832" s="40">
        <v>100</v>
      </c>
      <c r="J832">
        <v>5522</v>
      </c>
      <c r="K832" s="3" t="str">
        <f>VLOOKUP(Table2[[#This Row],[Konto]],Table5[[Konto]:[Konto nimetus]],2,FALSE)</f>
        <v>Meditsiinikulud ja hügieenitarbed</v>
      </c>
      <c r="L832">
        <v>55</v>
      </c>
      <c r="M832" t="str">
        <f t="shared" si="25"/>
        <v>55</v>
      </c>
      <c r="N832" s="3" t="str">
        <f>VLOOKUP(Table2[[#This Row],[Tulu/kulu liik2]],Table5[[Tulu/kulu liik]:[Kontode koondnimetus]],4,FALSE)</f>
        <v>Muud tegevuskulud</v>
      </c>
      <c r="O832" s="3" t="str">
        <f>VLOOKUP(Table2[[#This Row],[Tulu/kulu liik2]],Table5[],6,FALSE)</f>
        <v>Majandamiskulud</v>
      </c>
      <c r="P832" s="3" t="str">
        <f>VLOOKUP(Table2[[#This Row],[Tulu/kulu liik2]],Table5[],5,FALSE)</f>
        <v>Põhitegevuse kulu</v>
      </c>
    </row>
    <row r="833" spans="1:16" x14ac:dyDescent="0.25">
      <c r="A833" t="str">
        <f t="shared" si="24"/>
        <v>09</v>
      </c>
      <c r="B833" t="s">
        <v>341</v>
      </c>
      <c r="C833" s="3" t="str">
        <f>VLOOKUP(Table2[[#This Row],[Tegevusala]],Table4[],2,FALSE)</f>
        <v xml:space="preserve"> Muuga Laekvere kool-Muuga õppehoone</v>
      </c>
      <c r="D833" s="3" t="str">
        <f>VLOOKUP(Table2[[#This Row],[Tegevusala]],Table4[[Tegevusala kood]:[Tegevusala alanimetus]],4,FALSE)</f>
        <v>Põhihariduse otsekulud</v>
      </c>
      <c r="E833" s="3" t="str">
        <f>VLOOKUP(Table2[[#This Row],[Tegevusala nimetus2]],Table4[[Tegevusala nimetus]:[Tegevusala koondnimetus]],2,FALSE)</f>
        <v>Haridus</v>
      </c>
      <c r="F833" t="s">
        <v>1870</v>
      </c>
      <c r="G833" t="s">
        <v>425</v>
      </c>
      <c r="H833" s="40">
        <v>600</v>
      </c>
      <c r="J833">
        <v>5522</v>
      </c>
      <c r="K833" s="3" t="str">
        <f>VLOOKUP(Table2[[#This Row],[Konto]],Table5[[Konto]:[Konto nimetus]],2,FALSE)</f>
        <v>Meditsiinikulud ja hügieenitarbed</v>
      </c>
      <c r="L833">
        <v>55</v>
      </c>
      <c r="M833" t="str">
        <f t="shared" si="25"/>
        <v>55</v>
      </c>
      <c r="N833" s="3" t="str">
        <f>VLOOKUP(Table2[[#This Row],[Tulu/kulu liik2]],Table5[[Tulu/kulu liik]:[Kontode koondnimetus]],4,FALSE)</f>
        <v>Muud tegevuskulud</v>
      </c>
      <c r="O833" s="3" t="str">
        <f>VLOOKUP(Table2[[#This Row],[Tulu/kulu liik2]],Table5[],6,FALSE)</f>
        <v>Majandamiskulud</v>
      </c>
      <c r="P833" s="3" t="str">
        <f>VLOOKUP(Table2[[#This Row],[Tulu/kulu liik2]],Table5[],5,FALSE)</f>
        <v>Põhitegevuse kulu</v>
      </c>
    </row>
    <row r="834" spans="1:16" x14ac:dyDescent="0.25">
      <c r="A834" t="str">
        <f t="shared" ref="A834:A897" si="26">LEFT(B834,2)</f>
        <v>09</v>
      </c>
      <c r="B834" t="s">
        <v>341</v>
      </c>
      <c r="C834" s="3" t="str">
        <f>VLOOKUP(Table2[[#This Row],[Tegevusala]],Table4[],2,FALSE)</f>
        <v xml:space="preserve"> Muuga Laekvere kool-Muuga õppehoone</v>
      </c>
      <c r="D834" s="3" t="str">
        <f>VLOOKUP(Table2[[#This Row],[Tegevusala]],Table4[[Tegevusala kood]:[Tegevusala alanimetus]],4,FALSE)</f>
        <v>Põhihariduse otsekulud</v>
      </c>
      <c r="E834" s="3" t="str">
        <f>VLOOKUP(Table2[[#This Row],[Tegevusala nimetus2]],Table4[[Tegevusala nimetus]:[Tegevusala koondnimetus]],2,FALSE)</f>
        <v>Haridus</v>
      </c>
      <c r="F834" t="s">
        <v>1870</v>
      </c>
      <c r="G834" t="s">
        <v>426</v>
      </c>
      <c r="H834" s="40">
        <v>50</v>
      </c>
      <c r="J834">
        <v>5522</v>
      </c>
      <c r="K834" s="3" t="str">
        <f>VLOOKUP(Table2[[#This Row],[Konto]],Table5[[Konto]:[Konto nimetus]],2,FALSE)</f>
        <v>Meditsiinikulud ja hügieenitarbed</v>
      </c>
      <c r="L834">
        <v>55</v>
      </c>
      <c r="M834" t="str">
        <f t="shared" ref="M834:M897" si="27">LEFT(J834,2)</f>
        <v>55</v>
      </c>
      <c r="N834" s="3" t="str">
        <f>VLOOKUP(Table2[[#This Row],[Tulu/kulu liik2]],Table5[[Tulu/kulu liik]:[Kontode koondnimetus]],4,FALSE)</f>
        <v>Muud tegevuskulud</v>
      </c>
      <c r="O834" s="3" t="str">
        <f>VLOOKUP(Table2[[#This Row],[Tulu/kulu liik2]],Table5[],6,FALSE)</f>
        <v>Majandamiskulud</v>
      </c>
      <c r="P834" s="3" t="str">
        <f>VLOOKUP(Table2[[#This Row],[Tulu/kulu liik2]],Table5[],5,FALSE)</f>
        <v>Põhitegevuse kulu</v>
      </c>
    </row>
    <row r="835" spans="1:16" x14ac:dyDescent="0.25">
      <c r="A835" t="str">
        <f t="shared" si="26"/>
        <v>09</v>
      </c>
      <c r="B835" t="s">
        <v>341</v>
      </c>
      <c r="C835" s="3" t="str">
        <f>VLOOKUP(Table2[[#This Row],[Tegevusala]],Table4[],2,FALSE)</f>
        <v xml:space="preserve"> Muuga Laekvere kool-Muuga õppehoone</v>
      </c>
      <c r="D835" s="3" t="str">
        <f>VLOOKUP(Table2[[#This Row],[Tegevusala]],Table4[[Tegevusala kood]:[Tegevusala alanimetus]],4,FALSE)</f>
        <v>Põhihariduse otsekulud</v>
      </c>
      <c r="E835" s="3" t="str">
        <f>VLOOKUP(Table2[[#This Row],[Tegevusala nimetus2]],Table4[[Tegevusala nimetus]:[Tegevusala koondnimetus]],2,FALSE)</f>
        <v>Haridus</v>
      </c>
      <c r="F835" t="s">
        <v>1870</v>
      </c>
      <c r="G835" t="s">
        <v>427</v>
      </c>
      <c r="H835" s="40">
        <v>300</v>
      </c>
      <c r="J835">
        <v>5522</v>
      </c>
      <c r="K835" s="3" t="str">
        <f>VLOOKUP(Table2[[#This Row],[Konto]],Table5[[Konto]:[Konto nimetus]],2,FALSE)</f>
        <v>Meditsiinikulud ja hügieenitarbed</v>
      </c>
      <c r="L835">
        <v>55</v>
      </c>
      <c r="M835" t="str">
        <f t="shared" si="27"/>
        <v>55</v>
      </c>
      <c r="N835" s="3" t="str">
        <f>VLOOKUP(Table2[[#This Row],[Tulu/kulu liik2]],Table5[[Tulu/kulu liik]:[Kontode koondnimetus]],4,FALSE)</f>
        <v>Muud tegevuskulud</v>
      </c>
      <c r="O835" s="3" t="str">
        <f>VLOOKUP(Table2[[#This Row],[Tulu/kulu liik2]],Table5[],6,FALSE)</f>
        <v>Majandamiskulud</v>
      </c>
      <c r="P835" s="3" t="str">
        <f>VLOOKUP(Table2[[#This Row],[Tulu/kulu liik2]],Table5[],5,FALSE)</f>
        <v>Põhitegevuse kulu</v>
      </c>
    </row>
    <row r="836" spans="1:16" x14ac:dyDescent="0.25">
      <c r="A836" t="str">
        <f t="shared" si="26"/>
        <v>09</v>
      </c>
      <c r="B836" t="s">
        <v>341</v>
      </c>
      <c r="C836" s="3" t="str">
        <f>VLOOKUP(Table2[[#This Row],[Tegevusala]],Table4[],2,FALSE)</f>
        <v xml:space="preserve"> Muuga Laekvere kool-Muuga õppehoone</v>
      </c>
      <c r="D836" s="3" t="str">
        <f>VLOOKUP(Table2[[#This Row],[Tegevusala]],Table4[[Tegevusala kood]:[Tegevusala alanimetus]],4,FALSE)</f>
        <v>Põhihariduse otsekulud</v>
      </c>
      <c r="E836" s="3" t="str">
        <f>VLOOKUP(Table2[[#This Row],[Tegevusala nimetus2]],Table4[[Tegevusala nimetus]:[Tegevusala koondnimetus]],2,FALSE)</f>
        <v>Haridus</v>
      </c>
      <c r="F836" t="s">
        <v>1870</v>
      </c>
      <c r="G836" t="s">
        <v>428</v>
      </c>
      <c r="H836" s="40">
        <f>2500-2186.58</f>
        <v>313.42000000000007</v>
      </c>
      <c r="J836">
        <v>5524</v>
      </c>
      <c r="K836" s="3" t="str">
        <f>VLOOKUP(Table2[[#This Row],[Konto]],Table5[[Konto]:[Konto nimetus]],2,FALSE)</f>
        <v>Õppevahendid</v>
      </c>
      <c r="L836">
        <v>55</v>
      </c>
      <c r="M836" t="str">
        <f t="shared" si="27"/>
        <v>55</v>
      </c>
      <c r="N836" s="3" t="str">
        <f>VLOOKUP(Table2[[#This Row],[Tulu/kulu liik2]],Table5[[Tulu/kulu liik]:[Kontode koondnimetus]],4,FALSE)</f>
        <v>Muud tegevuskulud</v>
      </c>
      <c r="O836" s="3" t="str">
        <f>VLOOKUP(Table2[[#This Row],[Tulu/kulu liik2]],Table5[],6,FALSE)</f>
        <v>Majandamiskulud</v>
      </c>
      <c r="P836" s="3" t="str">
        <f>VLOOKUP(Table2[[#This Row],[Tulu/kulu liik2]],Table5[],5,FALSE)</f>
        <v>Põhitegevuse kulu</v>
      </c>
    </row>
    <row r="837" spans="1:16" x14ac:dyDescent="0.25">
      <c r="A837" t="str">
        <f t="shared" si="26"/>
        <v>09</v>
      </c>
      <c r="B837" t="s">
        <v>341</v>
      </c>
      <c r="C837" s="3" t="str">
        <f>VLOOKUP(Table2[[#This Row],[Tegevusala]],Table4[],2,FALSE)</f>
        <v xml:space="preserve"> Muuga Laekvere kool-Muuga õppehoone</v>
      </c>
      <c r="D837" s="3" t="str">
        <f>VLOOKUP(Table2[[#This Row],[Tegevusala]],Table4[[Tegevusala kood]:[Tegevusala alanimetus]],4,FALSE)</f>
        <v>Põhihariduse otsekulud</v>
      </c>
      <c r="E837" s="3" t="str">
        <f>VLOOKUP(Table2[[#This Row],[Tegevusala nimetus2]],Table4[[Tegevusala nimetus]:[Tegevusala koondnimetus]],2,FALSE)</f>
        <v>Haridus</v>
      </c>
      <c r="F837" t="s">
        <v>1870</v>
      </c>
      <c r="G837" t="s">
        <v>429</v>
      </c>
      <c r="H837" s="40">
        <v>500</v>
      </c>
      <c r="J837">
        <v>5524</v>
      </c>
      <c r="K837" s="3" t="str">
        <f>VLOOKUP(Table2[[#This Row],[Konto]],Table5[[Konto]:[Konto nimetus]],2,FALSE)</f>
        <v>Õppevahendid</v>
      </c>
      <c r="L837">
        <v>55</v>
      </c>
      <c r="M837" t="str">
        <f t="shared" si="27"/>
        <v>55</v>
      </c>
      <c r="N837" s="3" t="str">
        <f>VLOOKUP(Table2[[#This Row],[Tulu/kulu liik2]],Table5[[Tulu/kulu liik]:[Kontode koondnimetus]],4,FALSE)</f>
        <v>Muud tegevuskulud</v>
      </c>
      <c r="O837" s="3" t="str">
        <f>VLOOKUP(Table2[[#This Row],[Tulu/kulu liik2]],Table5[],6,FALSE)</f>
        <v>Majandamiskulud</v>
      </c>
      <c r="P837" s="3" t="str">
        <f>VLOOKUP(Table2[[#This Row],[Tulu/kulu liik2]],Table5[],5,FALSE)</f>
        <v>Põhitegevuse kulu</v>
      </c>
    </row>
    <row r="838" spans="1:16" x14ac:dyDescent="0.25">
      <c r="A838" t="str">
        <f t="shared" si="26"/>
        <v>09</v>
      </c>
      <c r="B838" t="s">
        <v>341</v>
      </c>
      <c r="C838" s="3" t="str">
        <f>VLOOKUP(Table2[[#This Row],[Tegevusala]],Table4[],2,FALSE)</f>
        <v xml:space="preserve"> Muuga Laekvere kool-Muuga õppehoone</v>
      </c>
      <c r="D838" s="3" t="str">
        <f>VLOOKUP(Table2[[#This Row],[Tegevusala]],Table4[[Tegevusala kood]:[Tegevusala alanimetus]],4,FALSE)</f>
        <v>Põhihariduse otsekulud</v>
      </c>
      <c r="E838" s="3" t="str">
        <f>VLOOKUP(Table2[[#This Row],[Tegevusala nimetus2]],Table4[[Tegevusala nimetus]:[Tegevusala koondnimetus]],2,FALSE)</f>
        <v>Haridus</v>
      </c>
      <c r="F838" t="s">
        <v>1870</v>
      </c>
      <c r="G838" t="s">
        <v>431</v>
      </c>
      <c r="H838" s="40">
        <v>500</v>
      </c>
      <c r="J838">
        <v>5524</v>
      </c>
      <c r="K838" s="3" t="str">
        <f>VLOOKUP(Table2[[#This Row],[Konto]],Table5[[Konto]:[Konto nimetus]],2,FALSE)</f>
        <v>Õppevahendid</v>
      </c>
      <c r="L838">
        <v>55</v>
      </c>
      <c r="M838" t="str">
        <f t="shared" si="27"/>
        <v>55</v>
      </c>
      <c r="N838" s="3" t="str">
        <f>VLOOKUP(Table2[[#This Row],[Tulu/kulu liik2]],Table5[[Tulu/kulu liik]:[Kontode koondnimetus]],4,FALSE)</f>
        <v>Muud tegevuskulud</v>
      </c>
      <c r="O838" s="3" t="str">
        <f>VLOOKUP(Table2[[#This Row],[Tulu/kulu liik2]],Table5[],6,FALSE)</f>
        <v>Majandamiskulud</v>
      </c>
      <c r="P838" s="3" t="str">
        <f>VLOOKUP(Table2[[#This Row],[Tulu/kulu liik2]],Table5[],5,FALSE)</f>
        <v>Põhitegevuse kulu</v>
      </c>
    </row>
    <row r="839" spans="1:16" x14ac:dyDescent="0.25">
      <c r="A839" t="str">
        <f t="shared" si="26"/>
        <v>09</v>
      </c>
      <c r="B839" t="s">
        <v>341</v>
      </c>
      <c r="C839" s="3" t="str">
        <f>VLOOKUP(Table2[[#This Row],[Tegevusala]],Table4[],2,FALSE)</f>
        <v xml:space="preserve"> Muuga Laekvere kool-Muuga õppehoone</v>
      </c>
      <c r="D839" s="3" t="str">
        <f>VLOOKUP(Table2[[#This Row],[Tegevusala]],Table4[[Tegevusala kood]:[Tegevusala alanimetus]],4,FALSE)</f>
        <v>Põhihariduse otsekulud</v>
      </c>
      <c r="E839" s="3" t="str">
        <f>VLOOKUP(Table2[[#This Row],[Tegevusala nimetus2]],Table4[[Tegevusala nimetus]:[Tegevusala koondnimetus]],2,FALSE)</f>
        <v>Haridus</v>
      </c>
      <c r="F839" t="s">
        <v>1870</v>
      </c>
      <c r="G839" t="s">
        <v>432</v>
      </c>
      <c r="H839" s="40">
        <v>2800</v>
      </c>
      <c r="J839">
        <v>5524</v>
      </c>
      <c r="K839" s="3" t="str">
        <f>VLOOKUP(Table2[[#This Row],[Konto]],Table5[[Konto]:[Konto nimetus]],2,FALSE)</f>
        <v>Õppevahendid</v>
      </c>
      <c r="L839">
        <v>55</v>
      </c>
      <c r="M839" t="str">
        <f t="shared" si="27"/>
        <v>55</v>
      </c>
      <c r="N839" s="3" t="str">
        <f>VLOOKUP(Table2[[#This Row],[Tulu/kulu liik2]],Table5[[Tulu/kulu liik]:[Kontode koondnimetus]],4,FALSE)</f>
        <v>Muud tegevuskulud</v>
      </c>
      <c r="O839" s="3" t="str">
        <f>VLOOKUP(Table2[[#This Row],[Tulu/kulu liik2]],Table5[],6,FALSE)</f>
        <v>Majandamiskulud</v>
      </c>
      <c r="P839" s="3" t="str">
        <f>VLOOKUP(Table2[[#This Row],[Tulu/kulu liik2]],Table5[],5,FALSE)</f>
        <v>Põhitegevuse kulu</v>
      </c>
    </row>
    <row r="840" spans="1:16" x14ac:dyDescent="0.25">
      <c r="A840" s="33" t="str">
        <f t="shared" si="26"/>
        <v>09</v>
      </c>
      <c r="B840" s="33" t="s">
        <v>341</v>
      </c>
      <c r="C840" s="34" t="str">
        <f>VLOOKUP(Table2[[#This Row],[Tegevusala]],Table4[],2,FALSE)</f>
        <v xml:space="preserve"> Muuga Laekvere kool-Muuga õppehoone</v>
      </c>
      <c r="D840" s="34" t="str">
        <f>VLOOKUP(Table2[[#This Row],[Tegevusala]],Table4[[Tegevusala kood]:[Tegevusala alanimetus]],4,FALSE)</f>
        <v>Põhihariduse otsekulud</v>
      </c>
      <c r="E840" s="34" t="str">
        <f>VLOOKUP(Table2[[#This Row],[Tegevusala nimetus2]],Table4[[Tegevusala nimetus]:[Tegevusala koondnimetus]],2,FALSE)</f>
        <v>Haridus</v>
      </c>
      <c r="F840" s="33" t="s">
        <v>1870</v>
      </c>
      <c r="G840" s="33" t="s">
        <v>1893</v>
      </c>
      <c r="H840" s="47">
        <v>800</v>
      </c>
      <c r="I840" s="35"/>
      <c r="J840" s="33">
        <v>5524</v>
      </c>
      <c r="K840" s="34" t="str">
        <f>VLOOKUP(Table2[[#This Row],[Konto]],Table5[[Konto]:[Konto nimetus]],2,FALSE)</f>
        <v>Õppevahendid</v>
      </c>
      <c r="L840" s="33">
        <v>55</v>
      </c>
      <c r="M840" s="33" t="str">
        <f t="shared" si="27"/>
        <v>55</v>
      </c>
      <c r="N840" s="34" t="str">
        <f>VLOOKUP(Table2[[#This Row],[Tulu/kulu liik2]],Table5[[Tulu/kulu liik]:[Kontode koondnimetus]],4,FALSE)</f>
        <v>Muud tegevuskulud</v>
      </c>
      <c r="O840" s="34" t="str">
        <f>VLOOKUP(Table2[[#This Row],[Tulu/kulu liik2]],Table5[],6,FALSE)</f>
        <v>Majandamiskulud</v>
      </c>
      <c r="P840" s="34" t="str">
        <f>VLOOKUP(Table2[[#This Row],[Tulu/kulu liik2]],Table5[],5,FALSE)</f>
        <v>Põhitegevuse kulu</v>
      </c>
    </row>
    <row r="841" spans="1:16" x14ac:dyDescent="0.25">
      <c r="A841" t="str">
        <f t="shared" si="26"/>
        <v>09</v>
      </c>
      <c r="B841" t="s">
        <v>341</v>
      </c>
      <c r="C841" s="3" t="str">
        <f>VLOOKUP(Table2[[#This Row],[Tegevusala]],Table4[],2,FALSE)</f>
        <v xml:space="preserve"> Muuga Laekvere kool-Muuga õppehoone</v>
      </c>
      <c r="D841" s="3" t="str">
        <f>VLOOKUP(Table2[[#This Row],[Tegevusala]],Table4[[Tegevusala kood]:[Tegevusala alanimetus]],4,FALSE)</f>
        <v>Põhihariduse otsekulud</v>
      </c>
      <c r="E841" s="3" t="str">
        <f>VLOOKUP(Table2[[#This Row],[Tegevusala nimetus2]],Table4[[Tegevusala nimetus]:[Tegevusala koondnimetus]],2,FALSE)</f>
        <v>Haridus</v>
      </c>
      <c r="F841" t="s">
        <v>1870</v>
      </c>
      <c r="G841" t="s">
        <v>433</v>
      </c>
      <c r="H841" s="40">
        <v>450</v>
      </c>
      <c r="J841">
        <v>5525</v>
      </c>
      <c r="K841" s="3" t="str">
        <f>VLOOKUP(Table2[[#This Row],[Konto]],Table5[[Konto]:[Konto nimetus]],2,FALSE)</f>
        <v>Kommunikatsiooni-, kultuuri- ja vaba aja sisustamise kulud</v>
      </c>
      <c r="L841">
        <v>55</v>
      </c>
      <c r="M841" t="str">
        <f t="shared" si="27"/>
        <v>55</v>
      </c>
      <c r="N841" s="3" t="str">
        <f>VLOOKUP(Table2[[#This Row],[Tulu/kulu liik2]],Table5[[Tulu/kulu liik]:[Kontode koondnimetus]],4,FALSE)</f>
        <v>Muud tegevuskulud</v>
      </c>
      <c r="O841" s="3" t="str">
        <f>VLOOKUP(Table2[[#This Row],[Tulu/kulu liik2]],Table5[],6,FALSE)</f>
        <v>Majandamiskulud</v>
      </c>
      <c r="P841" s="3" t="str">
        <f>VLOOKUP(Table2[[#This Row],[Tulu/kulu liik2]],Table5[],5,FALSE)</f>
        <v>Põhitegevuse kulu</v>
      </c>
    </row>
    <row r="842" spans="1:16" x14ac:dyDescent="0.25">
      <c r="A842" t="str">
        <f t="shared" si="26"/>
        <v>09</v>
      </c>
      <c r="B842" t="s">
        <v>341</v>
      </c>
      <c r="C842" s="3" t="str">
        <f>VLOOKUP(Table2[[#This Row],[Tegevusala]],Table4[],2,FALSE)</f>
        <v xml:space="preserve"> Muuga Laekvere kool-Muuga õppehoone</v>
      </c>
      <c r="D842" s="3" t="str">
        <f>VLOOKUP(Table2[[#This Row],[Tegevusala]],Table4[[Tegevusala kood]:[Tegevusala alanimetus]],4,FALSE)</f>
        <v>Põhihariduse otsekulud</v>
      </c>
      <c r="E842" s="3" t="str">
        <f>VLOOKUP(Table2[[#This Row],[Tegevusala nimetus2]],Table4[[Tegevusala nimetus]:[Tegevusala koondnimetus]],2,FALSE)</f>
        <v>Haridus</v>
      </c>
      <c r="F842" t="s">
        <v>1870</v>
      </c>
      <c r="G842" t="s">
        <v>434</v>
      </c>
      <c r="H842" s="40">
        <v>300</v>
      </c>
      <c r="J842">
        <v>5525</v>
      </c>
      <c r="K842" s="3" t="str">
        <f>VLOOKUP(Table2[[#This Row],[Konto]],Table5[[Konto]:[Konto nimetus]],2,FALSE)</f>
        <v>Kommunikatsiooni-, kultuuri- ja vaba aja sisustamise kulud</v>
      </c>
      <c r="L842">
        <v>55</v>
      </c>
      <c r="M842" t="str">
        <f t="shared" si="27"/>
        <v>55</v>
      </c>
      <c r="N842" s="3" t="str">
        <f>VLOOKUP(Table2[[#This Row],[Tulu/kulu liik2]],Table5[[Tulu/kulu liik]:[Kontode koondnimetus]],4,FALSE)</f>
        <v>Muud tegevuskulud</v>
      </c>
      <c r="O842" s="3" t="str">
        <f>VLOOKUP(Table2[[#This Row],[Tulu/kulu liik2]],Table5[],6,FALSE)</f>
        <v>Majandamiskulud</v>
      </c>
      <c r="P842" s="3" t="str">
        <f>VLOOKUP(Table2[[#This Row],[Tulu/kulu liik2]],Table5[],5,FALSE)</f>
        <v>Põhitegevuse kulu</v>
      </c>
    </row>
    <row r="843" spans="1:16" x14ac:dyDescent="0.25">
      <c r="A843" t="str">
        <f t="shared" si="26"/>
        <v>09</v>
      </c>
      <c r="B843" t="s">
        <v>341</v>
      </c>
      <c r="C843" s="3" t="str">
        <f>VLOOKUP(Table2[[#This Row],[Tegevusala]],Table4[],2,FALSE)</f>
        <v xml:space="preserve"> Muuga Laekvere kool-Muuga õppehoone</v>
      </c>
      <c r="D843" s="3" t="str">
        <f>VLOOKUP(Table2[[#This Row],[Tegevusala]],Table4[[Tegevusala kood]:[Tegevusala alanimetus]],4,FALSE)</f>
        <v>Põhihariduse otsekulud</v>
      </c>
      <c r="E843" s="3" t="str">
        <f>VLOOKUP(Table2[[#This Row],[Tegevusala nimetus2]],Table4[[Tegevusala nimetus]:[Tegevusala koondnimetus]],2,FALSE)</f>
        <v>Haridus</v>
      </c>
      <c r="F843" t="s">
        <v>1870</v>
      </c>
      <c r="G843" t="s">
        <v>1907</v>
      </c>
      <c r="H843" s="40">
        <v>750</v>
      </c>
      <c r="J843">
        <v>5525</v>
      </c>
      <c r="K843" s="3" t="str">
        <f>VLOOKUP(Table2[[#This Row],[Konto]],Table5[[Konto]:[Konto nimetus]],2,FALSE)</f>
        <v>Kommunikatsiooni-, kultuuri- ja vaba aja sisustamise kulud</v>
      </c>
      <c r="L843">
        <v>55</v>
      </c>
      <c r="M843" t="str">
        <f t="shared" si="27"/>
        <v>55</v>
      </c>
      <c r="N843" s="3" t="str">
        <f>VLOOKUP(Table2[[#This Row],[Tulu/kulu liik2]],Table5[[Tulu/kulu liik]:[Kontode koondnimetus]],4,FALSE)</f>
        <v>Muud tegevuskulud</v>
      </c>
      <c r="O843" s="3" t="str">
        <f>VLOOKUP(Table2[[#This Row],[Tulu/kulu liik2]],Table5[],6,FALSE)</f>
        <v>Majandamiskulud</v>
      </c>
      <c r="P843" s="3" t="str">
        <f>VLOOKUP(Table2[[#This Row],[Tulu/kulu liik2]],Table5[],5,FALSE)</f>
        <v>Põhitegevuse kulu</v>
      </c>
    </row>
    <row r="844" spans="1:16" x14ac:dyDescent="0.25">
      <c r="A844" t="str">
        <f t="shared" si="26"/>
        <v>09</v>
      </c>
      <c r="B844" t="s">
        <v>341</v>
      </c>
      <c r="C844" s="3" t="str">
        <f>VLOOKUP(Table2[[#This Row],[Tegevusala]],Table4[],2,FALSE)</f>
        <v xml:space="preserve"> Muuga Laekvere kool-Muuga õppehoone</v>
      </c>
      <c r="D844" s="3" t="str">
        <f>VLOOKUP(Table2[[#This Row],[Tegevusala]],Table4[[Tegevusala kood]:[Tegevusala alanimetus]],4,FALSE)</f>
        <v>Põhihariduse otsekulud</v>
      </c>
      <c r="E844" s="3" t="str">
        <f>VLOOKUP(Table2[[#This Row],[Tegevusala nimetus2]],Table4[[Tegevusala nimetus]:[Tegevusala koondnimetus]],2,FALSE)</f>
        <v>Haridus</v>
      </c>
      <c r="F844" t="s">
        <v>1870</v>
      </c>
      <c r="G844" t="s">
        <v>419</v>
      </c>
      <c r="H844" s="40">
        <v>1000</v>
      </c>
      <c r="J844">
        <v>5514</v>
      </c>
      <c r="K844" s="3" t="str">
        <f>VLOOKUP(Table2[[#This Row],[Konto]],Table5[[Konto]:[Konto nimetus]],2,FALSE)</f>
        <v>Info- ja kommunikatsioonitehnoliigised kulud</v>
      </c>
      <c r="L844">
        <v>55</v>
      </c>
      <c r="M844" t="str">
        <f t="shared" si="27"/>
        <v>55</v>
      </c>
      <c r="N844" s="3" t="str">
        <f>VLOOKUP(Table2[[#This Row],[Tulu/kulu liik2]],Table5[[Tulu/kulu liik]:[Kontode koondnimetus]],4,FALSE)</f>
        <v>Muud tegevuskulud</v>
      </c>
      <c r="O844" s="3" t="str">
        <f>VLOOKUP(Table2[[#This Row],[Tulu/kulu liik2]],Table5[],6,FALSE)</f>
        <v>Majandamiskulud</v>
      </c>
      <c r="P844" s="3" t="str">
        <f>VLOOKUP(Table2[[#This Row],[Tulu/kulu liik2]],Table5[],5,FALSE)</f>
        <v>Põhitegevuse kulu</v>
      </c>
    </row>
    <row r="845" spans="1:16" x14ac:dyDescent="0.25">
      <c r="A845" t="str">
        <f t="shared" si="26"/>
        <v>09</v>
      </c>
      <c r="B845" t="s">
        <v>341</v>
      </c>
      <c r="C845" s="3" t="str">
        <f>VLOOKUP(Table2[[#This Row],[Tegevusala]],Table4[],2,FALSE)</f>
        <v xml:space="preserve"> Muuga Laekvere kool-Muuga õppehoone</v>
      </c>
      <c r="D845" s="3" t="str">
        <f>VLOOKUP(Table2[[#This Row],[Tegevusala]],Table4[[Tegevusala kood]:[Tegevusala alanimetus]],4,FALSE)</f>
        <v>Põhihariduse otsekulud</v>
      </c>
      <c r="E845" s="3" t="str">
        <f>VLOOKUP(Table2[[#This Row],[Tegevusala nimetus2]],Table4[[Tegevusala nimetus]:[Tegevusala koondnimetus]],2,FALSE)</f>
        <v>Haridus</v>
      </c>
      <c r="F845" t="s">
        <v>1870</v>
      </c>
      <c r="G845" t="s">
        <v>420</v>
      </c>
      <c r="H845" s="40">
        <v>500</v>
      </c>
      <c r="J845">
        <v>5514</v>
      </c>
      <c r="K845" s="3" t="str">
        <f>VLOOKUP(Table2[[#This Row],[Konto]],Table5[[Konto]:[Konto nimetus]],2,FALSE)</f>
        <v>Info- ja kommunikatsioonitehnoliigised kulud</v>
      </c>
      <c r="L845">
        <v>55</v>
      </c>
      <c r="M845" t="str">
        <f t="shared" si="27"/>
        <v>55</v>
      </c>
      <c r="N845" s="3" t="str">
        <f>VLOOKUP(Table2[[#This Row],[Tulu/kulu liik2]],Table5[[Tulu/kulu liik]:[Kontode koondnimetus]],4,FALSE)</f>
        <v>Muud tegevuskulud</v>
      </c>
      <c r="O845" s="3" t="str">
        <f>VLOOKUP(Table2[[#This Row],[Tulu/kulu liik2]],Table5[],6,FALSE)</f>
        <v>Majandamiskulud</v>
      </c>
      <c r="P845" s="3" t="str">
        <f>VLOOKUP(Table2[[#This Row],[Tulu/kulu liik2]],Table5[],5,FALSE)</f>
        <v>Põhitegevuse kulu</v>
      </c>
    </row>
    <row r="846" spans="1:16" x14ac:dyDescent="0.25">
      <c r="A846" t="str">
        <f t="shared" si="26"/>
        <v>09</v>
      </c>
      <c r="B846" t="s">
        <v>341</v>
      </c>
      <c r="C846" s="3" t="str">
        <f>VLOOKUP(Table2[[#This Row],[Tegevusala]],Table4[],2,FALSE)</f>
        <v xml:space="preserve"> Muuga Laekvere kool-Muuga õppehoone</v>
      </c>
      <c r="D846" s="3" t="str">
        <f>VLOOKUP(Table2[[#This Row],[Tegevusala]],Table4[[Tegevusala kood]:[Tegevusala alanimetus]],4,FALSE)</f>
        <v>Põhihariduse otsekulud</v>
      </c>
      <c r="E846" s="3" t="str">
        <f>VLOOKUP(Table2[[#This Row],[Tegevusala nimetus2]],Table4[[Tegevusala nimetus]:[Tegevusala koondnimetus]],2,FALSE)</f>
        <v>Haridus</v>
      </c>
      <c r="F846" t="s">
        <v>1870</v>
      </c>
      <c r="G846" t="s">
        <v>421</v>
      </c>
      <c r="H846" s="40">
        <v>700</v>
      </c>
      <c r="J846">
        <v>5514</v>
      </c>
      <c r="K846" s="3" t="str">
        <f>VLOOKUP(Table2[[#This Row],[Konto]],Table5[[Konto]:[Konto nimetus]],2,FALSE)</f>
        <v>Info- ja kommunikatsioonitehnoliigised kulud</v>
      </c>
      <c r="L846">
        <v>55</v>
      </c>
      <c r="M846" t="str">
        <f t="shared" si="27"/>
        <v>55</v>
      </c>
      <c r="N846" s="3" t="str">
        <f>VLOOKUP(Table2[[#This Row],[Tulu/kulu liik2]],Table5[[Tulu/kulu liik]:[Kontode koondnimetus]],4,FALSE)</f>
        <v>Muud tegevuskulud</v>
      </c>
      <c r="O846" s="3" t="str">
        <f>VLOOKUP(Table2[[#This Row],[Tulu/kulu liik2]],Table5[],6,FALSE)</f>
        <v>Majandamiskulud</v>
      </c>
      <c r="P846" s="3" t="str">
        <f>VLOOKUP(Table2[[#This Row],[Tulu/kulu liik2]],Table5[],5,FALSE)</f>
        <v>Põhitegevuse kulu</v>
      </c>
    </row>
    <row r="847" spans="1:16" x14ac:dyDescent="0.25">
      <c r="A847" t="str">
        <f t="shared" si="26"/>
        <v>09</v>
      </c>
      <c r="B847" t="s">
        <v>341</v>
      </c>
      <c r="C847" s="3" t="str">
        <f>VLOOKUP(Table2[[#This Row],[Tegevusala]],Table4[],2,FALSE)</f>
        <v xml:space="preserve"> Muuga Laekvere kool-Muuga õppehoone</v>
      </c>
      <c r="D847" s="3" t="str">
        <f>VLOOKUP(Table2[[#This Row],[Tegevusala]],Table4[[Tegevusala kood]:[Tegevusala alanimetus]],4,FALSE)</f>
        <v>Põhihariduse otsekulud</v>
      </c>
      <c r="E847" s="3" t="str">
        <f>VLOOKUP(Table2[[#This Row],[Tegevusala nimetus2]],Table4[[Tegevusala nimetus]:[Tegevusala koondnimetus]],2,FALSE)</f>
        <v>Haridus</v>
      </c>
      <c r="F847" t="s">
        <v>1870</v>
      </c>
      <c r="G847" t="s">
        <v>199</v>
      </c>
      <c r="H847" s="40">
        <v>300</v>
      </c>
      <c r="J847">
        <v>5514</v>
      </c>
      <c r="K847" s="3" t="str">
        <f>VLOOKUP(Table2[[#This Row],[Konto]],Table5[[Konto]:[Konto nimetus]],2,FALSE)</f>
        <v>Info- ja kommunikatsioonitehnoliigised kulud</v>
      </c>
      <c r="L847">
        <v>55</v>
      </c>
      <c r="M847" t="str">
        <f t="shared" si="27"/>
        <v>55</v>
      </c>
      <c r="N847" s="3" t="str">
        <f>VLOOKUP(Table2[[#This Row],[Tulu/kulu liik2]],Table5[[Tulu/kulu liik]:[Kontode koondnimetus]],4,FALSE)</f>
        <v>Muud tegevuskulud</v>
      </c>
      <c r="O847" s="3" t="str">
        <f>VLOOKUP(Table2[[#This Row],[Tulu/kulu liik2]],Table5[],6,FALSE)</f>
        <v>Majandamiskulud</v>
      </c>
      <c r="P847" s="3" t="str">
        <f>VLOOKUP(Table2[[#This Row],[Tulu/kulu liik2]],Table5[],5,FALSE)</f>
        <v>Põhitegevuse kulu</v>
      </c>
    </row>
    <row r="848" spans="1:16" x14ac:dyDescent="0.25">
      <c r="A848" t="str">
        <f t="shared" si="26"/>
        <v>09</v>
      </c>
      <c r="B848" t="s">
        <v>341</v>
      </c>
      <c r="C848" s="3" t="str">
        <f>VLOOKUP(Table2[[#This Row],[Tegevusala]],Table4[],2,FALSE)</f>
        <v xml:space="preserve"> Muuga Laekvere kool-Muuga õppehoone</v>
      </c>
      <c r="D848" s="3" t="str">
        <f>VLOOKUP(Table2[[#This Row],[Tegevusala]],Table4[[Tegevusala kood]:[Tegevusala alanimetus]],4,FALSE)</f>
        <v>Põhihariduse otsekulud</v>
      </c>
      <c r="E848" s="3" t="str">
        <f>VLOOKUP(Table2[[#This Row],[Tegevusala nimetus2]],Table4[[Tegevusala nimetus]:[Tegevusala koondnimetus]],2,FALSE)</f>
        <v>Haridus</v>
      </c>
      <c r="F848" t="s">
        <v>1870</v>
      </c>
      <c r="G848" t="s">
        <v>422</v>
      </c>
      <c r="H848" s="40">
        <v>500</v>
      </c>
      <c r="J848">
        <v>5514</v>
      </c>
      <c r="K848" s="3" t="str">
        <f>VLOOKUP(Table2[[#This Row],[Konto]],Table5[[Konto]:[Konto nimetus]],2,FALSE)</f>
        <v>Info- ja kommunikatsioonitehnoliigised kulud</v>
      </c>
      <c r="L848">
        <v>55</v>
      </c>
      <c r="M848" t="str">
        <f t="shared" si="27"/>
        <v>55</v>
      </c>
      <c r="N848" s="3" t="str">
        <f>VLOOKUP(Table2[[#This Row],[Tulu/kulu liik2]],Table5[[Tulu/kulu liik]:[Kontode koondnimetus]],4,FALSE)</f>
        <v>Muud tegevuskulud</v>
      </c>
      <c r="O848" s="3" t="str">
        <f>VLOOKUP(Table2[[#This Row],[Tulu/kulu liik2]],Table5[],6,FALSE)</f>
        <v>Majandamiskulud</v>
      </c>
      <c r="P848" s="3" t="str">
        <f>VLOOKUP(Table2[[#This Row],[Tulu/kulu liik2]],Table5[],5,FALSE)</f>
        <v>Põhitegevuse kulu</v>
      </c>
    </row>
    <row r="849" spans="1:16" x14ac:dyDescent="0.25">
      <c r="A849" t="str">
        <f t="shared" si="26"/>
        <v>09</v>
      </c>
      <c r="B849" t="s">
        <v>341</v>
      </c>
      <c r="C849" s="3" t="str">
        <f>VLOOKUP(Table2[[#This Row],[Tegevusala]],Table4[],2,FALSE)</f>
        <v xml:space="preserve"> Muuga Laekvere kool-Muuga õppehoone</v>
      </c>
      <c r="D849" s="3" t="str">
        <f>VLOOKUP(Table2[[#This Row],[Tegevusala]],Table4[[Tegevusala kood]:[Tegevusala alanimetus]],4,FALSE)</f>
        <v>Põhihariduse otsekulud</v>
      </c>
      <c r="E849" s="3" t="str">
        <f>VLOOKUP(Table2[[#This Row],[Tegevusala nimetus2]],Table4[[Tegevusala nimetus]:[Tegevusala koondnimetus]],2,FALSE)</f>
        <v>Haridus</v>
      </c>
      <c r="F849" t="s">
        <v>1870</v>
      </c>
      <c r="G849" t="s">
        <v>2199</v>
      </c>
      <c r="H849" s="40">
        <v>615.36</v>
      </c>
      <c r="I849" s="2" t="s">
        <v>2203</v>
      </c>
      <c r="J849">
        <v>5504</v>
      </c>
      <c r="K849" s="3" t="str">
        <f>VLOOKUP(Table2[[#This Row],[Konto]],Table5[[Konto]:[Konto nimetus]],2,FALSE)</f>
        <v>Koolituskulud</v>
      </c>
      <c r="L849">
        <v>55</v>
      </c>
      <c r="M849" t="str">
        <f t="shared" si="27"/>
        <v>55</v>
      </c>
      <c r="N849" s="3" t="str">
        <f>VLOOKUP(Table2[[#This Row],[Tulu/kulu liik2]],Table5[[Tulu/kulu liik]:[Kontode koondnimetus]],4,FALSE)</f>
        <v>Muud tegevuskulud</v>
      </c>
      <c r="O849" s="34" t="str">
        <f>VLOOKUP(Table2[[#This Row],[Tulu/kulu liik2]],Table5[],6,FALSE)</f>
        <v>Majandamiskulud</v>
      </c>
      <c r="P849" s="3" t="str">
        <f>VLOOKUP(Table2[[#This Row],[Tulu/kulu liik2]],Table5[],5,FALSE)</f>
        <v>Põhitegevuse kulu</v>
      </c>
    </row>
    <row r="850" spans="1:16" x14ac:dyDescent="0.25">
      <c r="A850" t="str">
        <f t="shared" si="26"/>
        <v>09</v>
      </c>
      <c r="B850" s="33" t="s">
        <v>341</v>
      </c>
      <c r="C850" s="3" t="str">
        <f>VLOOKUP(Table2[[#This Row],[Tegevusala]],Table4[],2,FALSE)</f>
        <v xml:space="preserve"> Muuga Laekvere kool-Muuga õppehoone</v>
      </c>
      <c r="D850" s="3" t="str">
        <f>VLOOKUP(Table2[[#This Row],[Tegevusala]],Table4[[Tegevusala kood]:[Tegevusala alanimetus]],4,FALSE)</f>
        <v>Põhihariduse otsekulud</v>
      </c>
      <c r="E850" s="3" t="str">
        <f>VLOOKUP(Table2[[#This Row],[Tegevusala nimetus2]],Table4[[Tegevusala nimetus]:[Tegevusala koondnimetus]],2,FALSE)</f>
        <v>Haridus</v>
      </c>
      <c r="F850" s="33" t="s">
        <v>1870</v>
      </c>
      <c r="G850" t="s">
        <v>2200</v>
      </c>
      <c r="H850" s="40">
        <v>2186.58</v>
      </c>
      <c r="I850" s="2" t="s">
        <v>2203</v>
      </c>
      <c r="J850">
        <v>5524</v>
      </c>
      <c r="K850" s="3" t="str">
        <f>VLOOKUP(Table2[[#This Row],[Konto]],Table5[[Konto]:[Konto nimetus]],2,FALSE)</f>
        <v>Õppevahendid</v>
      </c>
      <c r="L850">
        <v>55</v>
      </c>
      <c r="M850" t="str">
        <f t="shared" si="27"/>
        <v>55</v>
      </c>
      <c r="N850" s="3" t="str">
        <f>VLOOKUP(Table2[[#This Row],[Tulu/kulu liik2]],Table5[[Tulu/kulu liik]:[Kontode koondnimetus]],4,FALSE)</f>
        <v>Muud tegevuskulud</v>
      </c>
      <c r="O850" s="34" t="str">
        <f>VLOOKUP(Table2[[#This Row],[Tulu/kulu liik2]],Table5[],6,FALSE)</f>
        <v>Majandamiskulud</v>
      </c>
      <c r="P850" s="3" t="str">
        <f>VLOOKUP(Table2[[#This Row],[Tulu/kulu liik2]],Table5[],5,FALSE)</f>
        <v>Põhitegevuse kulu</v>
      </c>
    </row>
    <row r="851" spans="1:16" x14ac:dyDescent="0.25">
      <c r="A851" t="str">
        <f t="shared" si="26"/>
        <v>09</v>
      </c>
      <c r="B851" t="s">
        <v>247</v>
      </c>
      <c r="C851" s="3" t="str">
        <f>VLOOKUP(Table2[[#This Row],[Tegevusala]],Table4[],2,FALSE)</f>
        <v xml:space="preserve"> Roela kool</v>
      </c>
      <c r="D851" s="3" t="str">
        <f>VLOOKUP(Table2[[#This Row],[Tegevusala]],Table4[[Tegevusala kood]:[Tegevusala alanimetus]],4,FALSE)</f>
        <v>Põhihariduse otsekulud</v>
      </c>
      <c r="E851" s="3" t="str">
        <f>VLOOKUP(Table2[[#This Row],[Tegevusala nimetus2]],Table4[[Tegevusala nimetus]:[Tegevusala koondnimetus]],2,FALSE)</f>
        <v>Haridus</v>
      </c>
      <c r="F851" t="s">
        <v>166</v>
      </c>
      <c r="G851" t="s">
        <v>167</v>
      </c>
      <c r="H851" s="40">
        <v>1140</v>
      </c>
      <c r="I851" s="2" t="s">
        <v>168</v>
      </c>
      <c r="J851">
        <v>5500</v>
      </c>
      <c r="K851" s="3" t="str">
        <f>VLOOKUP(Table2[[#This Row],[Konto]],Table5[[Konto]:[Konto nimetus]],2,FALSE)</f>
        <v>Administreerimiskulud</v>
      </c>
      <c r="L851">
        <v>55</v>
      </c>
      <c r="M851" t="str">
        <f t="shared" si="27"/>
        <v>55</v>
      </c>
      <c r="N851" t="str">
        <f>VLOOKUP(Table2[[#This Row],[Tulu/kulu liik2]],Table5[[Tulu/kulu liik]:[Kontode koondnimetus]],4,FALSE)</f>
        <v>Muud tegevuskulud</v>
      </c>
      <c r="O851" t="str">
        <f>VLOOKUP(Table2[[#This Row],[Tulu/kulu liik2]],Table5[],6,FALSE)</f>
        <v>Majandamiskulud</v>
      </c>
      <c r="P851" s="3" t="str">
        <f>VLOOKUP(Table2[[#This Row],[Tulu/kulu liik2]],Table5[],5,FALSE)</f>
        <v>Põhitegevuse kulu</v>
      </c>
    </row>
    <row r="852" spans="1:16" x14ac:dyDescent="0.25">
      <c r="A852" t="str">
        <f t="shared" si="26"/>
        <v>09</v>
      </c>
      <c r="B852" t="s">
        <v>247</v>
      </c>
      <c r="C852" s="3" t="str">
        <f>VLOOKUP(Table2[[#This Row],[Tegevusala]],Table4[],2,FALSE)</f>
        <v xml:space="preserve"> Roela kool</v>
      </c>
      <c r="D852" s="3" t="str">
        <f>VLOOKUP(Table2[[#This Row],[Tegevusala]],Table4[[Tegevusala kood]:[Tegevusala alanimetus]],4,FALSE)</f>
        <v>Põhihariduse otsekulud</v>
      </c>
      <c r="E852" s="3" t="str">
        <f>VLOOKUP(Table2[[#This Row],[Tegevusala nimetus2]],Table4[[Tegevusala nimetus]:[Tegevusala koondnimetus]],2,FALSE)</f>
        <v>Haridus</v>
      </c>
      <c r="F852" t="s">
        <v>166</v>
      </c>
      <c r="G852" t="s">
        <v>169</v>
      </c>
      <c r="H852" s="40">
        <v>50</v>
      </c>
      <c r="J852">
        <v>5500</v>
      </c>
      <c r="K852" s="3" t="str">
        <f>VLOOKUP(Table2[[#This Row],[Konto]],Table5[[Konto]:[Konto nimetus]],2,FALSE)</f>
        <v>Administreerimiskulud</v>
      </c>
      <c r="L852">
        <v>55</v>
      </c>
      <c r="M852" t="str">
        <f t="shared" si="27"/>
        <v>55</v>
      </c>
      <c r="N852" t="str">
        <f>VLOOKUP(Table2[[#This Row],[Tulu/kulu liik2]],Table5[[Tulu/kulu liik]:[Kontode koondnimetus]],4,FALSE)</f>
        <v>Muud tegevuskulud</v>
      </c>
      <c r="O852" t="str">
        <f>VLOOKUP(Table2[[#This Row],[Tulu/kulu liik2]],Table5[],6,FALSE)</f>
        <v>Majandamiskulud</v>
      </c>
      <c r="P852" s="3" t="str">
        <f>VLOOKUP(Table2[[#This Row],[Tulu/kulu liik2]],Table5[],5,FALSE)</f>
        <v>Põhitegevuse kulu</v>
      </c>
    </row>
    <row r="853" spans="1:16" x14ac:dyDescent="0.25">
      <c r="A853" t="str">
        <f t="shared" si="26"/>
        <v>09</v>
      </c>
      <c r="B853" t="s">
        <v>247</v>
      </c>
      <c r="C853" s="3" t="str">
        <f>VLOOKUP(Table2[[#This Row],[Tegevusala]],Table4[],2,FALSE)</f>
        <v xml:space="preserve"> Roela kool</v>
      </c>
      <c r="D853" s="3" t="str">
        <f>VLOOKUP(Table2[[#This Row],[Tegevusala]],Table4[[Tegevusala kood]:[Tegevusala alanimetus]],4,FALSE)</f>
        <v>Põhihariduse otsekulud</v>
      </c>
      <c r="E853" s="3" t="str">
        <f>VLOOKUP(Table2[[#This Row],[Tegevusala nimetus2]],Table4[[Tegevusala nimetus]:[Tegevusala koondnimetus]],2,FALSE)</f>
        <v>Haridus</v>
      </c>
      <c r="F853" t="s">
        <v>166</v>
      </c>
      <c r="G853" t="s">
        <v>170</v>
      </c>
      <c r="H853" s="40">
        <v>1200</v>
      </c>
      <c r="J853">
        <v>5500</v>
      </c>
      <c r="K853" s="3" t="str">
        <f>VLOOKUP(Table2[[#This Row],[Konto]],Table5[[Konto]:[Konto nimetus]],2,FALSE)</f>
        <v>Administreerimiskulud</v>
      </c>
      <c r="L853">
        <v>55</v>
      </c>
      <c r="M853" t="str">
        <f t="shared" si="27"/>
        <v>55</v>
      </c>
      <c r="N853" t="str">
        <f>VLOOKUP(Table2[[#This Row],[Tulu/kulu liik2]],Table5[[Tulu/kulu liik]:[Kontode koondnimetus]],4,FALSE)</f>
        <v>Muud tegevuskulud</v>
      </c>
      <c r="O853" t="str">
        <f>VLOOKUP(Table2[[#This Row],[Tulu/kulu liik2]],Table5[],6,FALSE)</f>
        <v>Majandamiskulud</v>
      </c>
      <c r="P853" s="3" t="str">
        <f>VLOOKUP(Table2[[#This Row],[Tulu/kulu liik2]],Table5[],5,FALSE)</f>
        <v>Põhitegevuse kulu</v>
      </c>
    </row>
    <row r="854" spans="1:16" x14ac:dyDescent="0.25">
      <c r="A854" t="str">
        <f t="shared" si="26"/>
        <v>09</v>
      </c>
      <c r="B854" t="s">
        <v>247</v>
      </c>
      <c r="C854" s="3" t="str">
        <f>VLOOKUP(Table2[[#This Row],[Tegevusala]],Table4[],2,FALSE)</f>
        <v xml:space="preserve"> Roela kool</v>
      </c>
      <c r="D854" s="3" t="str">
        <f>VLOOKUP(Table2[[#This Row],[Tegevusala]],Table4[[Tegevusala kood]:[Tegevusala alanimetus]],4,FALSE)</f>
        <v>Põhihariduse otsekulud</v>
      </c>
      <c r="E854" s="3" t="str">
        <f>VLOOKUP(Table2[[#This Row],[Tegevusala nimetus2]],Table4[[Tegevusala nimetus]:[Tegevusala koondnimetus]],2,FALSE)</f>
        <v>Haridus</v>
      </c>
      <c r="F854" t="s">
        <v>166</v>
      </c>
      <c r="G854" t="s">
        <v>171</v>
      </c>
      <c r="H854" s="40">
        <v>24</v>
      </c>
      <c r="J854">
        <v>5500</v>
      </c>
      <c r="K854" s="3" t="str">
        <f>VLOOKUP(Table2[[#This Row],[Konto]],Table5[[Konto]:[Konto nimetus]],2,FALSE)</f>
        <v>Administreerimiskulud</v>
      </c>
      <c r="L854">
        <v>55</v>
      </c>
      <c r="M854" t="str">
        <f t="shared" si="27"/>
        <v>55</v>
      </c>
      <c r="N854" t="str">
        <f>VLOOKUP(Table2[[#This Row],[Tulu/kulu liik2]],Table5[[Tulu/kulu liik]:[Kontode koondnimetus]],4,FALSE)</f>
        <v>Muud tegevuskulud</v>
      </c>
      <c r="O854" t="str">
        <f>VLOOKUP(Table2[[#This Row],[Tulu/kulu liik2]],Table5[],6,FALSE)</f>
        <v>Majandamiskulud</v>
      </c>
      <c r="P854" s="3" t="str">
        <f>VLOOKUP(Table2[[#This Row],[Tulu/kulu liik2]],Table5[],5,FALSE)</f>
        <v>Põhitegevuse kulu</v>
      </c>
    </row>
    <row r="855" spans="1:16" x14ac:dyDescent="0.25">
      <c r="A855" t="str">
        <f t="shared" si="26"/>
        <v>09</v>
      </c>
      <c r="B855" t="s">
        <v>247</v>
      </c>
      <c r="C855" s="3" t="str">
        <f>VLOOKUP(Table2[[#This Row],[Tegevusala]],Table4[],2,FALSE)</f>
        <v xml:space="preserve"> Roela kool</v>
      </c>
      <c r="D855" s="3" t="str">
        <f>VLOOKUP(Table2[[#This Row],[Tegevusala]],Table4[[Tegevusala kood]:[Tegevusala alanimetus]],4,FALSE)</f>
        <v>Põhihariduse otsekulud</v>
      </c>
      <c r="E855" s="3" t="str">
        <f>VLOOKUP(Table2[[#This Row],[Tegevusala nimetus2]],Table4[[Tegevusala nimetus]:[Tegevusala koondnimetus]],2,FALSE)</f>
        <v>Haridus</v>
      </c>
      <c r="F855" t="s">
        <v>166</v>
      </c>
      <c r="G855" t="s">
        <v>172</v>
      </c>
      <c r="H855" s="40">
        <v>200</v>
      </c>
      <c r="J855">
        <v>5500</v>
      </c>
      <c r="K855" s="3" t="str">
        <f>VLOOKUP(Table2[[#This Row],[Konto]],Table5[[Konto]:[Konto nimetus]],2,FALSE)</f>
        <v>Administreerimiskulud</v>
      </c>
      <c r="L855">
        <v>55</v>
      </c>
      <c r="M855" t="str">
        <f t="shared" si="27"/>
        <v>55</v>
      </c>
      <c r="N855" t="str">
        <f>VLOOKUP(Table2[[#This Row],[Tulu/kulu liik2]],Table5[[Tulu/kulu liik]:[Kontode koondnimetus]],4,FALSE)</f>
        <v>Muud tegevuskulud</v>
      </c>
      <c r="O855" t="str">
        <f>VLOOKUP(Table2[[#This Row],[Tulu/kulu liik2]],Table5[],6,FALSE)</f>
        <v>Majandamiskulud</v>
      </c>
      <c r="P855" s="3" t="str">
        <f>VLOOKUP(Table2[[#This Row],[Tulu/kulu liik2]],Table5[],5,FALSE)</f>
        <v>Põhitegevuse kulu</v>
      </c>
    </row>
    <row r="856" spans="1:16" x14ac:dyDescent="0.25">
      <c r="A856" t="str">
        <f t="shared" si="26"/>
        <v>09</v>
      </c>
      <c r="B856" t="s">
        <v>247</v>
      </c>
      <c r="C856" s="3" t="str">
        <f>VLOOKUP(Table2[[#This Row],[Tegevusala]],Table4[],2,FALSE)</f>
        <v xml:space="preserve"> Roela kool</v>
      </c>
      <c r="D856" s="3" t="str">
        <f>VLOOKUP(Table2[[#This Row],[Tegevusala]],Table4[[Tegevusala kood]:[Tegevusala alanimetus]],4,FALSE)</f>
        <v>Põhihariduse otsekulud</v>
      </c>
      <c r="E856" s="3" t="str">
        <f>VLOOKUP(Table2[[#This Row],[Tegevusala nimetus2]],Table4[[Tegevusala nimetus]:[Tegevusala koondnimetus]],2,FALSE)</f>
        <v>Haridus</v>
      </c>
      <c r="F856" t="s">
        <v>166</v>
      </c>
      <c r="G856" t="s">
        <v>173</v>
      </c>
      <c r="H856" s="40">
        <v>276</v>
      </c>
      <c r="I856" s="2" t="s">
        <v>174</v>
      </c>
      <c r="J856">
        <v>5500</v>
      </c>
      <c r="K856" s="3" t="str">
        <f>VLOOKUP(Table2[[#This Row],[Konto]],Table5[[Konto]:[Konto nimetus]],2,FALSE)</f>
        <v>Administreerimiskulud</v>
      </c>
      <c r="L856">
        <v>55</v>
      </c>
      <c r="M856" t="str">
        <f t="shared" si="27"/>
        <v>55</v>
      </c>
      <c r="N856" t="str">
        <f>VLOOKUP(Table2[[#This Row],[Tulu/kulu liik2]],Table5[[Tulu/kulu liik]:[Kontode koondnimetus]],4,FALSE)</f>
        <v>Muud tegevuskulud</v>
      </c>
      <c r="O856" t="str">
        <f>VLOOKUP(Table2[[#This Row],[Tulu/kulu liik2]],Table5[],6,FALSE)</f>
        <v>Majandamiskulud</v>
      </c>
      <c r="P856" s="3" t="str">
        <f>VLOOKUP(Table2[[#This Row],[Tulu/kulu liik2]],Table5[],5,FALSE)</f>
        <v>Põhitegevuse kulu</v>
      </c>
    </row>
    <row r="857" spans="1:16" x14ac:dyDescent="0.25">
      <c r="A857" t="str">
        <f t="shared" si="26"/>
        <v>09</v>
      </c>
      <c r="B857" t="s">
        <v>247</v>
      </c>
      <c r="C857" s="3" t="str">
        <f>VLOOKUP(Table2[[#This Row],[Tegevusala]],Table4[],2,FALSE)</f>
        <v xml:space="preserve"> Roela kool</v>
      </c>
      <c r="D857" s="3" t="str">
        <f>VLOOKUP(Table2[[#This Row],[Tegevusala]],Table4[[Tegevusala kood]:[Tegevusala alanimetus]],4,FALSE)</f>
        <v>Põhihariduse otsekulud</v>
      </c>
      <c r="E857" s="3" t="str">
        <f>VLOOKUP(Table2[[#This Row],[Tegevusala nimetus2]],Table4[[Tegevusala nimetus]:[Tegevusala koondnimetus]],2,FALSE)</f>
        <v>Haridus</v>
      </c>
      <c r="F857" t="s">
        <v>166</v>
      </c>
      <c r="G857" t="s">
        <v>175</v>
      </c>
      <c r="H857" s="40">
        <v>100</v>
      </c>
      <c r="J857">
        <v>5500</v>
      </c>
      <c r="K857" s="3" t="str">
        <f>VLOOKUP(Table2[[#This Row],[Konto]],Table5[[Konto]:[Konto nimetus]],2,FALSE)</f>
        <v>Administreerimiskulud</v>
      </c>
      <c r="L857">
        <v>55</v>
      </c>
      <c r="M857" t="str">
        <f t="shared" si="27"/>
        <v>55</v>
      </c>
      <c r="N857" t="str">
        <f>VLOOKUP(Table2[[#This Row],[Tulu/kulu liik2]],Table5[[Tulu/kulu liik]:[Kontode koondnimetus]],4,FALSE)</f>
        <v>Muud tegevuskulud</v>
      </c>
      <c r="O857" t="str">
        <f>VLOOKUP(Table2[[#This Row],[Tulu/kulu liik2]],Table5[],6,FALSE)</f>
        <v>Majandamiskulud</v>
      </c>
      <c r="P857" s="3" t="str">
        <f>VLOOKUP(Table2[[#This Row],[Tulu/kulu liik2]],Table5[],5,FALSE)</f>
        <v>Põhitegevuse kulu</v>
      </c>
    </row>
    <row r="858" spans="1:16" x14ac:dyDescent="0.25">
      <c r="A858" t="str">
        <f t="shared" si="26"/>
        <v>09</v>
      </c>
      <c r="B858" t="s">
        <v>247</v>
      </c>
      <c r="C858" s="3" t="str">
        <f>VLOOKUP(Table2[[#This Row],[Tegevusala]],Table4[],2,FALSE)</f>
        <v xml:space="preserve"> Roela kool</v>
      </c>
      <c r="D858" s="3" t="str">
        <f>VLOOKUP(Table2[[#This Row],[Tegevusala]],Table4[[Tegevusala kood]:[Tegevusala alanimetus]],4,FALSE)</f>
        <v>Põhihariduse otsekulud</v>
      </c>
      <c r="E858" s="3" t="str">
        <f>VLOOKUP(Table2[[#This Row],[Tegevusala nimetus2]],Table4[[Tegevusala nimetus]:[Tegevusala koondnimetus]],2,FALSE)</f>
        <v>Haridus</v>
      </c>
      <c r="F858" t="s">
        <v>166</v>
      </c>
      <c r="G858" t="s">
        <v>176</v>
      </c>
      <c r="H858" s="40">
        <f>2750-1100</f>
        <v>1650</v>
      </c>
      <c r="J858">
        <v>5504</v>
      </c>
      <c r="K858" s="3" t="str">
        <f>VLOOKUP(Table2[[#This Row],[Konto]],Table5[[Konto]:[Konto nimetus]],2,FALSE)</f>
        <v>Koolituskulud</v>
      </c>
      <c r="L858">
        <v>55</v>
      </c>
      <c r="M858" t="str">
        <f t="shared" si="27"/>
        <v>55</v>
      </c>
      <c r="N858" t="str">
        <f>VLOOKUP(Table2[[#This Row],[Tulu/kulu liik2]],Table5[[Tulu/kulu liik]:[Kontode koondnimetus]],4,FALSE)</f>
        <v>Muud tegevuskulud</v>
      </c>
      <c r="O858" t="str">
        <f>VLOOKUP(Table2[[#This Row],[Tulu/kulu liik2]],Table5[],6,FALSE)</f>
        <v>Majandamiskulud</v>
      </c>
      <c r="P858" s="3" t="str">
        <f>VLOOKUP(Table2[[#This Row],[Tulu/kulu liik2]],Table5[],5,FALSE)</f>
        <v>Põhitegevuse kulu</v>
      </c>
    </row>
    <row r="859" spans="1:16" x14ac:dyDescent="0.25">
      <c r="A859" t="str">
        <f t="shared" si="26"/>
        <v>09</v>
      </c>
      <c r="B859" t="s">
        <v>247</v>
      </c>
      <c r="C859" s="3" t="str">
        <f>VLOOKUP(Table2[[#This Row],[Tegevusala]],Table4[],2,FALSE)</f>
        <v xml:space="preserve"> Roela kool</v>
      </c>
      <c r="D859" s="3" t="str">
        <f>VLOOKUP(Table2[[#This Row],[Tegevusala]],Table4[[Tegevusala kood]:[Tegevusala alanimetus]],4,FALSE)</f>
        <v>Põhihariduse otsekulud</v>
      </c>
      <c r="E859" s="3" t="str">
        <f>VLOOKUP(Table2[[#This Row],[Tegevusala nimetus2]],Table4[[Tegevusala nimetus]:[Tegevusala koondnimetus]],2,FALSE)</f>
        <v>Haridus</v>
      </c>
      <c r="F859" t="s">
        <v>166</v>
      </c>
      <c r="G859" t="s">
        <v>197</v>
      </c>
      <c r="H859" s="40">
        <v>620</v>
      </c>
      <c r="J859">
        <v>5513</v>
      </c>
      <c r="K859" s="3" t="str">
        <f>VLOOKUP(Table2[[#This Row],[Konto]],Table5[[Konto]:[Konto nimetus]],2,FALSE)</f>
        <v>Sõidukite ülalpidamise kulud</v>
      </c>
      <c r="L859">
        <v>55</v>
      </c>
      <c r="M859" t="str">
        <f t="shared" si="27"/>
        <v>55</v>
      </c>
      <c r="N859" t="str">
        <f>VLOOKUP(Table2[[#This Row],[Tulu/kulu liik2]],Table5[[Tulu/kulu liik]:[Kontode koondnimetus]],4,FALSE)</f>
        <v>Muud tegevuskulud</v>
      </c>
      <c r="O859" t="str">
        <f>VLOOKUP(Table2[[#This Row],[Tulu/kulu liik2]],Table5[],6,FALSE)</f>
        <v>Majandamiskulud</v>
      </c>
      <c r="P859" s="3" t="str">
        <f>VLOOKUP(Table2[[#This Row],[Tulu/kulu liik2]],Table5[],5,FALSE)</f>
        <v>Põhitegevuse kulu</v>
      </c>
    </row>
    <row r="860" spans="1:16" x14ac:dyDescent="0.25">
      <c r="A860" t="str">
        <f t="shared" si="26"/>
        <v>09</v>
      </c>
      <c r="B860" t="s">
        <v>247</v>
      </c>
      <c r="C860" s="3" t="str">
        <f>VLOOKUP(Table2[[#This Row],[Tegevusala]],Table4[],2,FALSE)</f>
        <v xml:space="preserve"> Roela kool</v>
      </c>
      <c r="D860" s="3" t="str">
        <f>VLOOKUP(Table2[[#This Row],[Tegevusala]],Table4[[Tegevusala kood]:[Tegevusala alanimetus]],4,FALSE)</f>
        <v>Põhihariduse otsekulud</v>
      </c>
      <c r="E860" s="3" t="str">
        <f>VLOOKUP(Table2[[#This Row],[Tegevusala nimetus2]],Table4[[Tegevusala nimetus]:[Tegevusala koondnimetus]],2,FALSE)</f>
        <v>Haridus</v>
      </c>
      <c r="F860" t="s">
        <v>166</v>
      </c>
      <c r="G860" t="s">
        <v>198</v>
      </c>
      <c r="H860" s="40">
        <v>2700</v>
      </c>
      <c r="J860">
        <v>5513</v>
      </c>
      <c r="K860" s="3" t="str">
        <f>VLOOKUP(Table2[[#This Row],[Konto]],Table5[[Konto]:[Konto nimetus]],2,FALSE)</f>
        <v>Sõidukite ülalpidamise kulud</v>
      </c>
      <c r="L860">
        <v>55</v>
      </c>
      <c r="M860" t="str">
        <f t="shared" si="27"/>
        <v>55</v>
      </c>
      <c r="N860" t="str">
        <f>VLOOKUP(Table2[[#This Row],[Tulu/kulu liik2]],Table5[[Tulu/kulu liik]:[Kontode koondnimetus]],4,FALSE)</f>
        <v>Muud tegevuskulud</v>
      </c>
      <c r="O860" t="str">
        <f>VLOOKUP(Table2[[#This Row],[Tulu/kulu liik2]],Table5[],6,FALSE)</f>
        <v>Majandamiskulud</v>
      </c>
      <c r="P860" s="3" t="str">
        <f>VLOOKUP(Table2[[#This Row],[Tulu/kulu liik2]],Table5[],5,FALSE)</f>
        <v>Põhitegevuse kulu</v>
      </c>
    </row>
    <row r="861" spans="1:16" x14ac:dyDescent="0.25">
      <c r="A861" t="str">
        <f t="shared" si="26"/>
        <v>09</v>
      </c>
      <c r="B861" t="s">
        <v>247</v>
      </c>
      <c r="C861" s="3" t="str">
        <f>VLOOKUP(Table2[[#This Row],[Tegevusala]],Table4[],2,FALSE)</f>
        <v xml:space="preserve"> Roela kool</v>
      </c>
      <c r="D861" s="3" t="str">
        <f>VLOOKUP(Table2[[#This Row],[Tegevusala]],Table4[[Tegevusala kood]:[Tegevusala alanimetus]],4,FALSE)</f>
        <v>Põhihariduse otsekulud</v>
      </c>
      <c r="E861" s="3" t="str">
        <f>VLOOKUP(Table2[[#This Row],[Tegevusala nimetus2]],Table4[[Tegevusala nimetus]:[Tegevusala koondnimetus]],2,FALSE)</f>
        <v>Haridus</v>
      </c>
      <c r="F861" t="s">
        <v>166</v>
      </c>
      <c r="G861" t="s">
        <v>199</v>
      </c>
      <c r="H861" s="40">
        <v>1000</v>
      </c>
      <c r="J861">
        <v>5513</v>
      </c>
      <c r="K861" s="3" t="str">
        <f>VLOOKUP(Table2[[#This Row],[Konto]],Table5[[Konto]:[Konto nimetus]],2,FALSE)</f>
        <v>Sõidukite ülalpidamise kulud</v>
      </c>
      <c r="L861">
        <v>55</v>
      </c>
      <c r="M861" t="str">
        <f t="shared" si="27"/>
        <v>55</v>
      </c>
      <c r="N861" t="str">
        <f>VLOOKUP(Table2[[#This Row],[Tulu/kulu liik2]],Table5[[Tulu/kulu liik]:[Kontode koondnimetus]],4,FALSE)</f>
        <v>Muud tegevuskulud</v>
      </c>
      <c r="O861" t="str">
        <f>VLOOKUP(Table2[[#This Row],[Tulu/kulu liik2]],Table5[],6,FALSE)</f>
        <v>Majandamiskulud</v>
      </c>
      <c r="P861" s="3" t="str">
        <f>VLOOKUP(Table2[[#This Row],[Tulu/kulu liik2]],Table5[],5,FALSE)</f>
        <v>Põhitegevuse kulu</v>
      </c>
    </row>
    <row r="862" spans="1:16" x14ac:dyDescent="0.25">
      <c r="A862" t="str">
        <f t="shared" si="26"/>
        <v>09</v>
      </c>
      <c r="B862" t="s">
        <v>247</v>
      </c>
      <c r="C862" s="3" t="str">
        <f>VLOOKUP(Table2[[#This Row],[Tegevusala]],Table4[],2,FALSE)</f>
        <v xml:space="preserve"> Roela kool</v>
      </c>
      <c r="D862" s="3" t="str">
        <f>VLOOKUP(Table2[[#This Row],[Tegevusala]],Table4[[Tegevusala kood]:[Tegevusala alanimetus]],4,FALSE)</f>
        <v>Põhihariduse otsekulud</v>
      </c>
      <c r="E862" s="3" t="str">
        <f>VLOOKUP(Table2[[#This Row],[Tegevusala nimetus2]],Table4[[Tegevusala nimetus]:[Tegevusala koondnimetus]],2,FALSE)</f>
        <v>Haridus</v>
      </c>
      <c r="F862" t="s">
        <v>166</v>
      </c>
      <c r="G862" t="s">
        <v>200</v>
      </c>
      <c r="H862" s="40">
        <v>640</v>
      </c>
      <c r="I862" s="2" t="s">
        <v>201</v>
      </c>
      <c r="J862">
        <v>5513</v>
      </c>
      <c r="K862" s="3" t="str">
        <f>VLOOKUP(Table2[[#This Row],[Konto]],Table5[[Konto]:[Konto nimetus]],2,FALSE)</f>
        <v>Sõidukite ülalpidamise kulud</v>
      </c>
      <c r="L862">
        <v>55</v>
      </c>
      <c r="M862" t="str">
        <f t="shared" si="27"/>
        <v>55</v>
      </c>
      <c r="N862" t="str">
        <f>VLOOKUP(Table2[[#This Row],[Tulu/kulu liik2]],Table5[[Tulu/kulu liik]:[Kontode koondnimetus]],4,FALSE)</f>
        <v>Muud tegevuskulud</v>
      </c>
      <c r="O862" t="str">
        <f>VLOOKUP(Table2[[#This Row],[Tulu/kulu liik2]],Table5[],6,FALSE)</f>
        <v>Majandamiskulud</v>
      </c>
      <c r="P862" s="3" t="str">
        <f>VLOOKUP(Table2[[#This Row],[Tulu/kulu liik2]],Table5[],5,FALSE)</f>
        <v>Põhitegevuse kulu</v>
      </c>
    </row>
    <row r="863" spans="1:16" x14ac:dyDescent="0.25">
      <c r="A863" t="str">
        <f t="shared" si="26"/>
        <v>09</v>
      </c>
      <c r="B863" t="s">
        <v>247</v>
      </c>
      <c r="C863" s="3" t="str">
        <f>VLOOKUP(Table2[[#This Row],[Tegevusala]],Table4[],2,FALSE)</f>
        <v xml:space="preserve"> Roela kool</v>
      </c>
      <c r="D863" s="3" t="str">
        <f>VLOOKUP(Table2[[#This Row],[Tegevusala]],Table4[[Tegevusala kood]:[Tegevusala alanimetus]],4,FALSE)</f>
        <v>Põhihariduse otsekulud</v>
      </c>
      <c r="E863" s="3" t="str">
        <f>VLOOKUP(Table2[[#This Row],[Tegevusala nimetus2]],Table4[[Tegevusala nimetus]:[Tegevusala koondnimetus]],2,FALSE)</f>
        <v>Haridus</v>
      </c>
      <c r="F863" t="s">
        <v>166</v>
      </c>
      <c r="G863" t="s">
        <v>200</v>
      </c>
      <c r="H863" s="40">
        <v>640</v>
      </c>
      <c r="I863" s="2" t="s">
        <v>202</v>
      </c>
      <c r="J863">
        <v>5513</v>
      </c>
      <c r="K863" s="3" t="str">
        <f>VLOOKUP(Table2[[#This Row],[Konto]],Table5[[Konto]:[Konto nimetus]],2,FALSE)</f>
        <v>Sõidukite ülalpidamise kulud</v>
      </c>
      <c r="L863">
        <v>55</v>
      </c>
      <c r="M863" t="str">
        <f t="shared" si="27"/>
        <v>55</v>
      </c>
      <c r="N863" t="str">
        <f>VLOOKUP(Table2[[#This Row],[Tulu/kulu liik2]],Table5[[Tulu/kulu liik]:[Kontode koondnimetus]],4,FALSE)</f>
        <v>Muud tegevuskulud</v>
      </c>
      <c r="O863" t="str">
        <f>VLOOKUP(Table2[[#This Row],[Tulu/kulu liik2]],Table5[],6,FALSE)</f>
        <v>Majandamiskulud</v>
      </c>
      <c r="P863" s="3" t="str">
        <f>VLOOKUP(Table2[[#This Row],[Tulu/kulu liik2]],Table5[],5,FALSE)</f>
        <v>Põhitegevuse kulu</v>
      </c>
    </row>
    <row r="864" spans="1:16" x14ac:dyDescent="0.25">
      <c r="A864" t="str">
        <f t="shared" si="26"/>
        <v>09</v>
      </c>
      <c r="B864" t="s">
        <v>247</v>
      </c>
      <c r="C864" s="3" t="str">
        <f>VLOOKUP(Table2[[#This Row],[Tegevusala]],Table4[],2,FALSE)</f>
        <v xml:space="preserve"> Roela kool</v>
      </c>
      <c r="D864" s="3" t="str">
        <f>VLOOKUP(Table2[[#This Row],[Tegevusala]],Table4[[Tegevusala kood]:[Tegevusala alanimetus]],4,FALSE)</f>
        <v>Põhihariduse otsekulud</v>
      </c>
      <c r="E864" s="3" t="str">
        <f>VLOOKUP(Table2[[#This Row],[Tegevusala nimetus2]],Table4[[Tegevusala nimetus]:[Tegevusala koondnimetus]],2,FALSE)</f>
        <v>Haridus</v>
      </c>
      <c r="F864" t="s">
        <v>166</v>
      </c>
      <c r="G864" t="s">
        <v>200</v>
      </c>
      <c r="H864" s="40">
        <v>640</v>
      </c>
      <c r="I864" s="2" t="s">
        <v>203</v>
      </c>
      <c r="J864">
        <v>5513</v>
      </c>
      <c r="K864" s="3" t="str">
        <f>VLOOKUP(Table2[[#This Row],[Konto]],Table5[[Konto]:[Konto nimetus]],2,FALSE)</f>
        <v>Sõidukite ülalpidamise kulud</v>
      </c>
      <c r="L864">
        <v>55</v>
      </c>
      <c r="M864" t="str">
        <f t="shared" si="27"/>
        <v>55</v>
      </c>
      <c r="N864" t="str">
        <f>VLOOKUP(Table2[[#This Row],[Tulu/kulu liik2]],Table5[[Tulu/kulu liik]:[Kontode koondnimetus]],4,FALSE)</f>
        <v>Muud tegevuskulud</v>
      </c>
      <c r="O864" t="str">
        <f>VLOOKUP(Table2[[#This Row],[Tulu/kulu liik2]],Table5[],6,FALSE)</f>
        <v>Majandamiskulud</v>
      </c>
      <c r="P864" s="3" t="str">
        <f>VLOOKUP(Table2[[#This Row],[Tulu/kulu liik2]],Table5[],5,FALSE)</f>
        <v>Põhitegevuse kulu</v>
      </c>
    </row>
    <row r="865" spans="1:16" x14ac:dyDescent="0.25">
      <c r="A865" t="str">
        <f t="shared" si="26"/>
        <v>09</v>
      </c>
      <c r="B865" t="s">
        <v>247</v>
      </c>
      <c r="C865" s="3" t="str">
        <f>VLOOKUP(Table2[[#This Row],[Tegevusala]],Table4[],2,FALSE)</f>
        <v xml:space="preserve"> Roela kool</v>
      </c>
      <c r="D865" s="3" t="str">
        <f>VLOOKUP(Table2[[#This Row],[Tegevusala]],Table4[[Tegevusala kood]:[Tegevusala alanimetus]],4,FALSE)</f>
        <v>Põhihariduse otsekulud</v>
      </c>
      <c r="E865" s="3" t="str">
        <f>VLOOKUP(Table2[[#This Row],[Tegevusala nimetus2]],Table4[[Tegevusala nimetus]:[Tegevusala koondnimetus]],2,FALSE)</f>
        <v>Haridus</v>
      </c>
      <c r="F865" t="s">
        <v>166</v>
      </c>
      <c r="G865" t="s">
        <v>200</v>
      </c>
      <c r="H865" s="40">
        <v>640</v>
      </c>
      <c r="I865" s="2" t="s">
        <v>204</v>
      </c>
      <c r="J865">
        <v>5513</v>
      </c>
      <c r="K865" s="3" t="str">
        <f>VLOOKUP(Table2[[#This Row],[Konto]],Table5[[Konto]:[Konto nimetus]],2,FALSE)</f>
        <v>Sõidukite ülalpidamise kulud</v>
      </c>
      <c r="L865">
        <v>55</v>
      </c>
      <c r="M865" t="str">
        <f t="shared" si="27"/>
        <v>55</v>
      </c>
      <c r="N865" t="str">
        <f>VLOOKUP(Table2[[#This Row],[Tulu/kulu liik2]],Table5[[Tulu/kulu liik]:[Kontode koondnimetus]],4,FALSE)</f>
        <v>Muud tegevuskulud</v>
      </c>
      <c r="O865" t="str">
        <f>VLOOKUP(Table2[[#This Row],[Tulu/kulu liik2]],Table5[],6,FALSE)</f>
        <v>Majandamiskulud</v>
      </c>
      <c r="P865" s="3" t="str">
        <f>VLOOKUP(Table2[[#This Row],[Tulu/kulu liik2]],Table5[],5,FALSE)</f>
        <v>Põhitegevuse kulu</v>
      </c>
    </row>
    <row r="866" spans="1:16" x14ac:dyDescent="0.25">
      <c r="A866" t="str">
        <f t="shared" si="26"/>
        <v>09</v>
      </c>
      <c r="B866" t="s">
        <v>247</v>
      </c>
      <c r="C866" s="3" t="str">
        <f>VLOOKUP(Table2[[#This Row],[Tegevusala]],Table4[],2,FALSE)</f>
        <v xml:space="preserve"> Roela kool</v>
      </c>
      <c r="D866" s="3" t="str">
        <f>VLOOKUP(Table2[[#This Row],[Tegevusala]],Table4[[Tegevusala kood]:[Tegevusala alanimetus]],4,FALSE)</f>
        <v>Põhihariduse otsekulud</v>
      </c>
      <c r="E866" s="3" t="str">
        <f>VLOOKUP(Table2[[#This Row],[Tegevusala nimetus2]],Table4[[Tegevusala nimetus]:[Tegevusala koondnimetus]],2,FALSE)</f>
        <v>Haridus</v>
      </c>
      <c r="F866" t="s">
        <v>166</v>
      </c>
      <c r="G866" t="s">
        <v>200</v>
      </c>
      <c r="H866" s="40">
        <v>704</v>
      </c>
      <c r="I866" s="2" t="s">
        <v>205</v>
      </c>
      <c r="J866">
        <v>5513</v>
      </c>
      <c r="K866" s="3" t="str">
        <f>VLOOKUP(Table2[[#This Row],[Konto]],Table5[[Konto]:[Konto nimetus]],2,FALSE)</f>
        <v>Sõidukite ülalpidamise kulud</v>
      </c>
      <c r="L866">
        <v>55</v>
      </c>
      <c r="M866" t="str">
        <f t="shared" si="27"/>
        <v>55</v>
      </c>
      <c r="N866" t="str">
        <f>VLOOKUP(Table2[[#This Row],[Tulu/kulu liik2]],Table5[[Tulu/kulu liik]:[Kontode koondnimetus]],4,FALSE)</f>
        <v>Muud tegevuskulud</v>
      </c>
      <c r="O866" t="str">
        <f>VLOOKUP(Table2[[#This Row],[Tulu/kulu liik2]],Table5[],6,FALSE)</f>
        <v>Majandamiskulud</v>
      </c>
      <c r="P866" s="3" t="str">
        <f>VLOOKUP(Table2[[#This Row],[Tulu/kulu liik2]],Table5[],5,FALSE)</f>
        <v>Põhitegevuse kulu</v>
      </c>
    </row>
    <row r="867" spans="1:16" x14ac:dyDescent="0.25">
      <c r="A867" t="str">
        <f t="shared" si="26"/>
        <v>09</v>
      </c>
      <c r="B867" t="s">
        <v>247</v>
      </c>
      <c r="C867" s="3" t="str">
        <f>VLOOKUP(Table2[[#This Row],[Tegevusala]],Table4[],2,FALSE)</f>
        <v xml:space="preserve"> Roela kool</v>
      </c>
      <c r="D867" s="3" t="str">
        <f>VLOOKUP(Table2[[#This Row],[Tegevusala]],Table4[[Tegevusala kood]:[Tegevusala alanimetus]],4,FALSE)</f>
        <v>Põhihariduse otsekulud</v>
      </c>
      <c r="E867" s="3" t="str">
        <f>VLOOKUP(Table2[[#This Row],[Tegevusala nimetus2]],Table4[[Tegevusala nimetus]:[Tegevusala koondnimetus]],2,FALSE)</f>
        <v>Haridus</v>
      </c>
      <c r="F867" t="s">
        <v>166</v>
      </c>
      <c r="G867" t="s">
        <v>206</v>
      </c>
      <c r="H867" s="40">
        <v>200</v>
      </c>
      <c r="I867" s="2" t="s">
        <v>207</v>
      </c>
      <c r="J867">
        <v>5515</v>
      </c>
      <c r="K867" s="3" t="str">
        <f>VLOOKUP(Table2[[#This Row],[Konto]],Table5[[Konto]:[Konto nimetus]],2,FALSE)</f>
        <v>Inventari kulud, v.a infotehnoloogia ja kaitseotstarbelised kulud</v>
      </c>
      <c r="L867">
        <v>55</v>
      </c>
      <c r="M867" t="str">
        <f t="shared" si="27"/>
        <v>55</v>
      </c>
      <c r="N867" t="str">
        <f>VLOOKUP(Table2[[#This Row],[Tulu/kulu liik2]],Table5[[Tulu/kulu liik]:[Kontode koondnimetus]],4,FALSE)</f>
        <v>Muud tegevuskulud</v>
      </c>
      <c r="O867" t="str">
        <f>VLOOKUP(Table2[[#This Row],[Tulu/kulu liik2]],Table5[],6,FALSE)</f>
        <v>Majandamiskulud</v>
      </c>
      <c r="P867" s="3" t="str">
        <f>VLOOKUP(Table2[[#This Row],[Tulu/kulu liik2]],Table5[],5,FALSE)</f>
        <v>Põhitegevuse kulu</v>
      </c>
    </row>
    <row r="868" spans="1:16" x14ac:dyDescent="0.25">
      <c r="A868" t="str">
        <f t="shared" si="26"/>
        <v>09</v>
      </c>
      <c r="B868" t="s">
        <v>247</v>
      </c>
      <c r="C868" s="3" t="str">
        <f>VLOOKUP(Table2[[#This Row],[Tegevusala]],Table4[],2,FALSE)</f>
        <v xml:space="preserve"> Roela kool</v>
      </c>
      <c r="D868" s="3" t="str">
        <f>VLOOKUP(Table2[[#This Row],[Tegevusala]],Table4[[Tegevusala kood]:[Tegevusala alanimetus]],4,FALSE)</f>
        <v>Põhihariduse otsekulud</v>
      </c>
      <c r="E868" s="3" t="str">
        <f>VLOOKUP(Table2[[#This Row],[Tegevusala nimetus2]],Table4[[Tegevusala nimetus]:[Tegevusala koondnimetus]],2,FALSE)</f>
        <v>Haridus</v>
      </c>
      <c r="F868" t="s">
        <v>166</v>
      </c>
      <c r="G868" t="s">
        <v>208</v>
      </c>
      <c r="H868" s="40">
        <v>200</v>
      </c>
      <c r="J868">
        <v>5515</v>
      </c>
      <c r="K868" s="3" t="str">
        <f>VLOOKUP(Table2[[#This Row],[Konto]],Table5[[Konto]:[Konto nimetus]],2,FALSE)</f>
        <v>Inventari kulud, v.a infotehnoloogia ja kaitseotstarbelised kulud</v>
      </c>
      <c r="L868">
        <v>55</v>
      </c>
      <c r="M868" t="str">
        <f t="shared" si="27"/>
        <v>55</v>
      </c>
      <c r="N868" t="str">
        <f>VLOOKUP(Table2[[#This Row],[Tulu/kulu liik2]],Table5[[Tulu/kulu liik]:[Kontode koondnimetus]],4,FALSE)</f>
        <v>Muud tegevuskulud</v>
      </c>
      <c r="O868" t="str">
        <f>VLOOKUP(Table2[[#This Row],[Tulu/kulu liik2]],Table5[],6,FALSE)</f>
        <v>Majandamiskulud</v>
      </c>
      <c r="P868" s="3" t="str">
        <f>VLOOKUP(Table2[[#This Row],[Tulu/kulu liik2]],Table5[],5,FALSE)</f>
        <v>Põhitegevuse kulu</v>
      </c>
    </row>
    <row r="869" spans="1:16" x14ac:dyDescent="0.25">
      <c r="A869" t="str">
        <f t="shared" si="26"/>
        <v>09</v>
      </c>
      <c r="B869" t="s">
        <v>247</v>
      </c>
      <c r="C869" s="3" t="str">
        <f>VLOOKUP(Table2[[#This Row],[Tegevusala]],Table4[],2,FALSE)</f>
        <v xml:space="preserve"> Roela kool</v>
      </c>
      <c r="D869" s="3" t="str">
        <f>VLOOKUP(Table2[[#This Row],[Tegevusala]],Table4[[Tegevusala kood]:[Tegevusala alanimetus]],4,FALSE)</f>
        <v>Põhihariduse otsekulud</v>
      </c>
      <c r="E869" s="3" t="str">
        <f>VLOOKUP(Table2[[#This Row],[Tegevusala nimetus2]],Table4[[Tegevusala nimetus]:[Tegevusala koondnimetus]],2,FALSE)</f>
        <v>Haridus</v>
      </c>
      <c r="F869" t="s">
        <v>166</v>
      </c>
      <c r="G869" t="s">
        <v>211</v>
      </c>
      <c r="H869" s="40">
        <v>1000</v>
      </c>
      <c r="I869" s="2" t="s">
        <v>212</v>
      </c>
      <c r="J869">
        <v>5515</v>
      </c>
      <c r="K869" s="3" t="str">
        <f>VLOOKUP(Table2[[#This Row],[Konto]],Table5[[Konto]:[Konto nimetus]],2,FALSE)</f>
        <v>Inventari kulud, v.a infotehnoloogia ja kaitseotstarbelised kulud</v>
      </c>
      <c r="L869">
        <v>55</v>
      </c>
      <c r="M869" t="str">
        <f t="shared" si="27"/>
        <v>55</v>
      </c>
      <c r="N869" t="str">
        <f>VLOOKUP(Table2[[#This Row],[Tulu/kulu liik2]],Table5[[Tulu/kulu liik]:[Kontode koondnimetus]],4,FALSE)</f>
        <v>Muud tegevuskulud</v>
      </c>
      <c r="O869" t="str">
        <f>VLOOKUP(Table2[[#This Row],[Tulu/kulu liik2]],Table5[],6,FALSE)</f>
        <v>Majandamiskulud</v>
      </c>
      <c r="P869" s="3" t="str">
        <f>VLOOKUP(Table2[[#This Row],[Tulu/kulu liik2]],Table5[],5,FALSE)</f>
        <v>Põhitegevuse kulu</v>
      </c>
    </row>
    <row r="870" spans="1:16" x14ac:dyDescent="0.25">
      <c r="A870" t="str">
        <f t="shared" si="26"/>
        <v>09</v>
      </c>
      <c r="B870" t="s">
        <v>247</v>
      </c>
      <c r="C870" s="3" t="str">
        <f>VLOOKUP(Table2[[#This Row],[Tegevusala]],Table4[],2,FALSE)</f>
        <v xml:space="preserve"> Roela kool</v>
      </c>
      <c r="D870" s="3" t="str">
        <f>VLOOKUP(Table2[[#This Row],[Tegevusala]],Table4[[Tegevusala kood]:[Tegevusala alanimetus]],4,FALSE)</f>
        <v>Põhihariduse otsekulud</v>
      </c>
      <c r="E870" s="3" t="str">
        <f>VLOOKUP(Table2[[#This Row],[Tegevusala nimetus2]],Table4[[Tegevusala nimetus]:[Tegevusala koondnimetus]],2,FALSE)</f>
        <v>Haridus</v>
      </c>
      <c r="F870" t="s">
        <v>166</v>
      </c>
      <c r="G870" t="s">
        <v>213</v>
      </c>
      <c r="H870" s="40">
        <v>10675</v>
      </c>
      <c r="J870">
        <v>5521</v>
      </c>
      <c r="K870" s="3" t="str">
        <f>VLOOKUP(Table2[[#This Row],[Konto]],Table5[[Konto]:[Konto nimetus]],2,FALSE)</f>
        <v>Toiduained ja toitlustusteenused</v>
      </c>
      <c r="L870">
        <v>55</v>
      </c>
      <c r="M870" t="str">
        <f t="shared" si="27"/>
        <v>55</v>
      </c>
      <c r="N870" t="str">
        <f>VLOOKUP(Table2[[#This Row],[Tulu/kulu liik2]],Table5[[Tulu/kulu liik]:[Kontode koondnimetus]],4,FALSE)</f>
        <v>Muud tegevuskulud</v>
      </c>
      <c r="O870" t="str">
        <f>VLOOKUP(Table2[[#This Row],[Tulu/kulu liik2]],Table5[],6,FALSE)</f>
        <v>Majandamiskulud</v>
      </c>
      <c r="P870" s="3" t="str">
        <f>VLOOKUP(Table2[[#This Row],[Tulu/kulu liik2]],Table5[],5,FALSE)</f>
        <v>Põhitegevuse kulu</v>
      </c>
    </row>
    <row r="871" spans="1:16" x14ac:dyDescent="0.25">
      <c r="A871" t="str">
        <f t="shared" si="26"/>
        <v>09</v>
      </c>
      <c r="B871" t="s">
        <v>247</v>
      </c>
      <c r="C871" s="3" t="str">
        <f>VLOOKUP(Table2[[#This Row],[Tegevusala]],Table4[],2,FALSE)</f>
        <v xml:space="preserve"> Roela kool</v>
      </c>
      <c r="D871" s="3" t="str">
        <f>VLOOKUP(Table2[[#This Row],[Tegevusala]],Table4[[Tegevusala kood]:[Tegevusala alanimetus]],4,FALSE)</f>
        <v>Põhihariduse otsekulud</v>
      </c>
      <c r="E871" s="3" t="str">
        <f>VLOOKUP(Table2[[#This Row],[Tegevusala nimetus2]],Table4[[Tegevusala nimetus]:[Tegevusala koondnimetus]],2,FALSE)</f>
        <v>Haridus</v>
      </c>
      <c r="F871" t="s">
        <v>166</v>
      </c>
      <c r="G871" t="s">
        <v>214</v>
      </c>
      <c r="H871" s="40">
        <v>150</v>
      </c>
      <c r="I871" s="2" t="s">
        <v>215</v>
      </c>
      <c r="J871">
        <v>5522</v>
      </c>
      <c r="K871" s="3" t="str">
        <f>VLOOKUP(Table2[[#This Row],[Konto]],Table5[[Konto]:[Konto nimetus]],2,FALSE)</f>
        <v>Meditsiinikulud ja hügieenitarbed</v>
      </c>
      <c r="L871">
        <v>55</v>
      </c>
      <c r="M871" t="str">
        <f t="shared" si="27"/>
        <v>55</v>
      </c>
      <c r="N871" t="str">
        <f>VLOOKUP(Table2[[#This Row],[Tulu/kulu liik2]],Table5[[Tulu/kulu liik]:[Kontode koondnimetus]],4,FALSE)</f>
        <v>Muud tegevuskulud</v>
      </c>
      <c r="O871" t="str">
        <f>VLOOKUP(Table2[[#This Row],[Tulu/kulu liik2]],Table5[],6,FALSE)</f>
        <v>Majandamiskulud</v>
      </c>
      <c r="P871" s="3" t="str">
        <f>VLOOKUP(Table2[[#This Row],[Tulu/kulu liik2]],Table5[],5,FALSE)</f>
        <v>Põhitegevuse kulu</v>
      </c>
    </row>
    <row r="872" spans="1:16" x14ac:dyDescent="0.25">
      <c r="A872" t="str">
        <f t="shared" si="26"/>
        <v>09</v>
      </c>
      <c r="B872" t="s">
        <v>247</v>
      </c>
      <c r="C872" s="3" t="str">
        <f>VLOOKUP(Table2[[#This Row],[Tegevusala]],Table4[],2,FALSE)</f>
        <v xml:space="preserve"> Roela kool</v>
      </c>
      <c r="D872" s="3" t="str">
        <f>VLOOKUP(Table2[[#This Row],[Tegevusala]],Table4[[Tegevusala kood]:[Tegevusala alanimetus]],4,FALSE)</f>
        <v>Põhihariduse otsekulud</v>
      </c>
      <c r="E872" s="3" t="str">
        <f>VLOOKUP(Table2[[#This Row],[Tegevusala nimetus2]],Table4[[Tegevusala nimetus]:[Tegevusala koondnimetus]],2,FALSE)</f>
        <v>Haridus</v>
      </c>
      <c r="F872" t="s">
        <v>166</v>
      </c>
      <c r="G872" t="s">
        <v>216</v>
      </c>
      <c r="H872" s="40">
        <v>100</v>
      </c>
      <c r="J872">
        <v>5522</v>
      </c>
      <c r="K872" s="3" t="str">
        <f>VLOOKUP(Table2[[#This Row],[Konto]],Table5[[Konto]:[Konto nimetus]],2,FALSE)</f>
        <v>Meditsiinikulud ja hügieenitarbed</v>
      </c>
      <c r="L872">
        <v>55</v>
      </c>
      <c r="M872" t="str">
        <f t="shared" si="27"/>
        <v>55</v>
      </c>
      <c r="N872" t="str">
        <f>VLOOKUP(Table2[[#This Row],[Tulu/kulu liik2]],Table5[[Tulu/kulu liik]:[Kontode koondnimetus]],4,FALSE)</f>
        <v>Muud tegevuskulud</v>
      </c>
      <c r="O872" t="str">
        <f>VLOOKUP(Table2[[#This Row],[Tulu/kulu liik2]],Table5[],6,FALSE)</f>
        <v>Majandamiskulud</v>
      </c>
      <c r="P872" s="3" t="str">
        <f>VLOOKUP(Table2[[#This Row],[Tulu/kulu liik2]],Table5[],5,FALSE)</f>
        <v>Põhitegevuse kulu</v>
      </c>
    </row>
    <row r="873" spans="1:16" x14ac:dyDescent="0.25">
      <c r="A873" t="str">
        <f t="shared" si="26"/>
        <v>09</v>
      </c>
      <c r="B873" t="s">
        <v>247</v>
      </c>
      <c r="C873" s="3" t="str">
        <f>VLOOKUP(Table2[[#This Row],[Tegevusala]],Table4[],2,FALSE)</f>
        <v xml:space="preserve"> Roela kool</v>
      </c>
      <c r="D873" s="3" t="str">
        <f>VLOOKUP(Table2[[#This Row],[Tegevusala]],Table4[[Tegevusala kood]:[Tegevusala alanimetus]],4,FALSE)</f>
        <v>Põhihariduse otsekulud</v>
      </c>
      <c r="E873" s="3" t="str">
        <f>VLOOKUP(Table2[[#This Row],[Tegevusala nimetus2]],Table4[[Tegevusala nimetus]:[Tegevusala koondnimetus]],2,FALSE)</f>
        <v>Haridus</v>
      </c>
      <c r="F873" t="s">
        <v>166</v>
      </c>
      <c r="G873" t="s">
        <v>217</v>
      </c>
      <c r="H873" s="40">
        <v>200</v>
      </c>
      <c r="J873">
        <v>5524</v>
      </c>
      <c r="K873" s="3" t="str">
        <f>VLOOKUP(Table2[[#This Row],[Konto]],Table5[[Konto]:[Konto nimetus]],2,FALSE)</f>
        <v>Õppevahendid</v>
      </c>
      <c r="L873">
        <v>55</v>
      </c>
      <c r="M873" t="str">
        <f t="shared" si="27"/>
        <v>55</v>
      </c>
      <c r="N873" t="str">
        <f>VLOOKUP(Table2[[#This Row],[Tulu/kulu liik2]],Table5[[Tulu/kulu liik]:[Kontode koondnimetus]],4,FALSE)</f>
        <v>Muud tegevuskulud</v>
      </c>
      <c r="O873" t="str">
        <f>VLOOKUP(Table2[[#This Row],[Tulu/kulu liik2]],Table5[],6,FALSE)</f>
        <v>Majandamiskulud</v>
      </c>
      <c r="P873" s="3" t="str">
        <f>VLOOKUP(Table2[[#This Row],[Tulu/kulu liik2]],Table5[],5,FALSE)</f>
        <v>Põhitegevuse kulu</v>
      </c>
    </row>
    <row r="874" spans="1:16" x14ac:dyDescent="0.25">
      <c r="A874" t="str">
        <f t="shared" si="26"/>
        <v>09</v>
      </c>
      <c r="B874" t="s">
        <v>247</v>
      </c>
      <c r="C874" s="3" t="str">
        <f>VLOOKUP(Table2[[#This Row],[Tegevusala]],Table4[],2,FALSE)</f>
        <v xml:space="preserve"> Roela kool</v>
      </c>
      <c r="D874" s="3" t="str">
        <f>VLOOKUP(Table2[[#This Row],[Tegevusala]],Table4[[Tegevusala kood]:[Tegevusala alanimetus]],4,FALSE)</f>
        <v>Põhihariduse otsekulud</v>
      </c>
      <c r="E874" s="3" t="str">
        <f>VLOOKUP(Table2[[#This Row],[Tegevusala nimetus2]],Table4[[Tegevusala nimetus]:[Tegevusala koondnimetus]],2,FALSE)</f>
        <v>Haridus</v>
      </c>
      <c r="F874" t="s">
        <v>166</v>
      </c>
      <c r="G874" t="s">
        <v>218</v>
      </c>
      <c r="H874" s="40">
        <f>6500-3477</f>
        <v>3023</v>
      </c>
      <c r="I874" s="2" t="s">
        <v>219</v>
      </c>
      <c r="J874">
        <v>5524</v>
      </c>
      <c r="K874" s="3" t="str">
        <f>VLOOKUP(Table2[[#This Row],[Konto]],Table5[[Konto]:[Konto nimetus]],2,FALSE)</f>
        <v>Õppevahendid</v>
      </c>
      <c r="L874">
        <v>55</v>
      </c>
      <c r="M874" t="str">
        <f t="shared" si="27"/>
        <v>55</v>
      </c>
      <c r="N874" t="str">
        <f>VLOOKUP(Table2[[#This Row],[Tulu/kulu liik2]],Table5[[Tulu/kulu liik]:[Kontode koondnimetus]],4,FALSE)</f>
        <v>Muud tegevuskulud</v>
      </c>
      <c r="O874" t="str">
        <f>VLOOKUP(Table2[[#This Row],[Tulu/kulu liik2]],Table5[],6,FALSE)</f>
        <v>Majandamiskulud</v>
      </c>
      <c r="P874" s="3" t="str">
        <f>VLOOKUP(Table2[[#This Row],[Tulu/kulu liik2]],Table5[],5,FALSE)</f>
        <v>Põhitegevuse kulu</v>
      </c>
    </row>
    <row r="875" spans="1:16" x14ac:dyDescent="0.25">
      <c r="A875" t="str">
        <f t="shared" si="26"/>
        <v>09</v>
      </c>
      <c r="B875" t="s">
        <v>247</v>
      </c>
      <c r="C875" s="3" t="str">
        <f>VLOOKUP(Table2[[#This Row],[Tegevusala]],Table4[],2,FALSE)</f>
        <v xml:space="preserve"> Roela kool</v>
      </c>
      <c r="D875" s="3" t="str">
        <f>VLOOKUP(Table2[[#This Row],[Tegevusala]],Table4[[Tegevusala kood]:[Tegevusala alanimetus]],4,FALSE)</f>
        <v>Põhihariduse otsekulud</v>
      </c>
      <c r="E875" s="3" t="str">
        <f>VLOOKUP(Table2[[#This Row],[Tegevusala nimetus2]],Table4[[Tegevusala nimetus]:[Tegevusala koondnimetus]],2,FALSE)</f>
        <v>Haridus</v>
      </c>
      <c r="F875" t="s">
        <v>166</v>
      </c>
      <c r="G875" t="s">
        <v>220</v>
      </c>
      <c r="H875" s="40">
        <v>100</v>
      </c>
      <c r="J875">
        <v>5524</v>
      </c>
      <c r="K875" s="3" t="str">
        <f>VLOOKUP(Table2[[#This Row],[Konto]],Table5[[Konto]:[Konto nimetus]],2,FALSE)</f>
        <v>Õppevahendid</v>
      </c>
      <c r="L875">
        <v>55</v>
      </c>
      <c r="M875" t="str">
        <f t="shared" si="27"/>
        <v>55</v>
      </c>
      <c r="N875" t="str">
        <f>VLOOKUP(Table2[[#This Row],[Tulu/kulu liik2]],Table5[[Tulu/kulu liik]:[Kontode koondnimetus]],4,FALSE)</f>
        <v>Muud tegevuskulud</v>
      </c>
      <c r="O875" t="str">
        <f>VLOOKUP(Table2[[#This Row],[Tulu/kulu liik2]],Table5[],6,FALSE)</f>
        <v>Majandamiskulud</v>
      </c>
      <c r="P875" s="3" t="str">
        <f>VLOOKUP(Table2[[#This Row],[Tulu/kulu liik2]],Table5[],5,FALSE)</f>
        <v>Põhitegevuse kulu</v>
      </c>
    </row>
    <row r="876" spans="1:16" x14ac:dyDescent="0.25">
      <c r="A876" t="str">
        <f t="shared" si="26"/>
        <v>09</v>
      </c>
      <c r="B876" t="s">
        <v>247</v>
      </c>
      <c r="C876" s="3" t="str">
        <f>VLOOKUP(Table2[[#This Row],[Tegevusala]],Table4[],2,FALSE)</f>
        <v xml:space="preserve"> Roela kool</v>
      </c>
      <c r="D876" s="3" t="str">
        <f>VLOOKUP(Table2[[#This Row],[Tegevusala]],Table4[[Tegevusala kood]:[Tegevusala alanimetus]],4,FALSE)</f>
        <v>Põhihariduse otsekulud</v>
      </c>
      <c r="E876" s="3" t="str">
        <f>VLOOKUP(Table2[[#This Row],[Tegevusala nimetus2]],Table4[[Tegevusala nimetus]:[Tegevusala koondnimetus]],2,FALSE)</f>
        <v>Haridus</v>
      </c>
      <c r="F876" t="s">
        <v>166</v>
      </c>
      <c r="G876" t="s">
        <v>117</v>
      </c>
      <c r="H876" s="40">
        <v>500</v>
      </c>
      <c r="I876" s="2" t="s">
        <v>221</v>
      </c>
      <c r="J876">
        <v>5524</v>
      </c>
      <c r="K876" s="3" t="str">
        <f>VLOOKUP(Table2[[#This Row],[Konto]],Table5[[Konto]:[Konto nimetus]],2,FALSE)</f>
        <v>Õppevahendid</v>
      </c>
      <c r="L876">
        <v>55</v>
      </c>
      <c r="M876" t="str">
        <f t="shared" si="27"/>
        <v>55</v>
      </c>
      <c r="N876" t="str">
        <f>VLOOKUP(Table2[[#This Row],[Tulu/kulu liik2]],Table5[[Tulu/kulu liik]:[Kontode koondnimetus]],4,FALSE)</f>
        <v>Muud tegevuskulud</v>
      </c>
      <c r="O876" t="str">
        <f>VLOOKUP(Table2[[#This Row],[Tulu/kulu liik2]],Table5[],6,FALSE)</f>
        <v>Majandamiskulud</v>
      </c>
      <c r="P876" s="3" t="str">
        <f>VLOOKUP(Table2[[#This Row],[Tulu/kulu liik2]],Table5[],5,FALSE)</f>
        <v>Põhitegevuse kulu</v>
      </c>
    </row>
    <row r="877" spans="1:16" x14ac:dyDescent="0.25">
      <c r="A877" t="str">
        <f t="shared" si="26"/>
        <v>09</v>
      </c>
      <c r="B877" t="s">
        <v>247</v>
      </c>
      <c r="C877" s="3" t="str">
        <f>VLOOKUP(Table2[[#This Row],[Tegevusala]],Table4[],2,FALSE)</f>
        <v xml:space="preserve"> Roela kool</v>
      </c>
      <c r="D877" s="3" t="str">
        <f>VLOOKUP(Table2[[#This Row],[Tegevusala]],Table4[[Tegevusala kood]:[Tegevusala alanimetus]],4,FALSE)</f>
        <v>Põhihariduse otsekulud</v>
      </c>
      <c r="E877" s="3" t="str">
        <f>VLOOKUP(Table2[[#This Row],[Tegevusala nimetus2]],Table4[[Tegevusala nimetus]:[Tegevusala koondnimetus]],2,FALSE)</f>
        <v>Haridus</v>
      </c>
      <c r="F877" t="s">
        <v>166</v>
      </c>
      <c r="G877" t="s">
        <v>222</v>
      </c>
      <c r="H877" s="40">
        <v>500</v>
      </c>
      <c r="I877" s="2" t="s">
        <v>223</v>
      </c>
      <c r="J877">
        <v>5524</v>
      </c>
      <c r="K877" s="3" t="str">
        <f>VLOOKUP(Table2[[#This Row],[Konto]],Table5[[Konto]:[Konto nimetus]],2,FALSE)</f>
        <v>Õppevahendid</v>
      </c>
      <c r="L877">
        <v>55</v>
      </c>
      <c r="M877" t="str">
        <f t="shared" si="27"/>
        <v>55</v>
      </c>
      <c r="N877" t="str">
        <f>VLOOKUP(Table2[[#This Row],[Tulu/kulu liik2]],Table5[[Tulu/kulu liik]:[Kontode koondnimetus]],4,FALSE)</f>
        <v>Muud tegevuskulud</v>
      </c>
      <c r="O877" t="str">
        <f>VLOOKUP(Table2[[#This Row],[Tulu/kulu liik2]],Table5[],6,FALSE)</f>
        <v>Majandamiskulud</v>
      </c>
      <c r="P877" s="3" t="str">
        <f>VLOOKUP(Table2[[#This Row],[Tulu/kulu liik2]],Table5[],5,FALSE)</f>
        <v>Põhitegevuse kulu</v>
      </c>
    </row>
    <row r="878" spans="1:16" x14ac:dyDescent="0.25">
      <c r="A878" t="str">
        <f t="shared" si="26"/>
        <v>09</v>
      </c>
      <c r="B878" t="s">
        <v>247</v>
      </c>
      <c r="C878" s="3" t="str">
        <f>VLOOKUP(Table2[[#This Row],[Tegevusala]],Table4[],2,FALSE)</f>
        <v xml:space="preserve"> Roela kool</v>
      </c>
      <c r="D878" s="3" t="str">
        <f>VLOOKUP(Table2[[#This Row],[Tegevusala]],Table4[[Tegevusala kood]:[Tegevusala alanimetus]],4,FALSE)</f>
        <v>Põhihariduse otsekulud</v>
      </c>
      <c r="E878" s="3" t="str">
        <f>VLOOKUP(Table2[[#This Row],[Tegevusala nimetus2]],Table4[[Tegevusala nimetus]:[Tegevusala koondnimetus]],2,FALSE)</f>
        <v>Haridus</v>
      </c>
      <c r="F878" t="s">
        <v>166</v>
      </c>
      <c r="G878" t="s">
        <v>224</v>
      </c>
      <c r="H878" s="40">
        <v>100</v>
      </c>
      <c r="I878" s="2" t="s">
        <v>225</v>
      </c>
      <c r="J878">
        <v>5524</v>
      </c>
      <c r="K878" s="3" t="str">
        <f>VLOOKUP(Table2[[#This Row],[Konto]],Table5[[Konto]:[Konto nimetus]],2,FALSE)</f>
        <v>Õppevahendid</v>
      </c>
      <c r="L878">
        <v>55</v>
      </c>
      <c r="M878" t="str">
        <f t="shared" si="27"/>
        <v>55</v>
      </c>
      <c r="N878" t="str">
        <f>VLOOKUP(Table2[[#This Row],[Tulu/kulu liik2]],Table5[[Tulu/kulu liik]:[Kontode koondnimetus]],4,FALSE)</f>
        <v>Muud tegevuskulud</v>
      </c>
      <c r="O878" t="str">
        <f>VLOOKUP(Table2[[#This Row],[Tulu/kulu liik2]],Table5[],6,FALSE)</f>
        <v>Majandamiskulud</v>
      </c>
      <c r="P878" s="3" t="str">
        <f>VLOOKUP(Table2[[#This Row],[Tulu/kulu liik2]],Table5[],5,FALSE)</f>
        <v>Põhitegevuse kulu</v>
      </c>
    </row>
    <row r="879" spans="1:16" x14ac:dyDescent="0.25">
      <c r="A879" t="str">
        <f t="shared" si="26"/>
        <v>09</v>
      </c>
      <c r="B879" t="s">
        <v>247</v>
      </c>
      <c r="C879" s="3" t="str">
        <f>VLOOKUP(Table2[[#This Row],[Tegevusala]],Table4[],2,FALSE)</f>
        <v xml:space="preserve"> Roela kool</v>
      </c>
      <c r="D879" s="3" t="str">
        <f>VLOOKUP(Table2[[#This Row],[Tegevusala]],Table4[[Tegevusala kood]:[Tegevusala alanimetus]],4,FALSE)</f>
        <v>Põhihariduse otsekulud</v>
      </c>
      <c r="E879" s="3" t="str">
        <f>VLOOKUP(Table2[[#This Row],[Tegevusala nimetus2]],Table4[[Tegevusala nimetus]:[Tegevusala koondnimetus]],2,FALSE)</f>
        <v>Haridus</v>
      </c>
      <c r="F879" t="s">
        <v>166</v>
      </c>
      <c r="G879" t="s">
        <v>226</v>
      </c>
      <c r="H879" s="40">
        <v>200</v>
      </c>
      <c r="I879" s="2" t="s">
        <v>227</v>
      </c>
      <c r="J879">
        <v>5524</v>
      </c>
      <c r="K879" s="3" t="str">
        <f>VLOOKUP(Table2[[#This Row],[Konto]],Table5[[Konto]:[Konto nimetus]],2,FALSE)</f>
        <v>Õppevahendid</v>
      </c>
      <c r="L879">
        <v>55</v>
      </c>
      <c r="M879" t="str">
        <f t="shared" si="27"/>
        <v>55</v>
      </c>
      <c r="N879" t="str">
        <f>VLOOKUP(Table2[[#This Row],[Tulu/kulu liik2]],Table5[[Tulu/kulu liik]:[Kontode koondnimetus]],4,FALSE)</f>
        <v>Muud tegevuskulud</v>
      </c>
      <c r="O879" t="str">
        <f>VLOOKUP(Table2[[#This Row],[Tulu/kulu liik2]],Table5[],6,FALSE)</f>
        <v>Majandamiskulud</v>
      </c>
      <c r="P879" s="3" t="str">
        <f>VLOOKUP(Table2[[#This Row],[Tulu/kulu liik2]],Table5[],5,FALSE)</f>
        <v>Põhitegevuse kulu</v>
      </c>
    </row>
    <row r="880" spans="1:16" x14ac:dyDescent="0.25">
      <c r="A880" t="str">
        <f t="shared" si="26"/>
        <v>09</v>
      </c>
      <c r="B880" t="s">
        <v>247</v>
      </c>
      <c r="C880" s="3" t="str">
        <f>VLOOKUP(Table2[[#This Row],[Tegevusala]],Table4[],2,FALSE)</f>
        <v xml:space="preserve"> Roela kool</v>
      </c>
      <c r="D880" s="3" t="str">
        <f>VLOOKUP(Table2[[#This Row],[Tegevusala]],Table4[[Tegevusala kood]:[Tegevusala alanimetus]],4,FALSE)</f>
        <v>Põhihariduse otsekulud</v>
      </c>
      <c r="E880" s="3" t="str">
        <f>VLOOKUP(Table2[[#This Row],[Tegevusala nimetus2]],Table4[[Tegevusala nimetus]:[Tegevusala koondnimetus]],2,FALSE)</f>
        <v>Haridus</v>
      </c>
      <c r="F880" t="s">
        <v>166</v>
      </c>
      <c r="G880" t="s">
        <v>228</v>
      </c>
      <c r="H880" s="40">
        <v>200</v>
      </c>
      <c r="I880" s="2" t="s">
        <v>229</v>
      </c>
      <c r="J880">
        <v>5524</v>
      </c>
      <c r="K880" s="3" t="str">
        <f>VLOOKUP(Table2[[#This Row],[Konto]],Table5[[Konto]:[Konto nimetus]],2,FALSE)</f>
        <v>Õppevahendid</v>
      </c>
      <c r="L880">
        <v>55</v>
      </c>
      <c r="M880" t="str">
        <f t="shared" si="27"/>
        <v>55</v>
      </c>
      <c r="N880" t="str">
        <f>VLOOKUP(Table2[[#This Row],[Tulu/kulu liik2]],Table5[[Tulu/kulu liik]:[Kontode koondnimetus]],4,FALSE)</f>
        <v>Muud tegevuskulud</v>
      </c>
      <c r="O880" t="str">
        <f>VLOOKUP(Table2[[#This Row],[Tulu/kulu liik2]],Table5[],6,FALSE)</f>
        <v>Majandamiskulud</v>
      </c>
      <c r="P880" s="3" t="str">
        <f>VLOOKUP(Table2[[#This Row],[Tulu/kulu liik2]],Table5[],5,FALSE)</f>
        <v>Põhitegevuse kulu</v>
      </c>
    </row>
    <row r="881" spans="1:16" x14ac:dyDescent="0.25">
      <c r="A881" t="str">
        <f t="shared" si="26"/>
        <v>09</v>
      </c>
      <c r="B881" t="s">
        <v>247</v>
      </c>
      <c r="C881" s="3" t="str">
        <f>VLOOKUP(Table2[[#This Row],[Tegevusala]],Table4[],2,FALSE)</f>
        <v xml:space="preserve"> Roela kool</v>
      </c>
      <c r="D881" s="3" t="str">
        <f>VLOOKUP(Table2[[#This Row],[Tegevusala]],Table4[[Tegevusala kood]:[Tegevusala alanimetus]],4,FALSE)</f>
        <v>Põhihariduse otsekulud</v>
      </c>
      <c r="E881" s="3" t="str">
        <f>VLOOKUP(Table2[[#This Row],[Tegevusala nimetus2]],Table4[[Tegevusala nimetus]:[Tegevusala koondnimetus]],2,FALSE)</f>
        <v>Haridus</v>
      </c>
      <c r="F881" t="s">
        <v>166</v>
      </c>
      <c r="G881" t="s">
        <v>230</v>
      </c>
      <c r="H881" s="40">
        <v>150</v>
      </c>
      <c r="J881">
        <v>5524</v>
      </c>
      <c r="K881" s="3" t="str">
        <f>VLOOKUP(Table2[[#This Row],[Konto]],Table5[[Konto]:[Konto nimetus]],2,FALSE)</f>
        <v>Õppevahendid</v>
      </c>
      <c r="L881">
        <v>55</v>
      </c>
      <c r="M881" t="str">
        <f t="shared" si="27"/>
        <v>55</v>
      </c>
      <c r="N881" t="str">
        <f>VLOOKUP(Table2[[#This Row],[Tulu/kulu liik2]],Table5[[Tulu/kulu liik]:[Kontode koondnimetus]],4,FALSE)</f>
        <v>Muud tegevuskulud</v>
      </c>
      <c r="O881" t="str">
        <f>VLOOKUP(Table2[[#This Row],[Tulu/kulu liik2]],Table5[],6,FALSE)</f>
        <v>Majandamiskulud</v>
      </c>
      <c r="P881" s="3" t="str">
        <f>VLOOKUP(Table2[[#This Row],[Tulu/kulu liik2]],Table5[],5,FALSE)</f>
        <v>Põhitegevuse kulu</v>
      </c>
    </row>
    <row r="882" spans="1:16" x14ac:dyDescent="0.25">
      <c r="A882" t="str">
        <f t="shared" si="26"/>
        <v>09</v>
      </c>
      <c r="B882" t="s">
        <v>247</v>
      </c>
      <c r="C882" s="3" t="str">
        <f>VLOOKUP(Table2[[#This Row],[Tegevusala]],Table4[],2,FALSE)</f>
        <v xml:space="preserve"> Roela kool</v>
      </c>
      <c r="D882" s="3" t="str">
        <f>VLOOKUP(Table2[[#This Row],[Tegevusala]],Table4[[Tegevusala kood]:[Tegevusala alanimetus]],4,FALSE)</f>
        <v>Põhihariduse otsekulud</v>
      </c>
      <c r="E882" s="3" t="str">
        <f>VLOOKUP(Table2[[#This Row],[Tegevusala nimetus2]],Table4[[Tegevusala nimetus]:[Tegevusala koondnimetus]],2,FALSE)</f>
        <v>Haridus</v>
      </c>
      <c r="F882" t="s">
        <v>166</v>
      </c>
      <c r="G882" t="s">
        <v>231</v>
      </c>
      <c r="H882" s="40">
        <v>150</v>
      </c>
      <c r="I882" s="2" t="s">
        <v>232</v>
      </c>
      <c r="J882">
        <v>5525</v>
      </c>
      <c r="K882" s="3" t="str">
        <f>VLOOKUP(Table2[[#This Row],[Konto]],Table5[[Konto]:[Konto nimetus]],2,FALSE)</f>
        <v>Kommunikatsiooni-, kultuuri- ja vaba aja sisustamise kulud</v>
      </c>
      <c r="L882">
        <v>55</v>
      </c>
      <c r="M882" t="str">
        <f t="shared" si="27"/>
        <v>55</v>
      </c>
      <c r="N882" t="str">
        <f>VLOOKUP(Table2[[#This Row],[Tulu/kulu liik2]],Table5[[Tulu/kulu liik]:[Kontode koondnimetus]],4,FALSE)</f>
        <v>Muud tegevuskulud</v>
      </c>
      <c r="O882" t="str">
        <f>VLOOKUP(Table2[[#This Row],[Tulu/kulu liik2]],Table5[],6,FALSE)</f>
        <v>Majandamiskulud</v>
      </c>
      <c r="P882" s="3" t="str">
        <f>VLOOKUP(Table2[[#This Row],[Tulu/kulu liik2]],Table5[],5,FALSE)</f>
        <v>Põhitegevuse kulu</v>
      </c>
    </row>
    <row r="883" spans="1:16" x14ac:dyDescent="0.25">
      <c r="A883" t="str">
        <f t="shared" si="26"/>
        <v>09</v>
      </c>
      <c r="B883" t="s">
        <v>247</v>
      </c>
      <c r="C883" s="3" t="str">
        <f>VLOOKUP(Table2[[#This Row],[Tegevusala]],Table4[],2,FALSE)</f>
        <v xml:space="preserve"> Roela kool</v>
      </c>
      <c r="D883" s="3" t="str">
        <f>VLOOKUP(Table2[[#This Row],[Tegevusala]],Table4[[Tegevusala kood]:[Tegevusala alanimetus]],4,FALSE)</f>
        <v>Põhihariduse otsekulud</v>
      </c>
      <c r="E883" s="3" t="str">
        <f>VLOOKUP(Table2[[#This Row],[Tegevusala nimetus2]],Table4[[Tegevusala nimetus]:[Tegevusala koondnimetus]],2,FALSE)</f>
        <v>Haridus</v>
      </c>
      <c r="F883" t="s">
        <v>166</v>
      </c>
      <c r="G883" t="s">
        <v>233</v>
      </c>
      <c r="H883" s="40">
        <v>150</v>
      </c>
      <c r="J883">
        <v>5525</v>
      </c>
      <c r="K883" s="3" t="str">
        <f>VLOOKUP(Table2[[#This Row],[Konto]],Table5[[Konto]:[Konto nimetus]],2,FALSE)</f>
        <v>Kommunikatsiooni-, kultuuri- ja vaba aja sisustamise kulud</v>
      </c>
      <c r="L883">
        <v>55</v>
      </c>
      <c r="M883" t="str">
        <f t="shared" si="27"/>
        <v>55</v>
      </c>
      <c r="N883" t="str">
        <f>VLOOKUP(Table2[[#This Row],[Tulu/kulu liik2]],Table5[[Tulu/kulu liik]:[Kontode koondnimetus]],4,FALSE)</f>
        <v>Muud tegevuskulud</v>
      </c>
      <c r="O883" t="str">
        <f>VLOOKUP(Table2[[#This Row],[Tulu/kulu liik2]],Table5[],6,FALSE)</f>
        <v>Majandamiskulud</v>
      </c>
      <c r="P883" s="3" t="str">
        <f>VLOOKUP(Table2[[#This Row],[Tulu/kulu liik2]],Table5[],5,FALSE)</f>
        <v>Põhitegevuse kulu</v>
      </c>
    </row>
    <row r="884" spans="1:16" x14ac:dyDescent="0.25">
      <c r="A884" t="str">
        <f t="shared" si="26"/>
        <v>09</v>
      </c>
      <c r="B884" t="s">
        <v>247</v>
      </c>
      <c r="C884" s="3" t="str">
        <f>VLOOKUP(Table2[[#This Row],[Tegevusala]],Table4[],2,FALSE)</f>
        <v xml:space="preserve"> Roela kool</v>
      </c>
      <c r="D884" s="3" t="str">
        <f>VLOOKUP(Table2[[#This Row],[Tegevusala]],Table4[[Tegevusala kood]:[Tegevusala alanimetus]],4,FALSE)</f>
        <v>Põhihariduse otsekulud</v>
      </c>
      <c r="E884" s="3" t="str">
        <f>VLOOKUP(Table2[[#This Row],[Tegevusala nimetus2]],Table4[[Tegevusala nimetus]:[Tegevusala koondnimetus]],2,FALSE)</f>
        <v>Haridus</v>
      </c>
      <c r="F884" t="s">
        <v>166</v>
      </c>
      <c r="G884" t="s">
        <v>234</v>
      </c>
      <c r="H884" s="40">
        <v>150</v>
      </c>
      <c r="J884">
        <v>5525</v>
      </c>
      <c r="K884" s="3" t="str">
        <f>VLOOKUP(Table2[[#This Row],[Konto]],Table5[[Konto]:[Konto nimetus]],2,FALSE)</f>
        <v>Kommunikatsiooni-, kultuuri- ja vaba aja sisustamise kulud</v>
      </c>
      <c r="L884">
        <v>55</v>
      </c>
      <c r="M884" t="str">
        <f t="shared" si="27"/>
        <v>55</v>
      </c>
      <c r="N884" t="str">
        <f>VLOOKUP(Table2[[#This Row],[Tulu/kulu liik2]],Table5[[Tulu/kulu liik]:[Kontode koondnimetus]],4,FALSE)</f>
        <v>Muud tegevuskulud</v>
      </c>
      <c r="O884" t="str">
        <f>VLOOKUP(Table2[[#This Row],[Tulu/kulu liik2]],Table5[],6,FALSE)</f>
        <v>Majandamiskulud</v>
      </c>
      <c r="P884" s="3" t="str">
        <f>VLOOKUP(Table2[[#This Row],[Tulu/kulu liik2]],Table5[],5,FALSE)</f>
        <v>Põhitegevuse kulu</v>
      </c>
    </row>
    <row r="885" spans="1:16" x14ac:dyDescent="0.25">
      <c r="A885" t="str">
        <f t="shared" si="26"/>
        <v>09</v>
      </c>
      <c r="B885" t="s">
        <v>247</v>
      </c>
      <c r="C885" s="3" t="str">
        <f>VLOOKUP(Table2[[#This Row],[Tegevusala]],Table4[],2,FALSE)</f>
        <v xml:space="preserve"> Roela kool</v>
      </c>
      <c r="D885" s="3" t="str">
        <f>VLOOKUP(Table2[[#This Row],[Tegevusala]],Table4[[Tegevusala kood]:[Tegevusala alanimetus]],4,FALSE)</f>
        <v>Põhihariduse otsekulud</v>
      </c>
      <c r="E885" s="3" t="str">
        <f>VLOOKUP(Table2[[#This Row],[Tegevusala nimetus2]],Table4[[Tegevusala nimetus]:[Tegevusala koondnimetus]],2,FALSE)</f>
        <v>Haridus</v>
      </c>
      <c r="F885" t="s">
        <v>166</v>
      </c>
      <c r="G885" t="s">
        <v>235</v>
      </c>
      <c r="H885" s="40">
        <v>200</v>
      </c>
      <c r="J885">
        <v>5525</v>
      </c>
      <c r="K885" s="3" t="str">
        <f>VLOOKUP(Table2[[#This Row],[Konto]],Table5[[Konto]:[Konto nimetus]],2,FALSE)</f>
        <v>Kommunikatsiooni-, kultuuri- ja vaba aja sisustamise kulud</v>
      </c>
      <c r="L885">
        <v>55</v>
      </c>
      <c r="M885" t="str">
        <f t="shared" si="27"/>
        <v>55</v>
      </c>
      <c r="N885" t="str">
        <f>VLOOKUP(Table2[[#This Row],[Tulu/kulu liik2]],Table5[[Tulu/kulu liik]:[Kontode koondnimetus]],4,FALSE)</f>
        <v>Muud tegevuskulud</v>
      </c>
      <c r="O885" t="str">
        <f>VLOOKUP(Table2[[#This Row],[Tulu/kulu liik2]],Table5[],6,FALSE)</f>
        <v>Majandamiskulud</v>
      </c>
      <c r="P885" s="3" t="str">
        <f>VLOOKUP(Table2[[#This Row],[Tulu/kulu liik2]],Table5[],5,FALSE)</f>
        <v>Põhitegevuse kulu</v>
      </c>
    </row>
    <row r="886" spans="1:16" x14ac:dyDescent="0.25">
      <c r="A886" t="str">
        <f t="shared" si="26"/>
        <v>09</v>
      </c>
      <c r="B886" t="s">
        <v>247</v>
      </c>
      <c r="C886" s="3" t="str">
        <f>VLOOKUP(Table2[[#This Row],[Tegevusala]],Table4[],2,FALSE)</f>
        <v xml:space="preserve"> Roela kool</v>
      </c>
      <c r="D886" s="3" t="str">
        <f>VLOOKUP(Table2[[#This Row],[Tegevusala]],Table4[[Tegevusala kood]:[Tegevusala alanimetus]],4,FALSE)</f>
        <v>Põhihariduse otsekulud</v>
      </c>
      <c r="E886" s="3" t="str">
        <f>VLOOKUP(Table2[[#This Row],[Tegevusala nimetus2]],Table4[[Tegevusala nimetus]:[Tegevusala koondnimetus]],2,FALSE)</f>
        <v>Haridus</v>
      </c>
      <c r="F886" t="s">
        <v>166</v>
      </c>
      <c r="G886" t="s">
        <v>236</v>
      </c>
      <c r="H886" s="40">
        <v>100</v>
      </c>
      <c r="J886">
        <v>5525</v>
      </c>
      <c r="K886" s="3" t="str">
        <f>VLOOKUP(Table2[[#This Row],[Konto]],Table5[[Konto]:[Konto nimetus]],2,FALSE)</f>
        <v>Kommunikatsiooni-, kultuuri- ja vaba aja sisustamise kulud</v>
      </c>
      <c r="L886">
        <v>55</v>
      </c>
      <c r="M886" t="str">
        <f t="shared" si="27"/>
        <v>55</v>
      </c>
      <c r="N886" t="str">
        <f>VLOOKUP(Table2[[#This Row],[Tulu/kulu liik2]],Table5[[Tulu/kulu liik]:[Kontode koondnimetus]],4,FALSE)</f>
        <v>Muud tegevuskulud</v>
      </c>
      <c r="O886" t="str">
        <f>VLOOKUP(Table2[[#This Row],[Tulu/kulu liik2]],Table5[],6,FALSE)</f>
        <v>Majandamiskulud</v>
      </c>
      <c r="P886" s="3" t="str">
        <f>VLOOKUP(Table2[[#This Row],[Tulu/kulu liik2]],Table5[],5,FALSE)</f>
        <v>Põhitegevuse kulu</v>
      </c>
    </row>
    <row r="887" spans="1:16" x14ac:dyDescent="0.25">
      <c r="A887" t="str">
        <f t="shared" si="26"/>
        <v>09</v>
      </c>
      <c r="B887" t="s">
        <v>247</v>
      </c>
      <c r="C887" s="3" t="str">
        <f>VLOOKUP(Table2[[#This Row],[Tegevusala]],Table4[],2,FALSE)</f>
        <v xml:space="preserve"> Roela kool</v>
      </c>
      <c r="D887" s="3" t="str">
        <f>VLOOKUP(Table2[[#This Row],[Tegevusala]],Table4[[Tegevusala kood]:[Tegevusala alanimetus]],4,FALSE)</f>
        <v>Põhihariduse otsekulud</v>
      </c>
      <c r="E887" s="3" t="str">
        <f>VLOOKUP(Table2[[#This Row],[Tegevusala nimetus2]],Table4[[Tegevusala nimetus]:[Tegevusala koondnimetus]],2,FALSE)</f>
        <v>Haridus</v>
      </c>
      <c r="F887" t="s">
        <v>166</v>
      </c>
      <c r="G887" t="s">
        <v>237</v>
      </c>
      <c r="H887" s="40">
        <v>700</v>
      </c>
      <c r="J887">
        <v>5525</v>
      </c>
      <c r="K887" s="3" t="str">
        <f>VLOOKUP(Table2[[#This Row],[Konto]],Table5[[Konto]:[Konto nimetus]],2,FALSE)</f>
        <v>Kommunikatsiooni-, kultuuri- ja vaba aja sisustamise kulud</v>
      </c>
      <c r="L887">
        <v>55</v>
      </c>
      <c r="M887" t="str">
        <f t="shared" si="27"/>
        <v>55</v>
      </c>
      <c r="N887" t="str">
        <f>VLOOKUP(Table2[[#This Row],[Tulu/kulu liik2]],Table5[[Tulu/kulu liik]:[Kontode koondnimetus]],4,FALSE)</f>
        <v>Muud tegevuskulud</v>
      </c>
      <c r="O887" t="str">
        <f>VLOOKUP(Table2[[#This Row],[Tulu/kulu liik2]],Table5[],6,FALSE)</f>
        <v>Majandamiskulud</v>
      </c>
      <c r="P887" s="3" t="str">
        <f>VLOOKUP(Table2[[#This Row],[Tulu/kulu liik2]],Table5[],5,FALSE)</f>
        <v>Põhitegevuse kulu</v>
      </c>
    </row>
    <row r="888" spans="1:16" x14ac:dyDescent="0.25">
      <c r="A888" t="str">
        <f t="shared" si="26"/>
        <v>09</v>
      </c>
      <c r="B888" t="s">
        <v>247</v>
      </c>
      <c r="C888" s="3" t="str">
        <f>VLOOKUP(Table2[[#This Row],[Tegevusala]],Table4[],2,FALSE)</f>
        <v xml:space="preserve"> Roela kool</v>
      </c>
      <c r="D888" s="3" t="str">
        <f>VLOOKUP(Table2[[#This Row],[Tegevusala]],Table4[[Tegevusala kood]:[Tegevusala alanimetus]],4,FALSE)</f>
        <v>Põhihariduse otsekulud</v>
      </c>
      <c r="E888" s="3" t="str">
        <f>VLOOKUP(Table2[[#This Row],[Tegevusala nimetus2]],Table4[[Tegevusala nimetus]:[Tegevusala koondnimetus]],2,FALSE)</f>
        <v>Haridus</v>
      </c>
      <c r="F888" t="s">
        <v>166</v>
      </c>
      <c r="G888" t="s">
        <v>177</v>
      </c>
      <c r="H888" s="40">
        <v>37000</v>
      </c>
      <c r="J888">
        <v>5511</v>
      </c>
      <c r="K888" s="3" t="str">
        <f>VLOOKUP(Table2[[#This Row],[Konto]],Table5[[Konto]:[Konto nimetus]],2,FALSE)</f>
        <v>Kinnistute, hoonete ja ruumide majandamiskulud</v>
      </c>
      <c r="L888">
        <v>55</v>
      </c>
      <c r="M888" t="str">
        <f t="shared" si="27"/>
        <v>55</v>
      </c>
      <c r="N888" t="str">
        <f>VLOOKUP(Table2[[#This Row],[Tulu/kulu liik2]],Table5[[Tulu/kulu liik]:[Kontode koondnimetus]],4,FALSE)</f>
        <v>Muud tegevuskulud</v>
      </c>
      <c r="O888" t="str">
        <f>VLOOKUP(Table2[[#This Row],[Tulu/kulu liik2]],Table5[],6,FALSE)</f>
        <v>Majandamiskulud</v>
      </c>
      <c r="P888" s="3" t="str">
        <f>VLOOKUP(Table2[[#This Row],[Tulu/kulu liik2]],Table5[],5,FALSE)</f>
        <v>Põhitegevuse kulu</v>
      </c>
    </row>
    <row r="889" spans="1:16" x14ac:dyDescent="0.25">
      <c r="A889" t="str">
        <f t="shared" si="26"/>
        <v>09</v>
      </c>
      <c r="B889" t="s">
        <v>247</v>
      </c>
      <c r="C889" s="3" t="str">
        <f>VLOOKUP(Table2[[#This Row],[Tegevusala]],Table4[],2,FALSE)</f>
        <v xml:space="preserve"> Roela kool</v>
      </c>
      <c r="D889" s="3" t="str">
        <f>VLOOKUP(Table2[[#This Row],[Tegevusala]],Table4[[Tegevusala kood]:[Tegevusala alanimetus]],4,FALSE)</f>
        <v>Põhihariduse otsekulud</v>
      </c>
      <c r="E889" s="3" t="str">
        <f>VLOOKUP(Table2[[#This Row],[Tegevusala nimetus2]],Table4[[Tegevusala nimetus]:[Tegevusala koondnimetus]],2,FALSE)</f>
        <v>Haridus</v>
      </c>
      <c r="F889" t="s">
        <v>166</v>
      </c>
      <c r="G889" t="s">
        <v>178</v>
      </c>
      <c r="H889" s="40">
        <v>6500</v>
      </c>
      <c r="J889">
        <v>5511</v>
      </c>
      <c r="K889" s="3" t="str">
        <f>VLOOKUP(Table2[[#This Row],[Konto]],Table5[[Konto]:[Konto nimetus]],2,FALSE)</f>
        <v>Kinnistute, hoonete ja ruumide majandamiskulud</v>
      </c>
      <c r="L889">
        <v>55</v>
      </c>
      <c r="M889" t="str">
        <f t="shared" si="27"/>
        <v>55</v>
      </c>
      <c r="N889" t="str">
        <f>VLOOKUP(Table2[[#This Row],[Tulu/kulu liik2]],Table5[[Tulu/kulu liik]:[Kontode koondnimetus]],4,FALSE)</f>
        <v>Muud tegevuskulud</v>
      </c>
      <c r="O889" t="str">
        <f>VLOOKUP(Table2[[#This Row],[Tulu/kulu liik2]],Table5[],6,FALSE)</f>
        <v>Majandamiskulud</v>
      </c>
      <c r="P889" s="3" t="str">
        <f>VLOOKUP(Table2[[#This Row],[Tulu/kulu liik2]],Table5[],5,FALSE)</f>
        <v>Põhitegevuse kulu</v>
      </c>
    </row>
    <row r="890" spans="1:16" x14ac:dyDescent="0.25">
      <c r="A890" t="str">
        <f t="shared" si="26"/>
        <v>09</v>
      </c>
      <c r="B890" t="s">
        <v>247</v>
      </c>
      <c r="C890" s="3" t="str">
        <f>VLOOKUP(Table2[[#This Row],[Tegevusala]],Table4[],2,FALSE)</f>
        <v xml:space="preserve"> Roela kool</v>
      </c>
      <c r="D890" s="3" t="str">
        <f>VLOOKUP(Table2[[#This Row],[Tegevusala]],Table4[[Tegevusala kood]:[Tegevusala alanimetus]],4,FALSE)</f>
        <v>Põhihariduse otsekulud</v>
      </c>
      <c r="E890" s="3" t="str">
        <f>VLOOKUP(Table2[[#This Row],[Tegevusala nimetus2]],Table4[[Tegevusala nimetus]:[Tegevusala koondnimetus]],2,FALSE)</f>
        <v>Haridus</v>
      </c>
      <c r="F890" t="s">
        <v>166</v>
      </c>
      <c r="G890" t="s">
        <v>179</v>
      </c>
      <c r="H890" s="40">
        <v>4000</v>
      </c>
      <c r="J890">
        <v>5511</v>
      </c>
      <c r="K890" s="3" t="str">
        <f>VLOOKUP(Table2[[#This Row],[Konto]],Table5[[Konto]:[Konto nimetus]],2,FALSE)</f>
        <v>Kinnistute, hoonete ja ruumide majandamiskulud</v>
      </c>
      <c r="L890">
        <v>55</v>
      </c>
      <c r="M890" t="str">
        <f t="shared" si="27"/>
        <v>55</v>
      </c>
      <c r="N890" t="str">
        <f>VLOOKUP(Table2[[#This Row],[Tulu/kulu liik2]],Table5[[Tulu/kulu liik]:[Kontode koondnimetus]],4,FALSE)</f>
        <v>Muud tegevuskulud</v>
      </c>
      <c r="O890" t="str">
        <f>VLOOKUP(Table2[[#This Row],[Tulu/kulu liik2]],Table5[],6,FALSE)</f>
        <v>Majandamiskulud</v>
      </c>
      <c r="P890" s="3" t="str">
        <f>VLOOKUP(Table2[[#This Row],[Tulu/kulu liik2]],Table5[],5,FALSE)</f>
        <v>Põhitegevuse kulu</v>
      </c>
    </row>
    <row r="891" spans="1:16" x14ac:dyDescent="0.25">
      <c r="A891" t="str">
        <f t="shared" si="26"/>
        <v>09</v>
      </c>
      <c r="B891" t="s">
        <v>247</v>
      </c>
      <c r="C891" s="3" t="str">
        <f>VLOOKUP(Table2[[#This Row],[Tegevusala]],Table4[],2,FALSE)</f>
        <v xml:space="preserve"> Roela kool</v>
      </c>
      <c r="D891" s="3" t="str">
        <f>VLOOKUP(Table2[[#This Row],[Tegevusala]],Table4[[Tegevusala kood]:[Tegevusala alanimetus]],4,FALSE)</f>
        <v>Põhihariduse otsekulud</v>
      </c>
      <c r="E891" s="3" t="str">
        <f>VLOOKUP(Table2[[#This Row],[Tegevusala nimetus2]],Table4[[Tegevusala nimetus]:[Tegevusala koondnimetus]],2,FALSE)</f>
        <v>Haridus</v>
      </c>
      <c r="F891" t="s">
        <v>166</v>
      </c>
      <c r="G891" t="s">
        <v>180</v>
      </c>
      <c r="H891" s="40">
        <v>489</v>
      </c>
      <c r="I891" s="2" t="s">
        <v>181</v>
      </c>
      <c r="J891">
        <v>5511</v>
      </c>
      <c r="K891" s="3" t="str">
        <f>VLOOKUP(Table2[[#This Row],[Konto]],Table5[[Konto]:[Konto nimetus]],2,FALSE)</f>
        <v>Kinnistute, hoonete ja ruumide majandamiskulud</v>
      </c>
      <c r="L891">
        <v>55</v>
      </c>
      <c r="M891" t="str">
        <f t="shared" si="27"/>
        <v>55</v>
      </c>
      <c r="N891" t="str">
        <f>VLOOKUP(Table2[[#This Row],[Tulu/kulu liik2]],Table5[[Tulu/kulu liik]:[Kontode koondnimetus]],4,FALSE)</f>
        <v>Muud tegevuskulud</v>
      </c>
      <c r="O891" t="str">
        <f>VLOOKUP(Table2[[#This Row],[Tulu/kulu liik2]],Table5[],6,FALSE)</f>
        <v>Majandamiskulud</v>
      </c>
      <c r="P891" s="3" t="str">
        <f>VLOOKUP(Table2[[#This Row],[Tulu/kulu liik2]],Table5[],5,FALSE)</f>
        <v>Põhitegevuse kulu</v>
      </c>
    </row>
    <row r="892" spans="1:16" x14ac:dyDescent="0.25">
      <c r="A892" t="str">
        <f t="shared" si="26"/>
        <v>09</v>
      </c>
      <c r="B892" t="s">
        <v>247</v>
      </c>
      <c r="C892" s="3" t="str">
        <f>VLOOKUP(Table2[[#This Row],[Tegevusala]],Table4[],2,FALSE)</f>
        <v xml:space="preserve"> Roela kool</v>
      </c>
      <c r="D892" s="3" t="str">
        <f>VLOOKUP(Table2[[#This Row],[Tegevusala]],Table4[[Tegevusala kood]:[Tegevusala alanimetus]],4,FALSE)</f>
        <v>Põhihariduse otsekulud</v>
      </c>
      <c r="E892" s="3" t="str">
        <f>VLOOKUP(Table2[[#This Row],[Tegevusala nimetus2]],Table4[[Tegevusala nimetus]:[Tegevusala koondnimetus]],2,FALSE)</f>
        <v>Haridus</v>
      </c>
      <c r="F892" t="s">
        <v>166</v>
      </c>
      <c r="G892" t="s">
        <v>182</v>
      </c>
      <c r="H892" s="40">
        <v>850</v>
      </c>
      <c r="I892" s="2" t="s">
        <v>183</v>
      </c>
      <c r="J892">
        <v>5511</v>
      </c>
      <c r="K892" s="3" t="str">
        <f>VLOOKUP(Table2[[#This Row],[Konto]],Table5[[Konto]:[Konto nimetus]],2,FALSE)</f>
        <v>Kinnistute, hoonete ja ruumide majandamiskulud</v>
      </c>
      <c r="L892">
        <v>55</v>
      </c>
      <c r="M892" t="str">
        <f t="shared" si="27"/>
        <v>55</v>
      </c>
      <c r="N892" t="str">
        <f>VLOOKUP(Table2[[#This Row],[Tulu/kulu liik2]],Table5[[Tulu/kulu liik]:[Kontode koondnimetus]],4,FALSE)</f>
        <v>Muud tegevuskulud</v>
      </c>
      <c r="O892" t="str">
        <f>VLOOKUP(Table2[[#This Row],[Tulu/kulu liik2]],Table5[],6,FALSE)</f>
        <v>Majandamiskulud</v>
      </c>
      <c r="P892" s="3" t="str">
        <f>VLOOKUP(Table2[[#This Row],[Tulu/kulu liik2]],Table5[],5,FALSE)</f>
        <v>Põhitegevuse kulu</v>
      </c>
    </row>
    <row r="893" spans="1:16" x14ac:dyDescent="0.25">
      <c r="A893" t="str">
        <f t="shared" si="26"/>
        <v>09</v>
      </c>
      <c r="B893" t="s">
        <v>247</v>
      </c>
      <c r="C893" s="3" t="str">
        <f>VLOOKUP(Table2[[#This Row],[Tegevusala]],Table4[],2,FALSE)</f>
        <v xml:space="preserve"> Roela kool</v>
      </c>
      <c r="D893" s="3" t="str">
        <f>VLOOKUP(Table2[[#This Row],[Tegevusala]],Table4[[Tegevusala kood]:[Tegevusala alanimetus]],4,FALSE)</f>
        <v>Põhihariduse otsekulud</v>
      </c>
      <c r="E893" s="3" t="str">
        <f>VLOOKUP(Table2[[#This Row],[Tegevusala nimetus2]],Table4[[Tegevusala nimetus]:[Tegevusala koondnimetus]],2,FALSE)</f>
        <v>Haridus</v>
      </c>
      <c r="F893" t="s">
        <v>166</v>
      </c>
      <c r="G893" t="s">
        <v>184</v>
      </c>
      <c r="H893" s="40">
        <v>800</v>
      </c>
      <c r="I893" s="2" t="s">
        <v>185</v>
      </c>
      <c r="J893">
        <v>5511</v>
      </c>
      <c r="K893" s="3" t="str">
        <f>VLOOKUP(Table2[[#This Row],[Konto]],Table5[[Konto]:[Konto nimetus]],2,FALSE)</f>
        <v>Kinnistute, hoonete ja ruumide majandamiskulud</v>
      </c>
      <c r="L893">
        <v>55</v>
      </c>
      <c r="M893" t="str">
        <f t="shared" si="27"/>
        <v>55</v>
      </c>
      <c r="N893" t="str">
        <f>VLOOKUP(Table2[[#This Row],[Tulu/kulu liik2]],Table5[[Tulu/kulu liik]:[Kontode koondnimetus]],4,FALSE)</f>
        <v>Muud tegevuskulud</v>
      </c>
      <c r="O893" t="str">
        <f>VLOOKUP(Table2[[#This Row],[Tulu/kulu liik2]],Table5[],6,FALSE)</f>
        <v>Majandamiskulud</v>
      </c>
      <c r="P893" s="3" t="str">
        <f>VLOOKUP(Table2[[#This Row],[Tulu/kulu liik2]],Table5[],5,FALSE)</f>
        <v>Põhitegevuse kulu</v>
      </c>
    </row>
    <row r="894" spans="1:16" x14ac:dyDescent="0.25">
      <c r="A894" t="str">
        <f t="shared" si="26"/>
        <v>09</v>
      </c>
      <c r="B894" t="s">
        <v>247</v>
      </c>
      <c r="C894" s="3" t="str">
        <f>VLOOKUP(Table2[[#This Row],[Tegevusala]],Table4[],2,FALSE)</f>
        <v xml:space="preserve"> Roela kool</v>
      </c>
      <c r="D894" s="3" t="str">
        <f>VLOOKUP(Table2[[#This Row],[Tegevusala]],Table4[[Tegevusala kood]:[Tegevusala alanimetus]],4,FALSE)</f>
        <v>Põhihariduse otsekulud</v>
      </c>
      <c r="E894" s="3" t="str">
        <f>VLOOKUP(Table2[[#This Row],[Tegevusala nimetus2]],Table4[[Tegevusala nimetus]:[Tegevusala koondnimetus]],2,FALSE)</f>
        <v>Haridus</v>
      </c>
      <c r="F894" t="s">
        <v>166</v>
      </c>
      <c r="G894" t="s">
        <v>186</v>
      </c>
      <c r="H894" s="40">
        <v>450</v>
      </c>
      <c r="I894" s="2" t="s">
        <v>187</v>
      </c>
      <c r="J894">
        <v>5511</v>
      </c>
      <c r="K894" s="3" t="str">
        <f>VLOOKUP(Table2[[#This Row],[Konto]],Table5[[Konto]:[Konto nimetus]],2,FALSE)</f>
        <v>Kinnistute, hoonete ja ruumide majandamiskulud</v>
      </c>
      <c r="L894">
        <v>55</v>
      </c>
      <c r="M894" t="str">
        <f t="shared" si="27"/>
        <v>55</v>
      </c>
      <c r="N894" t="str">
        <f>VLOOKUP(Table2[[#This Row],[Tulu/kulu liik2]],Table5[[Tulu/kulu liik]:[Kontode koondnimetus]],4,FALSE)</f>
        <v>Muud tegevuskulud</v>
      </c>
      <c r="O894" t="str">
        <f>VLOOKUP(Table2[[#This Row],[Tulu/kulu liik2]],Table5[],6,FALSE)</f>
        <v>Majandamiskulud</v>
      </c>
      <c r="P894" s="3" t="str">
        <f>VLOOKUP(Table2[[#This Row],[Tulu/kulu liik2]],Table5[],5,FALSE)</f>
        <v>Põhitegevuse kulu</v>
      </c>
    </row>
    <row r="895" spans="1:16" x14ac:dyDescent="0.25">
      <c r="A895" t="str">
        <f t="shared" si="26"/>
        <v>09</v>
      </c>
      <c r="B895" t="s">
        <v>247</v>
      </c>
      <c r="C895" s="3" t="str">
        <f>VLOOKUP(Table2[[#This Row],[Tegevusala]],Table4[],2,FALSE)</f>
        <v xml:space="preserve"> Roela kool</v>
      </c>
      <c r="D895" s="3" t="str">
        <f>VLOOKUP(Table2[[#This Row],[Tegevusala]],Table4[[Tegevusala kood]:[Tegevusala alanimetus]],4,FALSE)</f>
        <v>Põhihariduse otsekulud</v>
      </c>
      <c r="E895" s="3" t="str">
        <f>VLOOKUP(Table2[[#This Row],[Tegevusala nimetus2]],Table4[[Tegevusala nimetus]:[Tegevusala koondnimetus]],2,FALSE)</f>
        <v>Haridus</v>
      </c>
      <c r="F895" t="s">
        <v>166</v>
      </c>
      <c r="G895" t="s">
        <v>188</v>
      </c>
      <c r="H895" s="40">
        <v>106</v>
      </c>
      <c r="I895" s="2" t="s">
        <v>189</v>
      </c>
      <c r="J895">
        <v>5511</v>
      </c>
      <c r="K895" s="3" t="str">
        <f>VLOOKUP(Table2[[#This Row],[Konto]],Table5[[Konto]:[Konto nimetus]],2,FALSE)</f>
        <v>Kinnistute, hoonete ja ruumide majandamiskulud</v>
      </c>
      <c r="L895">
        <v>55</v>
      </c>
      <c r="M895" t="str">
        <f t="shared" si="27"/>
        <v>55</v>
      </c>
      <c r="N895" t="str">
        <f>VLOOKUP(Table2[[#This Row],[Tulu/kulu liik2]],Table5[[Tulu/kulu liik]:[Kontode koondnimetus]],4,FALSE)</f>
        <v>Muud tegevuskulud</v>
      </c>
      <c r="O895" t="str">
        <f>VLOOKUP(Table2[[#This Row],[Tulu/kulu liik2]],Table5[],6,FALSE)</f>
        <v>Majandamiskulud</v>
      </c>
      <c r="P895" s="3" t="str">
        <f>VLOOKUP(Table2[[#This Row],[Tulu/kulu liik2]],Table5[],5,FALSE)</f>
        <v>Põhitegevuse kulu</v>
      </c>
    </row>
    <row r="896" spans="1:16" x14ac:dyDescent="0.25">
      <c r="A896" t="str">
        <f t="shared" si="26"/>
        <v>09</v>
      </c>
      <c r="B896" t="s">
        <v>247</v>
      </c>
      <c r="C896" s="3" t="str">
        <f>VLOOKUP(Table2[[#This Row],[Tegevusala]],Table4[],2,FALSE)</f>
        <v xml:space="preserve"> Roela kool</v>
      </c>
      <c r="D896" s="3" t="str">
        <f>VLOOKUP(Table2[[#This Row],[Tegevusala]],Table4[[Tegevusala kood]:[Tegevusala alanimetus]],4,FALSE)</f>
        <v>Põhihariduse otsekulud</v>
      </c>
      <c r="E896" s="3" t="str">
        <f>VLOOKUP(Table2[[#This Row],[Tegevusala nimetus2]],Table4[[Tegevusala nimetus]:[Tegevusala koondnimetus]],2,FALSE)</f>
        <v>Haridus</v>
      </c>
      <c r="F896" t="s">
        <v>166</v>
      </c>
      <c r="G896" t="s">
        <v>190</v>
      </c>
      <c r="H896" s="40">
        <v>92</v>
      </c>
      <c r="I896" s="2" t="s">
        <v>191</v>
      </c>
      <c r="J896">
        <v>5511</v>
      </c>
      <c r="K896" s="3" t="str">
        <f>VLOOKUP(Table2[[#This Row],[Konto]],Table5[[Konto]:[Konto nimetus]],2,FALSE)</f>
        <v>Kinnistute, hoonete ja ruumide majandamiskulud</v>
      </c>
      <c r="L896">
        <v>55</v>
      </c>
      <c r="M896" t="str">
        <f t="shared" si="27"/>
        <v>55</v>
      </c>
      <c r="N896" t="str">
        <f>VLOOKUP(Table2[[#This Row],[Tulu/kulu liik2]],Table5[[Tulu/kulu liik]:[Kontode koondnimetus]],4,FALSE)</f>
        <v>Muud tegevuskulud</v>
      </c>
      <c r="O896" t="str">
        <f>VLOOKUP(Table2[[#This Row],[Tulu/kulu liik2]],Table5[],6,FALSE)</f>
        <v>Majandamiskulud</v>
      </c>
      <c r="P896" s="3" t="str">
        <f>VLOOKUP(Table2[[#This Row],[Tulu/kulu liik2]],Table5[],5,FALSE)</f>
        <v>Põhitegevuse kulu</v>
      </c>
    </row>
    <row r="897" spans="1:16" x14ac:dyDescent="0.25">
      <c r="A897" t="str">
        <f t="shared" si="26"/>
        <v>09</v>
      </c>
      <c r="B897" t="s">
        <v>247</v>
      </c>
      <c r="C897" s="3" t="str">
        <f>VLOOKUP(Table2[[#This Row],[Tegevusala]],Table4[],2,FALSE)</f>
        <v xml:space="preserve"> Roela kool</v>
      </c>
      <c r="D897" s="3" t="str">
        <f>VLOOKUP(Table2[[#This Row],[Tegevusala]],Table4[[Tegevusala kood]:[Tegevusala alanimetus]],4,FALSE)</f>
        <v>Põhihariduse otsekulud</v>
      </c>
      <c r="E897" s="3" t="str">
        <f>VLOOKUP(Table2[[#This Row],[Tegevusala nimetus2]],Table4[[Tegevusala nimetus]:[Tegevusala koondnimetus]],2,FALSE)</f>
        <v>Haridus</v>
      </c>
      <c r="F897" t="s">
        <v>166</v>
      </c>
      <c r="G897" t="s">
        <v>192</v>
      </c>
      <c r="H897" s="40">
        <v>113</v>
      </c>
      <c r="I897" s="2" t="s">
        <v>193</v>
      </c>
      <c r="J897">
        <v>5511</v>
      </c>
      <c r="K897" s="3" t="str">
        <f>VLOOKUP(Table2[[#This Row],[Konto]],Table5[[Konto]:[Konto nimetus]],2,FALSE)</f>
        <v>Kinnistute, hoonete ja ruumide majandamiskulud</v>
      </c>
      <c r="L897">
        <v>55</v>
      </c>
      <c r="M897" t="str">
        <f t="shared" si="27"/>
        <v>55</v>
      </c>
      <c r="N897" t="str">
        <f>VLOOKUP(Table2[[#This Row],[Tulu/kulu liik2]],Table5[[Tulu/kulu liik]:[Kontode koondnimetus]],4,FALSE)</f>
        <v>Muud tegevuskulud</v>
      </c>
      <c r="O897" t="str">
        <f>VLOOKUP(Table2[[#This Row],[Tulu/kulu liik2]],Table5[],6,FALSE)</f>
        <v>Majandamiskulud</v>
      </c>
      <c r="P897" s="3" t="str">
        <f>VLOOKUP(Table2[[#This Row],[Tulu/kulu liik2]],Table5[],5,FALSE)</f>
        <v>Põhitegevuse kulu</v>
      </c>
    </row>
    <row r="898" spans="1:16" x14ac:dyDescent="0.25">
      <c r="A898" t="str">
        <f t="shared" ref="A898:A961" si="28">LEFT(B898,2)</f>
        <v>09</v>
      </c>
      <c r="B898" t="s">
        <v>247</v>
      </c>
      <c r="C898" s="3" t="str">
        <f>VLOOKUP(Table2[[#This Row],[Tegevusala]],Table4[],2,FALSE)</f>
        <v xml:space="preserve"> Roela kool</v>
      </c>
      <c r="D898" s="3" t="str">
        <f>VLOOKUP(Table2[[#This Row],[Tegevusala]],Table4[[Tegevusala kood]:[Tegevusala alanimetus]],4,FALSE)</f>
        <v>Põhihariduse otsekulud</v>
      </c>
      <c r="E898" s="3" t="str">
        <f>VLOOKUP(Table2[[#This Row],[Tegevusala nimetus2]],Table4[[Tegevusala nimetus]:[Tegevusala koondnimetus]],2,FALSE)</f>
        <v>Haridus</v>
      </c>
      <c r="F898" t="s">
        <v>166</v>
      </c>
      <c r="G898" t="s">
        <v>194</v>
      </c>
      <c r="H898" s="40">
        <v>1400</v>
      </c>
      <c r="I898" s="2" t="s">
        <v>195</v>
      </c>
      <c r="J898">
        <v>5511</v>
      </c>
      <c r="K898" s="3" t="str">
        <f>VLOOKUP(Table2[[#This Row],[Konto]],Table5[[Konto]:[Konto nimetus]],2,FALSE)</f>
        <v>Kinnistute, hoonete ja ruumide majandamiskulud</v>
      </c>
      <c r="L898">
        <v>55</v>
      </c>
      <c r="M898" t="str">
        <f t="shared" ref="M898:M961" si="29">LEFT(J898,2)</f>
        <v>55</v>
      </c>
      <c r="N898" t="str">
        <f>VLOOKUP(Table2[[#This Row],[Tulu/kulu liik2]],Table5[[Tulu/kulu liik]:[Kontode koondnimetus]],4,FALSE)</f>
        <v>Muud tegevuskulud</v>
      </c>
      <c r="O898" t="str">
        <f>VLOOKUP(Table2[[#This Row],[Tulu/kulu liik2]],Table5[],6,FALSE)</f>
        <v>Majandamiskulud</v>
      </c>
      <c r="P898" s="3" t="str">
        <f>VLOOKUP(Table2[[#This Row],[Tulu/kulu liik2]],Table5[],5,FALSE)</f>
        <v>Põhitegevuse kulu</v>
      </c>
    </row>
    <row r="899" spans="1:16" x14ac:dyDescent="0.25">
      <c r="A899" t="str">
        <f t="shared" si="28"/>
        <v>09</v>
      </c>
      <c r="B899" t="s">
        <v>247</v>
      </c>
      <c r="C899" s="3" t="str">
        <f>VLOOKUP(Table2[[#This Row],[Tegevusala]],Table4[],2,FALSE)</f>
        <v xml:space="preserve"> Roela kool</v>
      </c>
      <c r="D899" s="3" t="str">
        <f>VLOOKUP(Table2[[#This Row],[Tegevusala]],Table4[[Tegevusala kood]:[Tegevusala alanimetus]],4,FALSE)</f>
        <v>Põhihariduse otsekulud</v>
      </c>
      <c r="E899" s="3" t="str">
        <f>VLOOKUP(Table2[[#This Row],[Tegevusala nimetus2]],Table4[[Tegevusala nimetus]:[Tegevusala koondnimetus]],2,FALSE)</f>
        <v>Haridus</v>
      </c>
      <c r="F899" t="s">
        <v>166</v>
      </c>
      <c r="G899" t="s">
        <v>196</v>
      </c>
      <c r="H899" s="40">
        <v>4500</v>
      </c>
      <c r="J899">
        <v>5511</v>
      </c>
      <c r="K899" s="3" t="str">
        <f>VLOOKUP(Table2[[#This Row],[Konto]],Table5[[Konto]:[Konto nimetus]],2,FALSE)</f>
        <v>Kinnistute, hoonete ja ruumide majandamiskulud</v>
      </c>
      <c r="L899">
        <v>55</v>
      </c>
      <c r="M899" t="str">
        <f t="shared" si="29"/>
        <v>55</v>
      </c>
      <c r="N899" t="str">
        <f>VLOOKUP(Table2[[#This Row],[Tulu/kulu liik2]],Table5[[Tulu/kulu liik]:[Kontode koondnimetus]],4,FALSE)</f>
        <v>Muud tegevuskulud</v>
      </c>
      <c r="O899" t="str">
        <f>VLOOKUP(Table2[[#This Row],[Tulu/kulu liik2]],Table5[],6,FALSE)</f>
        <v>Majandamiskulud</v>
      </c>
      <c r="P899" s="3" t="str">
        <f>VLOOKUP(Table2[[#This Row],[Tulu/kulu liik2]],Table5[],5,FALSE)</f>
        <v>Põhitegevuse kulu</v>
      </c>
    </row>
    <row r="900" spans="1:16" x14ac:dyDescent="0.25">
      <c r="A900" t="str">
        <f t="shared" si="28"/>
        <v>09</v>
      </c>
      <c r="B900" t="s">
        <v>247</v>
      </c>
      <c r="C900" s="3" t="str">
        <f>VLOOKUP(Table2[[#This Row],[Tegevusala]],Table4[],2,FALSE)</f>
        <v xml:space="preserve"> Roela kool</v>
      </c>
      <c r="D900" s="3" t="str">
        <f>VLOOKUP(Table2[[#This Row],[Tegevusala]],Table4[[Tegevusala kood]:[Tegevusala alanimetus]],4,FALSE)</f>
        <v>Põhihariduse otsekulud</v>
      </c>
      <c r="E900" s="3" t="str">
        <f>VLOOKUP(Table2[[#This Row],[Tegevusala nimetus2]],Table4[[Tegevusala nimetus]:[Tegevusala koondnimetus]],2,FALSE)</f>
        <v>Haridus</v>
      </c>
      <c r="F900" t="s">
        <v>166</v>
      </c>
      <c r="G900" t="s">
        <v>238</v>
      </c>
      <c r="H900" s="40">
        <v>400</v>
      </c>
      <c r="I900" s="2" t="s">
        <v>239</v>
      </c>
      <c r="J900">
        <v>5514</v>
      </c>
      <c r="K900" s="3" t="str">
        <f>VLOOKUP(Table2[[#This Row],[Konto]],Table5[[Konto]:[Konto nimetus]],2,FALSE)</f>
        <v>Info- ja kommunikatsioonitehnoliigised kulud</v>
      </c>
      <c r="L900">
        <v>55</v>
      </c>
      <c r="M900" t="str">
        <f t="shared" si="29"/>
        <v>55</v>
      </c>
      <c r="N900" t="str">
        <f>VLOOKUP(Table2[[#This Row],[Tulu/kulu liik2]],Table5[[Tulu/kulu liik]:[Kontode koondnimetus]],4,FALSE)</f>
        <v>Muud tegevuskulud</v>
      </c>
      <c r="O900" t="str">
        <f>VLOOKUP(Table2[[#This Row],[Tulu/kulu liik2]],Table5[],6,FALSE)</f>
        <v>Majandamiskulud</v>
      </c>
      <c r="P900" s="3" t="str">
        <f>VLOOKUP(Table2[[#This Row],[Tulu/kulu liik2]],Table5[],5,FALSE)</f>
        <v>Põhitegevuse kulu</v>
      </c>
    </row>
    <row r="901" spans="1:16" x14ac:dyDescent="0.25">
      <c r="A901" t="str">
        <f t="shared" si="28"/>
        <v>09</v>
      </c>
      <c r="B901" t="s">
        <v>247</v>
      </c>
      <c r="C901" s="3" t="str">
        <f>VLOOKUP(Table2[[#This Row],[Tegevusala]],Table4[],2,FALSE)</f>
        <v xml:space="preserve"> Roela kool</v>
      </c>
      <c r="D901" s="3" t="str">
        <f>VLOOKUP(Table2[[#This Row],[Tegevusala]],Table4[[Tegevusala kood]:[Tegevusala alanimetus]],4,FALSE)</f>
        <v>Põhihariduse otsekulud</v>
      </c>
      <c r="E901" s="3" t="str">
        <f>VLOOKUP(Table2[[#This Row],[Tegevusala nimetus2]],Table4[[Tegevusala nimetus]:[Tegevusala koondnimetus]],2,FALSE)</f>
        <v>Haridus</v>
      </c>
      <c r="F901" t="s">
        <v>166</v>
      </c>
      <c r="G901" t="s">
        <v>242</v>
      </c>
      <c r="H901" s="40">
        <v>250</v>
      </c>
      <c r="I901" s="2" t="s">
        <v>243</v>
      </c>
      <c r="J901">
        <v>5514</v>
      </c>
      <c r="K901" s="3" t="str">
        <f>VLOOKUP(Table2[[#This Row],[Konto]],Table5[[Konto]:[Konto nimetus]],2,FALSE)</f>
        <v>Info- ja kommunikatsioonitehnoliigised kulud</v>
      </c>
      <c r="L901">
        <v>55</v>
      </c>
      <c r="M901" t="str">
        <f t="shared" si="29"/>
        <v>55</v>
      </c>
      <c r="N901" t="str">
        <f>VLOOKUP(Table2[[#This Row],[Tulu/kulu liik2]],Table5[[Tulu/kulu liik]:[Kontode koondnimetus]],4,FALSE)</f>
        <v>Muud tegevuskulud</v>
      </c>
      <c r="O901" t="str">
        <f>VLOOKUP(Table2[[#This Row],[Tulu/kulu liik2]],Table5[],6,FALSE)</f>
        <v>Majandamiskulud</v>
      </c>
      <c r="P901" s="3" t="str">
        <f>VLOOKUP(Table2[[#This Row],[Tulu/kulu liik2]],Table5[],5,FALSE)</f>
        <v>Põhitegevuse kulu</v>
      </c>
    </row>
    <row r="902" spans="1:16" x14ac:dyDescent="0.25">
      <c r="A902" t="str">
        <f t="shared" si="28"/>
        <v>09</v>
      </c>
      <c r="B902" t="s">
        <v>247</v>
      </c>
      <c r="C902" s="3" t="str">
        <f>VLOOKUP(Table2[[#This Row],[Tegevusala]],Table4[],2,FALSE)</f>
        <v xml:space="preserve"> Roela kool</v>
      </c>
      <c r="D902" s="3" t="str">
        <f>VLOOKUP(Table2[[#This Row],[Tegevusala]],Table4[[Tegevusala kood]:[Tegevusala alanimetus]],4,FALSE)</f>
        <v>Põhihariduse otsekulud</v>
      </c>
      <c r="E902" s="3" t="str">
        <f>VLOOKUP(Table2[[#This Row],[Tegevusala nimetus2]],Table4[[Tegevusala nimetus]:[Tegevusala koondnimetus]],2,FALSE)</f>
        <v>Haridus</v>
      </c>
      <c r="F902" t="s">
        <v>166</v>
      </c>
      <c r="G902" t="s">
        <v>244</v>
      </c>
      <c r="H902" s="40">
        <v>20</v>
      </c>
      <c r="J902">
        <v>5514</v>
      </c>
      <c r="K902" s="3" t="str">
        <f>VLOOKUP(Table2[[#This Row],[Konto]],Table5[[Konto]:[Konto nimetus]],2,FALSE)</f>
        <v>Info- ja kommunikatsioonitehnoliigised kulud</v>
      </c>
      <c r="L902">
        <v>55</v>
      </c>
      <c r="M902" t="str">
        <f t="shared" si="29"/>
        <v>55</v>
      </c>
      <c r="N902" t="str">
        <f>VLOOKUP(Table2[[#This Row],[Tulu/kulu liik2]],Table5[[Tulu/kulu liik]:[Kontode koondnimetus]],4,FALSE)</f>
        <v>Muud tegevuskulud</v>
      </c>
      <c r="O902" t="str">
        <f>VLOOKUP(Table2[[#This Row],[Tulu/kulu liik2]],Table5[],6,FALSE)</f>
        <v>Majandamiskulud</v>
      </c>
      <c r="P902" s="3" t="str">
        <f>VLOOKUP(Table2[[#This Row],[Tulu/kulu liik2]],Table5[],5,FALSE)</f>
        <v>Põhitegevuse kulu</v>
      </c>
    </row>
    <row r="903" spans="1:16" x14ac:dyDescent="0.25">
      <c r="A903" t="str">
        <f t="shared" si="28"/>
        <v>09</v>
      </c>
      <c r="B903" t="s">
        <v>247</v>
      </c>
      <c r="C903" s="3" t="str">
        <f>VLOOKUP(Table2[[#This Row],[Tegevusala]],Table4[],2,FALSE)</f>
        <v xml:space="preserve"> Roela kool</v>
      </c>
      <c r="D903" s="3" t="str">
        <f>VLOOKUP(Table2[[#This Row],[Tegevusala]],Table4[[Tegevusala kood]:[Tegevusala alanimetus]],4,FALSE)</f>
        <v>Põhihariduse otsekulud</v>
      </c>
      <c r="E903" s="3" t="str">
        <f>VLOOKUP(Table2[[#This Row],[Tegevusala nimetus2]],Table4[[Tegevusala nimetus]:[Tegevusala koondnimetus]],2,FALSE)</f>
        <v>Haridus</v>
      </c>
      <c r="F903" t="s">
        <v>166</v>
      </c>
      <c r="G903" t="s">
        <v>209</v>
      </c>
      <c r="H903" s="40">
        <v>1000</v>
      </c>
      <c r="I903" s="2" t="s">
        <v>210</v>
      </c>
      <c r="J903">
        <v>5514</v>
      </c>
      <c r="K903" s="3" t="str">
        <f>VLOOKUP(Table2[[#This Row],[Konto]],Table5[[Konto]:[Konto nimetus]],2,FALSE)</f>
        <v>Info- ja kommunikatsioonitehnoliigised kulud</v>
      </c>
      <c r="L903">
        <v>55</v>
      </c>
      <c r="M903" t="str">
        <f t="shared" si="29"/>
        <v>55</v>
      </c>
      <c r="N903" t="str">
        <f>VLOOKUP(Table2[[#This Row],[Tulu/kulu liik2]],Table5[[Tulu/kulu liik]:[Kontode koondnimetus]],4,FALSE)</f>
        <v>Muud tegevuskulud</v>
      </c>
      <c r="O903" t="str">
        <f>VLOOKUP(Table2[[#This Row],[Tulu/kulu liik2]],Table5[],6,FALSE)</f>
        <v>Majandamiskulud</v>
      </c>
      <c r="P903" s="3" t="str">
        <f>VLOOKUP(Table2[[#This Row],[Tulu/kulu liik2]],Table5[],5,FALSE)</f>
        <v>Põhitegevuse kulu</v>
      </c>
    </row>
    <row r="904" spans="1:16" hidden="1" x14ac:dyDescent="0.25">
      <c r="A904" t="str">
        <f t="shared" si="28"/>
        <v>09</v>
      </c>
      <c r="B904" t="s">
        <v>247</v>
      </c>
      <c r="C904" s="3" t="str">
        <f>VLOOKUP(Table2[[#This Row],[Tegevusala]],Table4[],2,FALSE)</f>
        <v xml:space="preserve"> Roela kool</v>
      </c>
      <c r="D904" s="3" t="str">
        <f>VLOOKUP(Table2[[#This Row],[Tegevusala]],Table4[[Tegevusala kood]:[Tegevusala alanimetus]],4,FALSE)</f>
        <v>Põhihariduse otsekulud</v>
      </c>
      <c r="E904" s="3" t="str">
        <f>VLOOKUP(Table2[[#This Row],[Tegevusala nimetus2]],Table4[[Tegevusala nimetus]:[Tegevusala koondnimetus]],2,FALSE)</f>
        <v>Haridus</v>
      </c>
      <c r="F904" t="s">
        <v>841</v>
      </c>
      <c r="G904" t="s">
        <v>2061</v>
      </c>
      <c r="H904" s="40">
        <v>95000</v>
      </c>
      <c r="J904">
        <v>1551</v>
      </c>
      <c r="K904" s="3" t="str">
        <f>VLOOKUP(Table2[[#This Row],[Konto]],Table5[[Konto]:[Konto nimetus]],2,FALSE)</f>
        <v>Rajatiste ja hoonete soetamine ja renoveerimine</v>
      </c>
      <c r="L904">
        <v>15</v>
      </c>
      <c r="M904" t="str">
        <f t="shared" si="29"/>
        <v>15</v>
      </c>
      <c r="N904" s="3" t="str">
        <f>VLOOKUP(Table2[[#This Row],[Tulu/kulu liik2]],Table5[[Tulu/kulu liik]:[Kontode koondnimetus]],4,FALSE)</f>
        <v>Põhivara soetus (-)</v>
      </c>
      <c r="O904" s="34" t="str">
        <f>VLOOKUP(Table2[[#This Row],[Tulu/kulu liik2]],Table5[],6,FALSE)</f>
        <v>Põhivara soetus (-)</v>
      </c>
      <c r="P904" s="3" t="str">
        <f>VLOOKUP(Table2[[#This Row],[Tulu/kulu liik2]],Table5[],5,FALSE)</f>
        <v>Investeerimistegevus</v>
      </c>
    </row>
    <row r="905" spans="1:16" x14ac:dyDescent="0.25">
      <c r="A905" s="78" t="str">
        <f t="shared" si="28"/>
        <v>09</v>
      </c>
      <c r="B905" s="78" t="s">
        <v>247</v>
      </c>
      <c r="C905" s="80" t="str">
        <f>VLOOKUP(Table2[[#This Row],[Tegevusala]],Table4[],2,FALSE)</f>
        <v xml:space="preserve"> Roela kool</v>
      </c>
      <c r="D905" s="80" t="str">
        <f>VLOOKUP(Table2[[#This Row],[Tegevusala]],Table4[[Tegevusala kood]:[Tegevusala alanimetus]],4,FALSE)</f>
        <v>Põhihariduse otsekulud</v>
      </c>
      <c r="E905" s="80" t="str">
        <f>VLOOKUP(Table2[[#This Row],[Tegevusala nimetus2]],Table4[[Tegevusala nimetus]:[Tegevusala koondnimetus]],2,FALSE)</f>
        <v>Haridus</v>
      </c>
      <c r="F905" s="78" t="s">
        <v>614</v>
      </c>
      <c r="G905" s="78" t="s">
        <v>609</v>
      </c>
      <c r="H905" s="79">
        <v>785.4</v>
      </c>
      <c r="I905" s="81" t="s">
        <v>619</v>
      </c>
      <c r="J905" s="78">
        <v>5511</v>
      </c>
      <c r="K905" s="80" t="str">
        <f>VLOOKUP(Table2[[#This Row],[Konto]],Table5[[Konto]:[Konto nimetus]],2,FALSE)</f>
        <v>Kinnistute, hoonete ja ruumide majandamiskulud</v>
      </c>
      <c r="L905" s="78">
        <v>55</v>
      </c>
      <c r="M905" s="78" t="str">
        <f t="shared" si="29"/>
        <v>55</v>
      </c>
      <c r="N905" s="80" t="str">
        <f>VLOOKUP(Table2[[#This Row],[Tulu/kulu liik2]],Table5[[Tulu/kulu liik]:[Kontode koondnimetus]],4,FALSE)</f>
        <v>Muud tegevuskulud</v>
      </c>
      <c r="O905" s="80" t="str">
        <f>VLOOKUP(Table2[[#This Row],[Tulu/kulu liik2]],Table5[],6,FALSE)</f>
        <v>Majandamiskulud</v>
      </c>
      <c r="P905" s="80" t="str">
        <f>VLOOKUP(Table2[[#This Row],[Tulu/kulu liik2]],Table5[],5,FALSE)</f>
        <v>Põhitegevuse kulu</v>
      </c>
    </row>
    <row r="906" spans="1:16" x14ac:dyDescent="0.25">
      <c r="A906" s="78" t="str">
        <f t="shared" si="28"/>
        <v>09</v>
      </c>
      <c r="B906" s="78" t="s">
        <v>247</v>
      </c>
      <c r="C906" s="80" t="str">
        <f>VLOOKUP(Table2[[#This Row],[Tegevusala]],Table4[],2,FALSE)</f>
        <v xml:space="preserve"> Roela kool</v>
      </c>
      <c r="D906" s="80" t="str">
        <f>VLOOKUP(Table2[[#This Row],[Tegevusala]],Table4[[Tegevusala kood]:[Tegevusala alanimetus]],4,FALSE)</f>
        <v>Põhihariduse otsekulud</v>
      </c>
      <c r="E906" s="80" t="str">
        <f>VLOOKUP(Table2[[#This Row],[Tegevusala nimetus2]],Table4[[Tegevusala nimetus]:[Tegevusala koondnimetus]],2,FALSE)</f>
        <v>Haridus</v>
      </c>
      <c r="F906" s="78" t="s">
        <v>614</v>
      </c>
      <c r="G906" s="78" t="s">
        <v>611</v>
      </c>
      <c r="H906" s="79">
        <v>4580</v>
      </c>
      <c r="I906" s="81" t="s">
        <v>621</v>
      </c>
      <c r="J906" s="78">
        <v>5525</v>
      </c>
      <c r="K906" s="80" t="str">
        <f>VLOOKUP(Table2[[#This Row],[Konto]],Table5[[Konto]:[Konto nimetus]],2,FALSE)</f>
        <v>Kommunikatsiooni-, kultuuri- ja vaba aja sisustamise kulud</v>
      </c>
      <c r="L906" s="78">
        <v>55</v>
      </c>
      <c r="M906" s="78" t="str">
        <f t="shared" si="29"/>
        <v>55</v>
      </c>
      <c r="N906" s="80" t="str">
        <f>VLOOKUP(Table2[[#This Row],[Tulu/kulu liik2]],Table5[[Tulu/kulu liik]:[Kontode koondnimetus]],4,FALSE)</f>
        <v>Muud tegevuskulud</v>
      </c>
      <c r="O906" s="80" t="str">
        <f>VLOOKUP(Table2[[#This Row],[Tulu/kulu liik2]],Table5[],6,FALSE)</f>
        <v>Majandamiskulud</v>
      </c>
      <c r="P906" s="80" t="str">
        <f>VLOOKUP(Table2[[#This Row],[Tulu/kulu liik2]],Table5[],5,FALSE)</f>
        <v>Põhitegevuse kulu</v>
      </c>
    </row>
    <row r="907" spans="1:16" x14ac:dyDescent="0.25">
      <c r="A907" s="78" t="str">
        <f t="shared" si="28"/>
        <v>09</v>
      </c>
      <c r="B907" s="78" t="s">
        <v>247</v>
      </c>
      <c r="C907" s="80" t="str">
        <f>VLOOKUP(Table2[[#This Row],[Tegevusala]],Table4[],2,FALSE)</f>
        <v xml:space="preserve"> Roela kool</v>
      </c>
      <c r="D907" s="80" t="str">
        <f>VLOOKUP(Table2[[#This Row],[Tegevusala]],Table4[[Tegevusala kood]:[Tegevusala alanimetus]],4,FALSE)</f>
        <v>Põhihariduse otsekulud</v>
      </c>
      <c r="E907" s="80" t="str">
        <f>VLOOKUP(Table2[[#This Row],[Tegevusala nimetus2]],Table4[[Tegevusala nimetus]:[Tegevusala koondnimetus]],2,FALSE)</f>
        <v>Haridus</v>
      </c>
      <c r="F907" s="78" t="s">
        <v>614</v>
      </c>
      <c r="G907" s="78" t="s">
        <v>613</v>
      </c>
      <c r="H907" s="79">
        <v>760</v>
      </c>
      <c r="I907" s="81" t="s">
        <v>623</v>
      </c>
      <c r="J907" s="78">
        <v>5540</v>
      </c>
      <c r="K907" s="80" t="str">
        <f>VLOOKUP(Table2[[#This Row],[Konto]],Table5[[Konto]:[Konto nimetus]],2,FALSE)</f>
        <v>Mitmesugused majanduskulud</v>
      </c>
      <c r="L907" s="78">
        <v>55</v>
      </c>
      <c r="M907" s="78" t="str">
        <f t="shared" si="29"/>
        <v>55</v>
      </c>
      <c r="N907" s="80" t="str">
        <f>VLOOKUP(Table2[[#This Row],[Tulu/kulu liik2]],Table5[[Tulu/kulu liik]:[Kontode koondnimetus]],4,FALSE)</f>
        <v>Muud tegevuskulud</v>
      </c>
      <c r="O907" s="80" t="str">
        <f>VLOOKUP(Table2[[#This Row],[Tulu/kulu liik2]],Table5[],6,FALSE)</f>
        <v>Majandamiskulud</v>
      </c>
      <c r="P907" s="80" t="str">
        <f>VLOOKUP(Table2[[#This Row],[Tulu/kulu liik2]],Table5[],5,FALSE)</f>
        <v>Põhitegevuse kulu</v>
      </c>
    </row>
    <row r="908" spans="1:16" x14ac:dyDescent="0.25">
      <c r="A908" t="str">
        <f t="shared" si="28"/>
        <v>09</v>
      </c>
      <c r="B908" t="s">
        <v>247</v>
      </c>
      <c r="C908" s="3" t="str">
        <f>VLOOKUP(Table2[[#This Row],[Tegevusala]],Table4[],2,FALSE)</f>
        <v xml:space="preserve"> Roela kool</v>
      </c>
      <c r="D908" s="3" t="str">
        <f>VLOOKUP(Table2[[#This Row],[Tegevusala]],Table4[[Tegevusala kood]:[Tegevusala alanimetus]],4,FALSE)</f>
        <v>Põhihariduse otsekulud</v>
      </c>
      <c r="E908" s="3" t="str">
        <f>VLOOKUP(Table2[[#This Row],[Tegevusala nimetus2]],Table4[[Tegevusala nimetus]:[Tegevusala koondnimetus]],2,FALSE)</f>
        <v>Haridus</v>
      </c>
      <c r="F908" t="s">
        <v>166</v>
      </c>
      <c r="G908" t="s">
        <v>2199</v>
      </c>
      <c r="H908" s="40">
        <v>1100</v>
      </c>
      <c r="I908" s="2" t="s">
        <v>2203</v>
      </c>
      <c r="J908">
        <v>5504</v>
      </c>
      <c r="K908" s="3" t="str">
        <f>VLOOKUP(Table2[[#This Row],[Konto]],Table5[[Konto]:[Konto nimetus]],2,FALSE)</f>
        <v>Koolituskulud</v>
      </c>
      <c r="L908">
        <v>55</v>
      </c>
      <c r="M908" t="str">
        <f t="shared" si="29"/>
        <v>55</v>
      </c>
      <c r="N908" s="3" t="str">
        <f>VLOOKUP(Table2[[#This Row],[Tulu/kulu liik2]],Table5[[Tulu/kulu liik]:[Kontode koondnimetus]],4,FALSE)</f>
        <v>Muud tegevuskulud</v>
      </c>
      <c r="O908" s="32" t="str">
        <f>VLOOKUP(Table2[[#This Row],[Tulu/kulu liik2]],Table5[],6,FALSE)</f>
        <v>Majandamiskulud</v>
      </c>
      <c r="P908" s="3" t="str">
        <f>VLOOKUP(Table2[[#This Row],[Tulu/kulu liik2]],Table5[],5,FALSE)</f>
        <v>Põhitegevuse kulu</v>
      </c>
    </row>
    <row r="909" spans="1:16" x14ac:dyDescent="0.25">
      <c r="A909" t="str">
        <f t="shared" si="28"/>
        <v>09</v>
      </c>
      <c r="B909" t="s">
        <v>247</v>
      </c>
      <c r="C909" s="3" t="str">
        <f>VLOOKUP(Table2[[#This Row],[Tegevusala]],Table4[],2,FALSE)</f>
        <v xml:space="preserve"> Roela kool</v>
      </c>
      <c r="D909" s="3" t="str">
        <f>VLOOKUP(Table2[[#This Row],[Tegevusala]],Table4[[Tegevusala kood]:[Tegevusala alanimetus]],4,FALSE)</f>
        <v>Põhihariduse otsekulud</v>
      </c>
      <c r="E909" s="3" t="str">
        <f>VLOOKUP(Table2[[#This Row],[Tegevusala nimetus2]],Table4[[Tegevusala nimetus]:[Tegevusala koondnimetus]],2,FALSE)</f>
        <v>Haridus</v>
      </c>
      <c r="F909" t="s">
        <v>166</v>
      </c>
      <c r="G909" t="s">
        <v>2200</v>
      </c>
      <c r="H909" s="40">
        <v>3477</v>
      </c>
      <c r="I909" s="2" t="s">
        <v>2203</v>
      </c>
      <c r="J909">
        <v>5524</v>
      </c>
      <c r="K909" s="3" t="str">
        <f>VLOOKUP(Table2[[#This Row],[Konto]],Table5[[Konto]:[Konto nimetus]],2,FALSE)</f>
        <v>Õppevahendid</v>
      </c>
      <c r="L909">
        <v>55</v>
      </c>
      <c r="M909" t="str">
        <f t="shared" si="29"/>
        <v>55</v>
      </c>
      <c r="N909" s="3" t="str">
        <f>VLOOKUP(Table2[[#This Row],[Tulu/kulu liik2]],Table5[[Tulu/kulu liik]:[Kontode koondnimetus]],4,FALSE)</f>
        <v>Muud tegevuskulud</v>
      </c>
      <c r="O909" s="34" t="str">
        <f>VLOOKUP(Table2[[#This Row],[Tulu/kulu liik2]],Table5[],6,FALSE)</f>
        <v>Majandamiskulud</v>
      </c>
      <c r="P909" s="3" t="str">
        <f>VLOOKUP(Table2[[#This Row],[Tulu/kulu liik2]],Table5[],5,FALSE)</f>
        <v>Põhitegevuse kulu</v>
      </c>
    </row>
    <row r="910" spans="1:16" hidden="1" x14ac:dyDescent="0.25">
      <c r="A910" s="33" t="str">
        <f t="shared" si="28"/>
        <v>09</v>
      </c>
      <c r="B910" t="s">
        <v>343</v>
      </c>
      <c r="C910" s="34" t="str">
        <f>VLOOKUP(Table2[[#This Row],[Tegevusala]],Table4[],2,FALSE)</f>
        <v xml:space="preserve"> Tudu kool</v>
      </c>
      <c r="D910" s="34" t="str">
        <f>VLOOKUP(Table2[[#This Row],[Tegevusala]],Table4[[Tegevusala kood]:[Tegevusala alanimetus]],4,FALSE)</f>
        <v>Põhihariduse otsekulud</v>
      </c>
      <c r="E910" s="34" t="str">
        <f>VLOOKUP(Table2[[#This Row],[Tegevusala nimetus2]],Table4[[Tegevusala nimetus]:[Tegevusala koondnimetus]],2,FALSE)</f>
        <v>Haridus</v>
      </c>
      <c r="F910" s="33" t="s">
        <v>841</v>
      </c>
      <c r="G910" s="33" t="s">
        <v>2237</v>
      </c>
      <c r="H910" s="47">
        <v>51000</v>
      </c>
      <c r="I910" s="35"/>
      <c r="J910" s="33">
        <v>1551</v>
      </c>
      <c r="K910" s="34" t="str">
        <f>VLOOKUP(Table2[[#This Row],[Konto]],Table5[[Konto]:[Konto nimetus]],2,FALSE)</f>
        <v>Rajatiste ja hoonete soetamine ja renoveerimine</v>
      </c>
      <c r="L910" s="33">
        <v>15</v>
      </c>
      <c r="M910" s="33" t="str">
        <f t="shared" si="29"/>
        <v>15</v>
      </c>
      <c r="N910" s="34" t="str">
        <f>VLOOKUP(Table2[[#This Row],[Tulu/kulu liik2]],Table5[[Tulu/kulu liik]:[Kontode koondnimetus]],4,FALSE)</f>
        <v>Põhivara soetus (-)</v>
      </c>
      <c r="O910" s="34" t="str">
        <f>VLOOKUP(Table2[[#This Row],[Tulu/kulu liik2]],Table5[],6,FALSE)</f>
        <v>Põhivara soetus (-)</v>
      </c>
      <c r="P910" s="34" t="str">
        <f>VLOOKUP(Table2[[#This Row],[Tulu/kulu liik2]],Table5[],5,FALSE)</f>
        <v>Investeerimistegevus</v>
      </c>
    </row>
    <row r="911" spans="1:16" x14ac:dyDescent="0.25">
      <c r="A911" t="str">
        <f t="shared" si="28"/>
        <v>09</v>
      </c>
      <c r="B911" t="s">
        <v>343</v>
      </c>
      <c r="C911" s="3" t="str">
        <f>VLOOKUP(Table2[[#This Row],[Tegevusala]],Table4[],2,FALSE)</f>
        <v xml:space="preserve"> Tudu kool</v>
      </c>
      <c r="D911" s="3" t="str">
        <f>VLOOKUP(Table2[[#This Row],[Tegevusala]],Table4[[Tegevusala kood]:[Tegevusala alanimetus]],4,FALSE)</f>
        <v>Põhihariduse otsekulud</v>
      </c>
      <c r="E911" s="3" t="str">
        <f>VLOOKUP(Table2[[#This Row],[Tegevusala nimetus2]],Table4[[Tegevusala nimetus]:[Tegevusala koondnimetus]],2,FALSE)</f>
        <v>Haridus</v>
      </c>
      <c r="F911" s="14" t="s">
        <v>1726</v>
      </c>
      <c r="G911" t="s">
        <v>167</v>
      </c>
      <c r="H911" s="40">
        <v>800</v>
      </c>
      <c r="I911" s="2" t="s">
        <v>1734</v>
      </c>
      <c r="J911">
        <v>5500</v>
      </c>
      <c r="K911" s="3" t="str">
        <f>VLOOKUP(Table2[[#This Row],[Konto]],Table5[[Konto]:[Konto nimetus]],2,FALSE)</f>
        <v>Administreerimiskulud</v>
      </c>
      <c r="L911">
        <v>55</v>
      </c>
      <c r="M911" t="str">
        <f t="shared" si="29"/>
        <v>55</v>
      </c>
      <c r="N911" s="3" t="str">
        <f>VLOOKUP(Table2[[#This Row],[Tulu/kulu liik2]],Table5[[Tulu/kulu liik]:[Kontode koondnimetus]],4,FALSE)</f>
        <v>Muud tegevuskulud</v>
      </c>
      <c r="O911" s="3" t="str">
        <f>VLOOKUP(Table2[[#This Row],[Tulu/kulu liik2]],Table5[],6,FALSE)</f>
        <v>Majandamiskulud</v>
      </c>
      <c r="P911" s="3" t="str">
        <f>VLOOKUP(Table2[[#This Row],[Tulu/kulu liik2]],Table5[],5,FALSE)</f>
        <v>Põhitegevuse kulu</v>
      </c>
    </row>
    <row r="912" spans="1:16" x14ac:dyDescent="0.25">
      <c r="A912" t="str">
        <f t="shared" si="28"/>
        <v>09</v>
      </c>
      <c r="B912" t="s">
        <v>343</v>
      </c>
      <c r="C912" s="3" t="str">
        <f>VLOOKUP(Table2[[#This Row],[Tegevusala]],Table4[],2,FALSE)</f>
        <v xml:space="preserve"> Tudu kool</v>
      </c>
      <c r="D912" s="3" t="str">
        <f>VLOOKUP(Table2[[#This Row],[Tegevusala]],Table4[[Tegevusala kood]:[Tegevusala alanimetus]],4,FALSE)</f>
        <v>Põhihariduse otsekulud</v>
      </c>
      <c r="E912" s="3" t="str">
        <f>VLOOKUP(Table2[[#This Row],[Tegevusala nimetus2]],Table4[[Tegevusala nimetus]:[Tegevusala koondnimetus]],2,FALSE)</f>
        <v>Haridus</v>
      </c>
      <c r="F912" s="14" t="s">
        <v>1726</v>
      </c>
      <c r="G912" t="s">
        <v>832</v>
      </c>
      <c r="H912" s="40">
        <v>50</v>
      </c>
      <c r="J912">
        <v>5500</v>
      </c>
      <c r="K912" s="3" t="str">
        <f>VLOOKUP(Table2[[#This Row],[Konto]],Table5[[Konto]:[Konto nimetus]],2,FALSE)</f>
        <v>Administreerimiskulud</v>
      </c>
      <c r="L912">
        <v>55</v>
      </c>
      <c r="M912" t="str">
        <f t="shared" si="29"/>
        <v>55</v>
      </c>
      <c r="N912" s="3" t="str">
        <f>VLOOKUP(Table2[[#This Row],[Tulu/kulu liik2]],Table5[[Tulu/kulu liik]:[Kontode koondnimetus]],4,FALSE)</f>
        <v>Muud tegevuskulud</v>
      </c>
      <c r="O912" s="3" t="str">
        <f>VLOOKUP(Table2[[#This Row],[Tulu/kulu liik2]],Table5[],6,FALSE)</f>
        <v>Majandamiskulud</v>
      </c>
      <c r="P912" s="3" t="str">
        <f>VLOOKUP(Table2[[#This Row],[Tulu/kulu liik2]],Table5[],5,FALSE)</f>
        <v>Põhitegevuse kulu</v>
      </c>
    </row>
    <row r="913" spans="1:16" x14ac:dyDescent="0.25">
      <c r="A913" t="str">
        <f t="shared" si="28"/>
        <v>09</v>
      </c>
      <c r="B913" t="s">
        <v>343</v>
      </c>
      <c r="C913" s="3" t="str">
        <f>VLOOKUP(Table2[[#This Row],[Tegevusala]],Table4[],2,FALSE)</f>
        <v xml:space="preserve"> Tudu kool</v>
      </c>
      <c r="D913" s="3" t="str">
        <f>VLOOKUP(Table2[[#This Row],[Tegevusala]],Table4[[Tegevusala kood]:[Tegevusala alanimetus]],4,FALSE)</f>
        <v>Põhihariduse otsekulud</v>
      </c>
      <c r="E913" s="3" t="str">
        <f>VLOOKUP(Table2[[#This Row],[Tegevusala nimetus2]],Table4[[Tegevusala nimetus]:[Tegevusala koondnimetus]],2,FALSE)</f>
        <v>Haridus</v>
      </c>
      <c r="F913" s="14" t="s">
        <v>1726</v>
      </c>
      <c r="G913" t="s">
        <v>1731</v>
      </c>
      <c r="H913" s="40">
        <v>200</v>
      </c>
      <c r="J913">
        <v>5500</v>
      </c>
      <c r="K913" s="3" t="str">
        <f>VLOOKUP(Table2[[#This Row],[Konto]],Table5[[Konto]:[Konto nimetus]],2,FALSE)</f>
        <v>Administreerimiskulud</v>
      </c>
      <c r="L913">
        <v>55</v>
      </c>
      <c r="M913" t="str">
        <f t="shared" si="29"/>
        <v>55</v>
      </c>
      <c r="N913" s="3" t="str">
        <f>VLOOKUP(Table2[[#This Row],[Tulu/kulu liik2]],Table5[[Tulu/kulu liik]:[Kontode koondnimetus]],4,FALSE)</f>
        <v>Muud tegevuskulud</v>
      </c>
      <c r="O913" s="3" t="str">
        <f>VLOOKUP(Table2[[#This Row],[Tulu/kulu liik2]],Table5[],6,FALSE)</f>
        <v>Majandamiskulud</v>
      </c>
      <c r="P913" s="3" t="str">
        <f>VLOOKUP(Table2[[#This Row],[Tulu/kulu liik2]],Table5[],5,FALSE)</f>
        <v>Põhitegevuse kulu</v>
      </c>
    </row>
    <row r="914" spans="1:16" x14ac:dyDescent="0.25">
      <c r="A914" t="str">
        <f t="shared" si="28"/>
        <v>09</v>
      </c>
      <c r="B914" t="s">
        <v>343</v>
      </c>
      <c r="C914" s="3" t="str">
        <f>VLOOKUP(Table2[[#This Row],[Tegevusala]],Table4[],2,FALSE)</f>
        <v xml:space="preserve"> Tudu kool</v>
      </c>
      <c r="D914" s="3" t="str">
        <f>VLOOKUP(Table2[[#This Row],[Tegevusala]],Table4[[Tegevusala kood]:[Tegevusala alanimetus]],4,FALSE)</f>
        <v>Põhihariduse otsekulud</v>
      </c>
      <c r="E914" s="3" t="str">
        <f>VLOOKUP(Table2[[#This Row],[Tegevusala nimetus2]],Table4[[Tegevusala nimetus]:[Tegevusala koondnimetus]],2,FALSE)</f>
        <v>Haridus</v>
      </c>
      <c r="F914" s="14" t="s">
        <v>1726</v>
      </c>
      <c r="G914" t="s">
        <v>1732</v>
      </c>
      <c r="H914" s="40">
        <v>200</v>
      </c>
      <c r="I914" s="2" t="s">
        <v>1735</v>
      </c>
      <c r="J914">
        <v>5500</v>
      </c>
      <c r="K914" s="3" t="str">
        <f>VLOOKUP(Table2[[#This Row],[Konto]],Table5[[Konto]:[Konto nimetus]],2,FALSE)</f>
        <v>Administreerimiskulud</v>
      </c>
      <c r="L914">
        <v>55</v>
      </c>
      <c r="M914" t="str">
        <f t="shared" si="29"/>
        <v>55</v>
      </c>
      <c r="N914" s="3" t="str">
        <f>VLOOKUP(Table2[[#This Row],[Tulu/kulu liik2]],Table5[[Tulu/kulu liik]:[Kontode koondnimetus]],4,FALSE)</f>
        <v>Muud tegevuskulud</v>
      </c>
      <c r="O914" s="3" t="str">
        <f>VLOOKUP(Table2[[#This Row],[Tulu/kulu liik2]],Table5[],6,FALSE)</f>
        <v>Majandamiskulud</v>
      </c>
      <c r="P914" s="3" t="str">
        <f>VLOOKUP(Table2[[#This Row],[Tulu/kulu liik2]],Table5[],5,FALSE)</f>
        <v>Põhitegevuse kulu</v>
      </c>
    </row>
    <row r="915" spans="1:16" x14ac:dyDescent="0.25">
      <c r="A915" t="str">
        <f t="shared" si="28"/>
        <v>09</v>
      </c>
      <c r="B915" t="s">
        <v>343</v>
      </c>
      <c r="C915" s="3" t="str">
        <f>VLOOKUP(Table2[[#This Row],[Tegevusala]],Table4[],2,FALSE)</f>
        <v xml:space="preserve"> Tudu kool</v>
      </c>
      <c r="D915" s="3" t="str">
        <f>VLOOKUP(Table2[[#This Row],[Tegevusala]],Table4[[Tegevusala kood]:[Tegevusala alanimetus]],4,FALSE)</f>
        <v>Põhihariduse otsekulud</v>
      </c>
      <c r="E915" s="3" t="str">
        <f>VLOOKUP(Table2[[#This Row],[Tegevusala nimetus2]],Table4[[Tegevusala nimetus]:[Tegevusala koondnimetus]],2,FALSE)</f>
        <v>Haridus</v>
      </c>
      <c r="F915" s="14" t="s">
        <v>1726</v>
      </c>
      <c r="G915" t="s">
        <v>408</v>
      </c>
      <c r="H915" s="40">
        <v>50</v>
      </c>
      <c r="J915">
        <v>5500</v>
      </c>
      <c r="K915" s="3" t="str">
        <f>VLOOKUP(Table2[[#This Row],[Konto]],Table5[[Konto]:[Konto nimetus]],2,FALSE)</f>
        <v>Administreerimiskulud</v>
      </c>
      <c r="L915">
        <v>55</v>
      </c>
      <c r="M915" t="str">
        <f t="shared" si="29"/>
        <v>55</v>
      </c>
      <c r="N915" s="3" t="str">
        <f>VLOOKUP(Table2[[#This Row],[Tulu/kulu liik2]],Table5[[Tulu/kulu liik]:[Kontode koondnimetus]],4,FALSE)</f>
        <v>Muud tegevuskulud</v>
      </c>
      <c r="O915" s="3" t="str">
        <f>VLOOKUP(Table2[[#This Row],[Tulu/kulu liik2]],Table5[],6,FALSE)</f>
        <v>Majandamiskulud</v>
      </c>
      <c r="P915" s="3" t="str">
        <f>VLOOKUP(Table2[[#This Row],[Tulu/kulu liik2]],Table5[],5,FALSE)</f>
        <v>Põhitegevuse kulu</v>
      </c>
    </row>
    <row r="916" spans="1:16" x14ac:dyDescent="0.25">
      <c r="A916" t="str">
        <f t="shared" si="28"/>
        <v>09</v>
      </c>
      <c r="B916" t="s">
        <v>343</v>
      </c>
      <c r="C916" s="3" t="str">
        <f>VLOOKUP(Table2[[#This Row],[Tegevusala]],Table4[],2,FALSE)</f>
        <v xml:space="preserve"> Tudu kool</v>
      </c>
      <c r="D916" s="3" t="str">
        <f>VLOOKUP(Table2[[#This Row],[Tegevusala]],Table4[[Tegevusala kood]:[Tegevusala alanimetus]],4,FALSE)</f>
        <v>Põhihariduse otsekulud</v>
      </c>
      <c r="E916" s="3" t="str">
        <f>VLOOKUP(Table2[[#This Row],[Tegevusala nimetus2]],Table4[[Tegevusala nimetus]:[Tegevusala koondnimetus]],2,FALSE)</f>
        <v>Haridus</v>
      </c>
      <c r="F916" s="14" t="s">
        <v>1726</v>
      </c>
      <c r="G916" t="s">
        <v>1733</v>
      </c>
      <c r="H916" s="40">
        <v>230</v>
      </c>
      <c r="I916" s="2" t="s">
        <v>1736</v>
      </c>
      <c r="J916">
        <v>5500</v>
      </c>
      <c r="K916" s="3" t="str">
        <f>VLOOKUP(Table2[[#This Row],[Konto]],Table5[[Konto]:[Konto nimetus]],2,FALSE)</f>
        <v>Administreerimiskulud</v>
      </c>
      <c r="L916">
        <v>55</v>
      </c>
      <c r="M916" t="str">
        <f t="shared" si="29"/>
        <v>55</v>
      </c>
      <c r="N916" s="3" t="str">
        <f>VLOOKUP(Table2[[#This Row],[Tulu/kulu liik2]],Table5[[Tulu/kulu liik]:[Kontode koondnimetus]],4,FALSE)</f>
        <v>Muud tegevuskulud</v>
      </c>
      <c r="O916" s="3" t="str">
        <f>VLOOKUP(Table2[[#This Row],[Tulu/kulu liik2]],Table5[],6,FALSE)</f>
        <v>Majandamiskulud</v>
      </c>
      <c r="P916" s="3" t="str">
        <f>VLOOKUP(Table2[[#This Row],[Tulu/kulu liik2]],Table5[],5,FALSE)</f>
        <v>Põhitegevuse kulu</v>
      </c>
    </row>
    <row r="917" spans="1:16" x14ac:dyDescent="0.25">
      <c r="A917" t="str">
        <f t="shared" si="28"/>
        <v>09</v>
      </c>
      <c r="B917" t="s">
        <v>343</v>
      </c>
      <c r="C917" s="3" t="str">
        <f>VLOOKUP(Table2[[#This Row],[Tegevusala]],Table4[],2,FALSE)</f>
        <v xml:space="preserve"> Tudu kool</v>
      </c>
      <c r="D917" s="3" t="str">
        <f>VLOOKUP(Table2[[#This Row],[Tegevusala]],Table4[[Tegevusala kood]:[Tegevusala alanimetus]],4,FALSE)</f>
        <v>Põhihariduse otsekulud</v>
      </c>
      <c r="E917" s="3" t="str">
        <f>VLOOKUP(Table2[[#This Row],[Tegevusala nimetus2]],Table4[[Tegevusala nimetus]:[Tegevusala koondnimetus]],2,FALSE)</f>
        <v>Haridus</v>
      </c>
      <c r="F917" s="14" t="s">
        <v>1726</v>
      </c>
      <c r="G917" t="s">
        <v>1737</v>
      </c>
      <c r="H917" s="40">
        <v>200</v>
      </c>
      <c r="J917">
        <v>5504</v>
      </c>
      <c r="K917" s="3" t="str">
        <f>VLOOKUP(Table2[[#This Row],[Konto]],Table5[[Konto]:[Konto nimetus]],2,FALSE)</f>
        <v>Koolituskulud</v>
      </c>
      <c r="L917">
        <v>55</v>
      </c>
      <c r="M917" t="str">
        <f t="shared" si="29"/>
        <v>55</v>
      </c>
      <c r="N917" s="3" t="str">
        <f>VLOOKUP(Table2[[#This Row],[Tulu/kulu liik2]],Table5[[Tulu/kulu liik]:[Kontode koondnimetus]],4,FALSE)</f>
        <v>Muud tegevuskulud</v>
      </c>
      <c r="O917" s="3" t="str">
        <f>VLOOKUP(Table2[[#This Row],[Tulu/kulu liik2]],Table5[],6,FALSE)</f>
        <v>Majandamiskulud</v>
      </c>
      <c r="P917" s="3" t="str">
        <f>VLOOKUP(Table2[[#This Row],[Tulu/kulu liik2]],Table5[],5,FALSE)</f>
        <v>Põhitegevuse kulu</v>
      </c>
    </row>
    <row r="918" spans="1:16" x14ac:dyDescent="0.25">
      <c r="A918" t="str">
        <f t="shared" si="28"/>
        <v>09</v>
      </c>
      <c r="B918" t="s">
        <v>343</v>
      </c>
      <c r="C918" s="3" t="str">
        <f>VLOOKUP(Table2[[#This Row],[Tegevusala]],Table4[],2,FALSE)</f>
        <v xml:space="preserve"> Tudu kool</v>
      </c>
      <c r="D918" s="3" t="str">
        <f>VLOOKUP(Table2[[#This Row],[Tegevusala]],Table4[[Tegevusala kood]:[Tegevusala alanimetus]],4,FALSE)</f>
        <v>Põhihariduse otsekulud</v>
      </c>
      <c r="E918" s="3" t="str">
        <f>VLOOKUP(Table2[[#This Row],[Tegevusala nimetus2]],Table4[[Tegevusala nimetus]:[Tegevusala koondnimetus]],2,FALSE)</f>
        <v>Haridus</v>
      </c>
      <c r="F918" s="14" t="s">
        <v>1726</v>
      </c>
      <c r="G918" t="s">
        <v>1738</v>
      </c>
      <c r="H918" s="40">
        <v>100</v>
      </c>
      <c r="J918">
        <v>5504</v>
      </c>
      <c r="K918" s="3" t="str">
        <f>VLOOKUP(Table2[[#This Row],[Konto]],Table5[[Konto]:[Konto nimetus]],2,FALSE)</f>
        <v>Koolituskulud</v>
      </c>
      <c r="L918">
        <v>55</v>
      </c>
      <c r="M918" t="str">
        <f t="shared" si="29"/>
        <v>55</v>
      </c>
      <c r="N918" s="3" t="str">
        <f>VLOOKUP(Table2[[#This Row],[Tulu/kulu liik2]],Table5[[Tulu/kulu liik]:[Kontode koondnimetus]],4,FALSE)</f>
        <v>Muud tegevuskulud</v>
      </c>
      <c r="O918" s="3" t="str">
        <f>VLOOKUP(Table2[[#This Row],[Tulu/kulu liik2]],Table5[],6,FALSE)</f>
        <v>Majandamiskulud</v>
      </c>
      <c r="P918" s="3" t="str">
        <f>VLOOKUP(Table2[[#This Row],[Tulu/kulu liik2]],Table5[],5,FALSE)</f>
        <v>Põhitegevuse kulu</v>
      </c>
    </row>
    <row r="919" spans="1:16" x14ac:dyDescent="0.25">
      <c r="A919" t="str">
        <f t="shared" si="28"/>
        <v>09</v>
      </c>
      <c r="B919" t="s">
        <v>343</v>
      </c>
      <c r="C919" s="3" t="str">
        <f>VLOOKUP(Table2[[#This Row],[Tegevusala]],Table4[],2,FALSE)</f>
        <v xml:space="preserve"> Tudu kool</v>
      </c>
      <c r="D919" s="3" t="str">
        <f>VLOOKUP(Table2[[#This Row],[Tegevusala]],Table4[[Tegevusala kood]:[Tegevusala alanimetus]],4,FALSE)</f>
        <v>Põhihariduse otsekulud</v>
      </c>
      <c r="E919" s="3" t="str">
        <f>VLOOKUP(Table2[[#This Row],[Tegevusala nimetus2]],Table4[[Tegevusala nimetus]:[Tegevusala koondnimetus]],2,FALSE)</f>
        <v>Haridus</v>
      </c>
      <c r="F919" s="14" t="s">
        <v>1726</v>
      </c>
      <c r="G919" t="s">
        <v>1740</v>
      </c>
      <c r="H919" s="40">
        <v>300</v>
      </c>
      <c r="J919">
        <v>5504</v>
      </c>
      <c r="K919" s="3" t="str">
        <f>VLOOKUP(Table2[[#This Row],[Konto]],Table5[[Konto]:[Konto nimetus]],2,FALSE)</f>
        <v>Koolituskulud</v>
      </c>
      <c r="L919">
        <v>55</v>
      </c>
      <c r="M919" t="str">
        <f t="shared" si="29"/>
        <v>55</v>
      </c>
      <c r="N919" s="3" t="str">
        <f>VLOOKUP(Table2[[#This Row],[Tulu/kulu liik2]],Table5[[Tulu/kulu liik]:[Kontode koondnimetus]],4,FALSE)</f>
        <v>Muud tegevuskulud</v>
      </c>
      <c r="O919" s="3" t="str">
        <f>VLOOKUP(Table2[[#This Row],[Tulu/kulu liik2]],Table5[],6,FALSE)</f>
        <v>Majandamiskulud</v>
      </c>
      <c r="P919" s="3" t="str">
        <f>VLOOKUP(Table2[[#This Row],[Tulu/kulu liik2]],Table5[],5,FALSE)</f>
        <v>Põhitegevuse kulu</v>
      </c>
    </row>
    <row r="920" spans="1:16" x14ac:dyDescent="0.25">
      <c r="A920" t="str">
        <f t="shared" si="28"/>
        <v>09</v>
      </c>
      <c r="B920" t="s">
        <v>343</v>
      </c>
      <c r="C920" s="3" t="str">
        <f>VLOOKUP(Table2[[#This Row],[Tegevusala]],Table4[],2,FALSE)</f>
        <v xml:space="preserve"> Tudu kool</v>
      </c>
      <c r="D920" s="3" t="str">
        <f>VLOOKUP(Table2[[#This Row],[Tegevusala]],Table4[[Tegevusala kood]:[Tegevusala alanimetus]],4,FALSE)</f>
        <v>Põhihariduse otsekulud</v>
      </c>
      <c r="E920" s="3" t="str">
        <f>VLOOKUP(Table2[[#This Row],[Tegevusala nimetus2]],Table4[[Tegevusala nimetus]:[Tegevusala koondnimetus]],2,FALSE)</f>
        <v>Haridus</v>
      </c>
      <c r="F920" s="14" t="s">
        <v>1726</v>
      </c>
      <c r="G920" t="s">
        <v>415</v>
      </c>
      <c r="H920" s="40">
        <v>684</v>
      </c>
      <c r="J920">
        <v>5513</v>
      </c>
      <c r="K920" s="3" t="str">
        <f>VLOOKUP(Table2[[#This Row],[Konto]],Table5[[Konto]:[Konto nimetus]],2,FALSE)</f>
        <v>Sõidukite ülalpidamise kulud</v>
      </c>
      <c r="L920">
        <v>55</v>
      </c>
      <c r="M920" t="str">
        <f t="shared" si="29"/>
        <v>55</v>
      </c>
      <c r="N920" s="3" t="str">
        <f>VLOOKUP(Table2[[#This Row],[Tulu/kulu liik2]],Table5[[Tulu/kulu liik]:[Kontode koondnimetus]],4,FALSE)</f>
        <v>Muud tegevuskulud</v>
      </c>
      <c r="O920" s="3" t="str">
        <f>VLOOKUP(Table2[[#This Row],[Tulu/kulu liik2]],Table5[],6,FALSE)</f>
        <v>Majandamiskulud</v>
      </c>
      <c r="P920" s="3" t="str">
        <f>VLOOKUP(Table2[[#This Row],[Tulu/kulu liik2]],Table5[],5,FALSE)</f>
        <v>Põhitegevuse kulu</v>
      </c>
    </row>
    <row r="921" spans="1:16" x14ac:dyDescent="0.25">
      <c r="A921" t="str">
        <f t="shared" si="28"/>
        <v>09</v>
      </c>
      <c r="B921" t="s">
        <v>343</v>
      </c>
      <c r="C921" s="3" t="str">
        <f>VLOOKUP(Table2[[#This Row],[Tegevusala]],Table4[],2,FALSE)</f>
        <v xml:space="preserve"> Tudu kool</v>
      </c>
      <c r="D921" s="3" t="str">
        <f>VLOOKUP(Table2[[#This Row],[Tegevusala]],Table4[[Tegevusala kood]:[Tegevusala alanimetus]],4,FALSE)</f>
        <v>Põhihariduse otsekulud</v>
      </c>
      <c r="E921" s="3" t="str">
        <f>VLOOKUP(Table2[[#This Row],[Tegevusala nimetus2]],Table4[[Tegevusala nimetus]:[Tegevusala koondnimetus]],2,FALSE)</f>
        <v>Haridus</v>
      </c>
      <c r="F921" s="14" t="s">
        <v>1726</v>
      </c>
      <c r="G921" t="s">
        <v>1750</v>
      </c>
      <c r="H921" s="40">
        <v>500</v>
      </c>
      <c r="J921">
        <v>5513</v>
      </c>
      <c r="K921" s="3" t="str">
        <f>VLOOKUP(Table2[[#This Row],[Konto]],Table5[[Konto]:[Konto nimetus]],2,FALSE)</f>
        <v>Sõidukite ülalpidamise kulud</v>
      </c>
      <c r="L921">
        <v>55</v>
      </c>
      <c r="M921" t="str">
        <f t="shared" si="29"/>
        <v>55</v>
      </c>
      <c r="N921" s="3" t="str">
        <f>VLOOKUP(Table2[[#This Row],[Tulu/kulu liik2]],Table5[[Tulu/kulu liik]:[Kontode koondnimetus]],4,FALSE)</f>
        <v>Muud tegevuskulud</v>
      </c>
      <c r="O921" s="3" t="str">
        <f>VLOOKUP(Table2[[#This Row],[Tulu/kulu liik2]],Table5[],6,FALSE)</f>
        <v>Majandamiskulud</v>
      </c>
      <c r="P921" s="3" t="str">
        <f>VLOOKUP(Table2[[#This Row],[Tulu/kulu liik2]],Table5[],5,FALSE)</f>
        <v>Põhitegevuse kulu</v>
      </c>
    </row>
    <row r="922" spans="1:16" x14ac:dyDescent="0.25">
      <c r="A922" t="str">
        <f t="shared" si="28"/>
        <v>09</v>
      </c>
      <c r="B922" t="s">
        <v>343</v>
      </c>
      <c r="C922" s="3" t="str">
        <f>VLOOKUP(Table2[[#This Row],[Tegevusala]],Table4[],2,FALSE)</f>
        <v xml:space="preserve"> Tudu kool</v>
      </c>
      <c r="D922" s="3" t="str">
        <f>VLOOKUP(Table2[[#This Row],[Tegevusala]],Table4[[Tegevusala kood]:[Tegevusala alanimetus]],4,FALSE)</f>
        <v>Põhihariduse otsekulud</v>
      </c>
      <c r="E922" s="3" t="str">
        <f>VLOOKUP(Table2[[#This Row],[Tegevusala nimetus2]],Table4[[Tegevusala nimetus]:[Tegevusala koondnimetus]],2,FALSE)</f>
        <v>Haridus</v>
      </c>
      <c r="F922" s="14" t="s">
        <v>1726</v>
      </c>
      <c r="G922" t="s">
        <v>198</v>
      </c>
      <c r="H922" s="40">
        <v>5000</v>
      </c>
      <c r="J922">
        <v>5513</v>
      </c>
      <c r="K922" s="3" t="str">
        <f>VLOOKUP(Table2[[#This Row],[Konto]],Table5[[Konto]:[Konto nimetus]],2,FALSE)</f>
        <v>Sõidukite ülalpidamise kulud</v>
      </c>
      <c r="L922">
        <v>55</v>
      </c>
      <c r="M922" t="str">
        <f t="shared" si="29"/>
        <v>55</v>
      </c>
      <c r="N922" s="3" t="str">
        <f>VLOOKUP(Table2[[#This Row],[Tulu/kulu liik2]],Table5[[Tulu/kulu liik]:[Kontode koondnimetus]],4,FALSE)</f>
        <v>Muud tegevuskulud</v>
      </c>
      <c r="O922" s="3" t="str">
        <f>VLOOKUP(Table2[[#This Row],[Tulu/kulu liik2]],Table5[],6,FALSE)</f>
        <v>Majandamiskulud</v>
      </c>
      <c r="P922" s="3" t="str">
        <f>VLOOKUP(Table2[[#This Row],[Tulu/kulu liik2]],Table5[],5,FALSE)</f>
        <v>Põhitegevuse kulu</v>
      </c>
    </row>
    <row r="923" spans="1:16" x14ac:dyDescent="0.25">
      <c r="A923" t="str">
        <f t="shared" si="28"/>
        <v>09</v>
      </c>
      <c r="B923" t="s">
        <v>343</v>
      </c>
      <c r="C923" s="3" t="str">
        <f>VLOOKUP(Table2[[#This Row],[Tegevusala]],Table4[],2,FALSE)</f>
        <v xml:space="preserve"> Tudu kool</v>
      </c>
      <c r="D923" s="3" t="str">
        <f>VLOOKUP(Table2[[#This Row],[Tegevusala]],Table4[[Tegevusala kood]:[Tegevusala alanimetus]],4,FALSE)</f>
        <v>Põhihariduse otsekulud</v>
      </c>
      <c r="E923" s="3" t="str">
        <f>VLOOKUP(Table2[[#This Row],[Tegevusala nimetus2]],Table4[[Tegevusala nimetus]:[Tegevusala koondnimetus]],2,FALSE)</f>
        <v>Haridus</v>
      </c>
      <c r="F923" s="14" t="s">
        <v>1726</v>
      </c>
      <c r="G923" t="s">
        <v>1751</v>
      </c>
      <c r="H923" s="40">
        <v>200</v>
      </c>
      <c r="J923">
        <v>5513</v>
      </c>
      <c r="K923" s="3" t="str">
        <f>VLOOKUP(Table2[[#This Row],[Konto]],Table5[[Konto]:[Konto nimetus]],2,FALSE)</f>
        <v>Sõidukite ülalpidamise kulud</v>
      </c>
      <c r="L923">
        <v>55</v>
      </c>
      <c r="M923" t="str">
        <f t="shared" si="29"/>
        <v>55</v>
      </c>
      <c r="N923" s="3" t="str">
        <f>VLOOKUP(Table2[[#This Row],[Tulu/kulu liik2]],Table5[[Tulu/kulu liik]:[Kontode koondnimetus]],4,FALSE)</f>
        <v>Muud tegevuskulud</v>
      </c>
      <c r="O923" s="3" t="str">
        <f>VLOOKUP(Table2[[#This Row],[Tulu/kulu liik2]],Table5[],6,FALSE)</f>
        <v>Majandamiskulud</v>
      </c>
      <c r="P923" s="3" t="str">
        <f>VLOOKUP(Table2[[#This Row],[Tulu/kulu liik2]],Table5[],5,FALSE)</f>
        <v>Põhitegevuse kulu</v>
      </c>
    </row>
    <row r="924" spans="1:16" x14ac:dyDescent="0.25">
      <c r="A924" t="str">
        <f t="shared" si="28"/>
        <v>09</v>
      </c>
      <c r="B924" t="s">
        <v>343</v>
      </c>
      <c r="C924" s="3" t="str">
        <f>VLOOKUP(Table2[[#This Row],[Tegevusala]],Table4[],2,FALSE)</f>
        <v xml:space="preserve"> Tudu kool</v>
      </c>
      <c r="D924" s="3" t="str">
        <f>VLOOKUP(Table2[[#This Row],[Tegevusala]],Table4[[Tegevusala kood]:[Tegevusala alanimetus]],4,FALSE)</f>
        <v>Põhihariduse otsekulud</v>
      </c>
      <c r="E924" s="3" t="str">
        <f>VLOOKUP(Table2[[#This Row],[Tegevusala nimetus2]],Table4[[Tegevusala nimetus]:[Tegevusala koondnimetus]],2,FALSE)</f>
        <v>Haridus</v>
      </c>
      <c r="F924" s="14" t="s">
        <v>1726</v>
      </c>
      <c r="G924" t="s">
        <v>901</v>
      </c>
      <c r="H924" s="40">
        <v>4824</v>
      </c>
      <c r="J924">
        <v>5513</v>
      </c>
      <c r="K924" s="3" t="str">
        <f>VLOOKUP(Table2[[#This Row],[Konto]],Table5[[Konto]:[Konto nimetus]],2,FALSE)</f>
        <v>Sõidukite ülalpidamise kulud</v>
      </c>
      <c r="L924">
        <v>55</v>
      </c>
      <c r="M924" t="str">
        <f t="shared" si="29"/>
        <v>55</v>
      </c>
      <c r="N924" s="3" t="str">
        <f>VLOOKUP(Table2[[#This Row],[Tulu/kulu liik2]],Table5[[Tulu/kulu liik]:[Kontode koondnimetus]],4,FALSE)</f>
        <v>Muud tegevuskulud</v>
      </c>
      <c r="O924" s="3" t="str">
        <f>VLOOKUP(Table2[[#This Row],[Tulu/kulu liik2]],Table5[],6,FALSE)</f>
        <v>Majandamiskulud</v>
      </c>
      <c r="P924" s="3" t="str">
        <f>VLOOKUP(Table2[[#This Row],[Tulu/kulu liik2]],Table5[],5,FALSE)</f>
        <v>Põhitegevuse kulu</v>
      </c>
    </row>
    <row r="925" spans="1:16" x14ac:dyDescent="0.25">
      <c r="A925" t="str">
        <f t="shared" si="28"/>
        <v>09</v>
      </c>
      <c r="B925" t="s">
        <v>343</v>
      </c>
      <c r="C925" s="3" t="str">
        <f>VLOOKUP(Table2[[#This Row],[Tegevusala]],Table4[],2,FALSE)</f>
        <v xml:space="preserve"> Tudu kool</v>
      </c>
      <c r="D925" s="3" t="str">
        <f>VLOOKUP(Table2[[#This Row],[Tegevusala]],Table4[[Tegevusala kood]:[Tegevusala alanimetus]],4,FALSE)</f>
        <v>Põhihariduse otsekulud</v>
      </c>
      <c r="E925" s="3" t="str">
        <f>VLOOKUP(Table2[[#This Row],[Tegevusala nimetus2]],Table4[[Tegevusala nimetus]:[Tegevusala koondnimetus]],2,FALSE)</f>
        <v>Haridus</v>
      </c>
      <c r="F925" s="14" t="s">
        <v>1726</v>
      </c>
      <c r="G925" t="s">
        <v>1752</v>
      </c>
      <c r="H925" s="40">
        <v>100</v>
      </c>
      <c r="J925">
        <v>5513</v>
      </c>
      <c r="K925" s="3" t="str">
        <f>VLOOKUP(Table2[[#This Row],[Konto]],Table5[[Konto]:[Konto nimetus]],2,FALSE)</f>
        <v>Sõidukite ülalpidamise kulud</v>
      </c>
      <c r="L925">
        <v>55</v>
      </c>
      <c r="M925" t="str">
        <f t="shared" si="29"/>
        <v>55</v>
      </c>
      <c r="N925" s="3" t="str">
        <f>VLOOKUP(Table2[[#This Row],[Tulu/kulu liik2]],Table5[[Tulu/kulu liik]:[Kontode koondnimetus]],4,FALSE)</f>
        <v>Muud tegevuskulud</v>
      </c>
      <c r="O925" s="3" t="str">
        <f>VLOOKUP(Table2[[#This Row],[Tulu/kulu liik2]],Table5[],6,FALSE)</f>
        <v>Majandamiskulud</v>
      </c>
      <c r="P925" s="3" t="str">
        <f>VLOOKUP(Table2[[#This Row],[Tulu/kulu liik2]],Table5[],5,FALSE)</f>
        <v>Põhitegevuse kulu</v>
      </c>
    </row>
    <row r="926" spans="1:16" x14ac:dyDescent="0.25">
      <c r="A926" t="str">
        <f t="shared" si="28"/>
        <v>09</v>
      </c>
      <c r="B926" t="s">
        <v>343</v>
      </c>
      <c r="C926" s="3" t="str">
        <f>VLOOKUP(Table2[[#This Row],[Tegevusala]],Table4[],2,FALSE)</f>
        <v xml:space="preserve"> Tudu kool</v>
      </c>
      <c r="D926" s="3" t="str">
        <f>VLOOKUP(Table2[[#This Row],[Tegevusala]],Table4[[Tegevusala kood]:[Tegevusala alanimetus]],4,FALSE)</f>
        <v>Põhihariduse otsekulud</v>
      </c>
      <c r="E926" s="3" t="str">
        <f>VLOOKUP(Table2[[#This Row],[Tegevusala nimetus2]],Table4[[Tegevusala nimetus]:[Tegevusala koondnimetus]],2,FALSE)</f>
        <v>Haridus</v>
      </c>
      <c r="F926" s="14" t="s">
        <v>1726</v>
      </c>
      <c r="G926" t="s">
        <v>1754</v>
      </c>
      <c r="H926" s="40">
        <v>160</v>
      </c>
      <c r="J926">
        <v>5524</v>
      </c>
      <c r="K926" s="3" t="str">
        <f>VLOOKUP(Table2[[#This Row],[Konto]],Table5[[Konto]:[Konto nimetus]],2,FALSE)</f>
        <v>Õppevahendid</v>
      </c>
      <c r="L926">
        <v>55</v>
      </c>
      <c r="M926" t="str">
        <f t="shared" si="29"/>
        <v>55</v>
      </c>
      <c r="N926" s="3" t="str">
        <f>VLOOKUP(Table2[[#This Row],[Tulu/kulu liik2]],Table5[[Tulu/kulu liik]:[Kontode koondnimetus]],4,FALSE)</f>
        <v>Muud tegevuskulud</v>
      </c>
      <c r="O926" s="3" t="str">
        <f>VLOOKUP(Table2[[#This Row],[Tulu/kulu liik2]],Table5[],6,FALSE)</f>
        <v>Majandamiskulud</v>
      </c>
      <c r="P926" s="3" t="str">
        <f>VLOOKUP(Table2[[#This Row],[Tulu/kulu liik2]],Table5[],5,FALSE)</f>
        <v>Põhitegevuse kulu</v>
      </c>
    </row>
    <row r="927" spans="1:16" x14ac:dyDescent="0.25">
      <c r="A927" t="str">
        <f t="shared" si="28"/>
        <v>09</v>
      </c>
      <c r="B927" t="s">
        <v>343</v>
      </c>
      <c r="C927" s="3" t="str">
        <f>VLOOKUP(Table2[[#This Row],[Tegevusala]],Table4[],2,FALSE)</f>
        <v xml:space="preserve"> Tudu kool</v>
      </c>
      <c r="D927" s="3" t="str">
        <f>VLOOKUP(Table2[[#This Row],[Tegevusala]],Table4[[Tegevusala kood]:[Tegevusala alanimetus]],4,FALSE)</f>
        <v>Põhihariduse otsekulud</v>
      </c>
      <c r="E927" s="3" t="str">
        <f>VLOOKUP(Table2[[#This Row],[Tegevusala nimetus2]],Table4[[Tegevusala nimetus]:[Tegevusala koondnimetus]],2,FALSE)</f>
        <v>Haridus</v>
      </c>
      <c r="F927" s="14" t="s">
        <v>1726</v>
      </c>
      <c r="G927" t="s">
        <v>1755</v>
      </c>
      <c r="H927" s="40">
        <v>250</v>
      </c>
      <c r="J927">
        <v>5515</v>
      </c>
      <c r="K927" s="3" t="str">
        <f>VLOOKUP(Table2[[#This Row],[Konto]],Table5[[Konto]:[Konto nimetus]],2,FALSE)</f>
        <v>Inventari kulud, v.a infotehnoloogia ja kaitseotstarbelised kulud</v>
      </c>
      <c r="L927">
        <v>55</v>
      </c>
      <c r="M927" t="str">
        <f t="shared" si="29"/>
        <v>55</v>
      </c>
      <c r="N927" s="3" t="str">
        <f>VLOOKUP(Table2[[#This Row],[Tulu/kulu liik2]],Table5[[Tulu/kulu liik]:[Kontode koondnimetus]],4,FALSE)</f>
        <v>Muud tegevuskulud</v>
      </c>
      <c r="O927" s="3" t="str">
        <f>VLOOKUP(Table2[[#This Row],[Tulu/kulu liik2]],Table5[],6,FALSE)</f>
        <v>Majandamiskulud</v>
      </c>
      <c r="P927" s="3" t="str">
        <f>VLOOKUP(Table2[[#This Row],[Tulu/kulu liik2]],Table5[],5,FALSE)</f>
        <v>Põhitegevuse kulu</v>
      </c>
    </row>
    <row r="928" spans="1:16" x14ac:dyDescent="0.25">
      <c r="A928" t="str">
        <f t="shared" si="28"/>
        <v>09</v>
      </c>
      <c r="B928" t="s">
        <v>343</v>
      </c>
      <c r="C928" s="3" t="str">
        <f>VLOOKUP(Table2[[#This Row],[Tegevusala]],Table4[],2,FALSE)</f>
        <v xml:space="preserve"> Tudu kool</v>
      </c>
      <c r="D928" s="3" t="str">
        <f>VLOOKUP(Table2[[#This Row],[Tegevusala]],Table4[[Tegevusala kood]:[Tegevusala alanimetus]],4,FALSE)</f>
        <v>Põhihariduse otsekulud</v>
      </c>
      <c r="E928" s="3" t="str">
        <f>VLOOKUP(Table2[[#This Row],[Tegevusala nimetus2]],Table4[[Tegevusala nimetus]:[Tegevusala koondnimetus]],2,FALSE)</f>
        <v>Haridus</v>
      </c>
      <c r="F928" s="14" t="s">
        <v>1726</v>
      </c>
      <c r="G928" t="s">
        <v>1756</v>
      </c>
      <c r="H928" s="40">
        <v>150</v>
      </c>
      <c r="J928">
        <v>5515</v>
      </c>
      <c r="K928" s="3" t="str">
        <f>VLOOKUP(Table2[[#This Row],[Konto]],Table5[[Konto]:[Konto nimetus]],2,FALSE)</f>
        <v>Inventari kulud, v.a infotehnoloogia ja kaitseotstarbelised kulud</v>
      </c>
      <c r="L928">
        <v>55</v>
      </c>
      <c r="M928" t="str">
        <f t="shared" si="29"/>
        <v>55</v>
      </c>
      <c r="N928" s="3" t="str">
        <f>VLOOKUP(Table2[[#This Row],[Tulu/kulu liik2]],Table5[[Tulu/kulu liik]:[Kontode koondnimetus]],4,FALSE)</f>
        <v>Muud tegevuskulud</v>
      </c>
      <c r="O928" s="3" t="str">
        <f>VLOOKUP(Table2[[#This Row],[Tulu/kulu liik2]],Table5[],6,FALSE)</f>
        <v>Majandamiskulud</v>
      </c>
      <c r="P928" s="3" t="str">
        <f>VLOOKUP(Table2[[#This Row],[Tulu/kulu liik2]],Table5[],5,FALSE)</f>
        <v>Põhitegevuse kulu</v>
      </c>
    </row>
    <row r="929" spans="1:16" x14ac:dyDescent="0.25">
      <c r="A929" t="str">
        <f t="shared" si="28"/>
        <v>09</v>
      </c>
      <c r="B929" t="s">
        <v>343</v>
      </c>
      <c r="C929" s="3" t="str">
        <f>VLOOKUP(Table2[[#This Row],[Tegevusala]],Table4[],2,FALSE)</f>
        <v xml:space="preserve"> Tudu kool</v>
      </c>
      <c r="D929" s="3" t="str">
        <f>VLOOKUP(Table2[[#This Row],[Tegevusala]],Table4[[Tegevusala kood]:[Tegevusala alanimetus]],4,FALSE)</f>
        <v>Põhihariduse otsekulud</v>
      </c>
      <c r="E929" s="3" t="str">
        <f>VLOOKUP(Table2[[#This Row],[Tegevusala nimetus2]],Table4[[Tegevusala nimetus]:[Tegevusala koondnimetus]],2,FALSE)</f>
        <v>Haridus</v>
      </c>
      <c r="F929" s="14" t="s">
        <v>1726</v>
      </c>
      <c r="G929" t="s">
        <v>1757</v>
      </c>
      <c r="H929" s="40">
        <v>100</v>
      </c>
      <c r="J929">
        <v>5515</v>
      </c>
      <c r="K929" s="3" t="str">
        <f>VLOOKUP(Table2[[#This Row],[Konto]],Table5[[Konto]:[Konto nimetus]],2,FALSE)</f>
        <v>Inventari kulud, v.a infotehnoloogia ja kaitseotstarbelised kulud</v>
      </c>
      <c r="L929">
        <v>55</v>
      </c>
      <c r="M929" t="str">
        <f t="shared" si="29"/>
        <v>55</v>
      </c>
      <c r="N929" s="3" t="str">
        <f>VLOOKUP(Table2[[#This Row],[Tulu/kulu liik2]],Table5[[Tulu/kulu liik]:[Kontode koondnimetus]],4,FALSE)</f>
        <v>Muud tegevuskulud</v>
      </c>
      <c r="O929" s="3" t="str">
        <f>VLOOKUP(Table2[[#This Row],[Tulu/kulu liik2]],Table5[],6,FALSE)</f>
        <v>Majandamiskulud</v>
      </c>
      <c r="P929" s="3" t="str">
        <f>VLOOKUP(Table2[[#This Row],[Tulu/kulu liik2]],Table5[],5,FALSE)</f>
        <v>Põhitegevuse kulu</v>
      </c>
    </row>
    <row r="930" spans="1:16" x14ac:dyDescent="0.25">
      <c r="A930" s="8" t="str">
        <f t="shared" si="28"/>
        <v>09</v>
      </c>
      <c r="B930" s="8" t="s">
        <v>343</v>
      </c>
      <c r="C930" s="32" t="str">
        <f>VLOOKUP(Table2[[#This Row],[Tegevusala]],Table4[],2,FALSE)</f>
        <v xml:space="preserve"> Tudu kool</v>
      </c>
      <c r="D930" s="32" t="str">
        <f>VLOOKUP(Table2[[#This Row],[Tegevusala]],Table4[[Tegevusala kood]:[Tegevusala alanimetus]],4,FALSE)</f>
        <v>Põhihariduse otsekulud</v>
      </c>
      <c r="E930" s="32" t="str">
        <f>VLOOKUP(Table2[[#This Row],[Tegevusala nimetus2]],Table4[[Tegevusala nimetus]:[Tegevusala koondnimetus]],2,FALSE)</f>
        <v>Haridus</v>
      </c>
      <c r="F930" s="37" t="s">
        <v>1726</v>
      </c>
      <c r="G930" s="8" t="s">
        <v>1760</v>
      </c>
      <c r="H930" s="43">
        <v>2275</v>
      </c>
      <c r="I930" s="9" t="s">
        <v>2203</v>
      </c>
      <c r="J930" s="8">
        <v>5521</v>
      </c>
      <c r="K930" s="32" t="str">
        <f>VLOOKUP(Table2[[#This Row],[Konto]],Table5[[Konto]:[Konto nimetus]],2,FALSE)</f>
        <v>Toiduained ja toitlustusteenused</v>
      </c>
      <c r="L930" s="8">
        <v>55</v>
      </c>
      <c r="M930" s="8" t="str">
        <f t="shared" si="29"/>
        <v>55</v>
      </c>
      <c r="N930" s="32" t="str">
        <f>VLOOKUP(Table2[[#This Row],[Tulu/kulu liik2]],Table5[[Tulu/kulu liik]:[Kontode koondnimetus]],4,FALSE)</f>
        <v>Muud tegevuskulud</v>
      </c>
      <c r="O930" s="32" t="str">
        <f>VLOOKUP(Table2[[#This Row],[Tulu/kulu liik2]],Table5[],6,FALSE)</f>
        <v>Majandamiskulud</v>
      </c>
      <c r="P930" s="32" t="str">
        <f>VLOOKUP(Table2[[#This Row],[Tulu/kulu liik2]],Table5[],5,FALSE)</f>
        <v>Põhitegevuse kulu</v>
      </c>
    </row>
    <row r="931" spans="1:16" x14ac:dyDescent="0.25">
      <c r="A931" t="str">
        <f t="shared" si="28"/>
        <v>09</v>
      </c>
      <c r="B931" t="s">
        <v>343</v>
      </c>
      <c r="C931" s="3" t="str">
        <f>VLOOKUP(Table2[[#This Row],[Tegevusala]],Table4[],2,FALSE)</f>
        <v xml:space="preserve"> Tudu kool</v>
      </c>
      <c r="D931" s="3" t="str">
        <f>VLOOKUP(Table2[[#This Row],[Tegevusala]],Table4[[Tegevusala kood]:[Tegevusala alanimetus]],4,FALSE)</f>
        <v>Põhihariduse otsekulud</v>
      </c>
      <c r="E931" s="3" t="str">
        <f>VLOOKUP(Table2[[#This Row],[Tegevusala nimetus2]],Table4[[Tegevusala nimetus]:[Tegevusala koondnimetus]],2,FALSE)</f>
        <v>Haridus</v>
      </c>
      <c r="F931" s="14" t="s">
        <v>1726</v>
      </c>
      <c r="G931" t="s">
        <v>426</v>
      </c>
      <c r="H931" s="40">
        <v>50</v>
      </c>
      <c r="J931">
        <v>5522</v>
      </c>
      <c r="K931" s="3" t="str">
        <f>VLOOKUP(Table2[[#This Row],[Konto]],Table5[[Konto]:[Konto nimetus]],2,FALSE)</f>
        <v>Meditsiinikulud ja hügieenitarbed</v>
      </c>
      <c r="L931">
        <v>55</v>
      </c>
      <c r="M931" t="str">
        <f t="shared" si="29"/>
        <v>55</v>
      </c>
      <c r="N931" s="3" t="str">
        <f>VLOOKUP(Table2[[#This Row],[Tulu/kulu liik2]],Table5[[Tulu/kulu liik]:[Kontode koondnimetus]],4,FALSE)</f>
        <v>Muud tegevuskulud</v>
      </c>
      <c r="O931" s="3" t="str">
        <f>VLOOKUP(Table2[[#This Row],[Tulu/kulu liik2]],Table5[],6,FALSE)</f>
        <v>Majandamiskulud</v>
      </c>
      <c r="P931" s="3" t="str">
        <f>VLOOKUP(Table2[[#This Row],[Tulu/kulu liik2]],Table5[],5,FALSE)</f>
        <v>Põhitegevuse kulu</v>
      </c>
    </row>
    <row r="932" spans="1:16" x14ac:dyDescent="0.25">
      <c r="A932" t="str">
        <f t="shared" si="28"/>
        <v>09</v>
      </c>
      <c r="B932" t="s">
        <v>343</v>
      </c>
      <c r="C932" s="3" t="str">
        <f>VLOOKUP(Table2[[#This Row],[Tegevusala]],Table4[],2,FALSE)</f>
        <v xml:space="preserve"> Tudu kool</v>
      </c>
      <c r="D932" s="3" t="str">
        <f>VLOOKUP(Table2[[#This Row],[Tegevusala]],Table4[[Tegevusala kood]:[Tegevusala alanimetus]],4,FALSE)</f>
        <v>Põhihariduse otsekulud</v>
      </c>
      <c r="E932" s="3" t="str">
        <f>VLOOKUP(Table2[[#This Row],[Tegevusala nimetus2]],Table4[[Tegevusala nimetus]:[Tegevusala koondnimetus]],2,FALSE)</f>
        <v>Haridus</v>
      </c>
      <c r="F932" s="14" t="s">
        <v>1726</v>
      </c>
      <c r="G932" t="s">
        <v>1761</v>
      </c>
      <c r="H932" s="40">
        <v>100</v>
      </c>
      <c r="J932">
        <v>5522</v>
      </c>
      <c r="K932" s="3" t="str">
        <f>VLOOKUP(Table2[[#This Row],[Konto]],Table5[[Konto]:[Konto nimetus]],2,FALSE)</f>
        <v>Meditsiinikulud ja hügieenitarbed</v>
      </c>
      <c r="L932">
        <v>55</v>
      </c>
      <c r="M932" t="str">
        <f t="shared" si="29"/>
        <v>55</v>
      </c>
      <c r="N932" s="3" t="str">
        <f>VLOOKUP(Table2[[#This Row],[Tulu/kulu liik2]],Table5[[Tulu/kulu liik]:[Kontode koondnimetus]],4,FALSE)</f>
        <v>Muud tegevuskulud</v>
      </c>
      <c r="O932" s="3" t="str">
        <f>VLOOKUP(Table2[[#This Row],[Tulu/kulu liik2]],Table5[],6,FALSE)</f>
        <v>Majandamiskulud</v>
      </c>
      <c r="P932" s="3" t="str">
        <f>VLOOKUP(Table2[[#This Row],[Tulu/kulu liik2]],Table5[],5,FALSE)</f>
        <v>Põhitegevuse kulu</v>
      </c>
    </row>
    <row r="933" spans="1:16" x14ac:dyDescent="0.25">
      <c r="A933" t="str">
        <f t="shared" si="28"/>
        <v>09</v>
      </c>
      <c r="B933" t="s">
        <v>343</v>
      </c>
      <c r="C933" s="3" t="str">
        <f>VLOOKUP(Table2[[#This Row],[Tegevusala]],Table4[],2,FALSE)</f>
        <v xml:space="preserve"> Tudu kool</v>
      </c>
      <c r="D933" s="3" t="str">
        <f>VLOOKUP(Table2[[#This Row],[Tegevusala]],Table4[[Tegevusala kood]:[Tegevusala alanimetus]],4,FALSE)</f>
        <v>Põhihariduse otsekulud</v>
      </c>
      <c r="E933" s="3" t="str">
        <f>VLOOKUP(Table2[[#This Row],[Tegevusala nimetus2]],Table4[[Tegevusala nimetus]:[Tegevusala koondnimetus]],2,FALSE)</f>
        <v>Haridus</v>
      </c>
      <c r="F933" s="14" t="s">
        <v>1726</v>
      </c>
      <c r="G933" t="s">
        <v>1765</v>
      </c>
      <c r="H933" s="40">
        <v>1200</v>
      </c>
      <c r="J933">
        <v>5524</v>
      </c>
      <c r="K933" s="3" t="str">
        <f>VLOOKUP(Table2[[#This Row],[Konto]],Table5[[Konto]:[Konto nimetus]],2,FALSE)</f>
        <v>Õppevahendid</v>
      </c>
      <c r="L933">
        <v>55</v>
      </c>
      <c r="M933" t="str">
        <f t="shared" si="29"/>
        <v>55</v>
      </c>
      <c r="N933" s="3" t="str">
        <f>VLOOKUP(Table2[[#This Row],[Tulu/kulu liik2]],Table5[[Tulu/kulu liik]:[Kontode koondnimetus]],4,FALSE)</f>
        <v>Muud tegevuskulud</v>
      </c>
      <c r="O933" s="3" t="str">
        <f>VLOOKUP(Table2[[#This Row],[Tulu/kulu liik2]],Table5[],6,FALSE)</f>
        <v>Majandamiskulud</v>
      </c>
      <c r="P933" s="3" t="str">
        <f>VLOOKUP(Table2[[#This Row],[Tulu/kulu liik2]],Table5[],5,FALSE)</f>
        <v>Põhitegevuse kulu</v>
      </c>
    </row>
    <row r="934" spans="1:16" x14ac:dyDescent="0.25">
      <c r="A934" t="str">
        <f t="shared" si="28"/>
        <v>09</v>
      </c>
      <c r="B934" t="s">
        <v>343</v>
      </c>
      <c r="C934" s="3" t="str">
        <f>VLOOKUP(Table2[[#This Row],[Tegevusala]],Table4[],2,FALSE)</f>
        <v xml:space="preserve"> Tudu kool</v>
      </c>
      <c r="D934" s="3" t="str">
        <f>VLOOKUP(Table2[[#This Row],[Tegevusala]],Table4[[Tegevusala kood]:[Tegevusala alanimetus]],4,FALSE)</f>
        <v>Põhihariduse otsekulud</v>
      </c>
      <c r="E934" s="3" t="str">
        <f>VLOOKUP(Table2[[#This Row],[Tegevusala nimetus2]],Table4[[Tegevusala nimetus]:[Tegevusala koondnimetus]],2,FALSE)</f>
        <v>Haridus</v>
      </c>
      <c r="F934" s="14" t="s">
        <v>1726</v>
      </c>
      <c r="G934" t="s">
        <v>218</v>
      </c>
      <c r="H934" s="40">
        <v>400</v>
      </c>
      <c r="J934">
        <v>5524</v>
      </c>
      <c r="K934" s="3" t="str">
        <f>VLOOKUP(Table2[[#This Row],[Konto]],Table5[[Konto]:[Konto nimetus]],2,FALSE)</f>
        <v>Õppevahendid</v>
      </c>
      <c r="L934">
        <v>55</v>
      </c>
      <c r="M934" t="str">
        <f t="shared" si="29"/>
        <v>55</v>
      </c>
      <c r="N934" s="3" t="str">
        <f>VLOOKUP(Table2[[#This Row],[Tulu/kulu liik2]],Table5[[Tulu/kulu liik]:[Kontode koondnimetus]],4,FALSE)</f>
        <v>Muud tegevuskulud</v>
      </c>
      <c r="O934" s="3" t="str">
        <f>VLOOKUP(Table2[[#This Row],[Tulu/kulu liik2]],Table5[],6,FALSE)</f>
        <v>Majandamiskulud</v>
      </c>
      <c r="P934" s="3" t="str">
        <f>VLOOKUP(Table2[[#This Row],[Tulu/kulu liik2]],Table5[],5,FALSE)</f>
        <v>Põhitegevuse kulu</v>
      </c>
    </row>
    <row r="935" spans="1:16" x14ac:dyDescent="0.25">
      <c r="A935" t="str">
        <f t="shared" si="28"/>
        <v>09</v>
      </c>
      <c r="B935" t="s">
        <v>343</v>
      </c>
      <c r="C935" s="3" t="str">
        <f>VLOOKUP(Table2[[#This Row],[Tegevusala]],Table4[],2,FALSE)</f>
        <v xml:space="preserve"> Tudu kool</v>
      </c>
      <c r="D935" s="3" t="str">
        <f>VLOOKUP(Table2[[#This Row],[Tegevusala]],Table4[[Tegevusala kood]:[Tegevusala alanimetus]],4,FALSE)</f>
        <v>Põhihariduse otsekulud</v>
      </c>
      <c r="E935" s="3" t="str">
        <f>VLOOKUP(Table2[[#This Row],[Tegevusala nimetus2]],Table4[[Tegevusala nimetus]:[Tegevusala koondnimetus]],2,FALSE)</f>
        <v>Haridus</v>
      </c>
      <c r="F935" s="14" t="s">
        <v>1726</v>
      </c>
      <c r="G935" t="s">
        <v>1766</v>
      </c>
      <c r="H935" s="40">
        <v>300</v>
      </c>
      <c r="J935">
        <v>5524</v>
      </c>
      <c r="K935" s="3" t="str">
        <f>VLOOKUP(Table2[[#This Row],[Konto]],Table5[[Konto]:[Konto nimetus]],2,FALSE)</f>
        <v>Õppevahendid</v>
      </c>
      <c r="L935">
        <v>55</v>
      </c>
      <c r="M935" t="str">
        <f t="shared" si="29"/>
        <v>55</v>
      </c>
      <c r="N935" s="3" t="str">
        <f>VLOOKUP(Table2[[#This Row],[Tulu/kulu liik2]],Table5[[Tulu/kulu liik]:[Kontode koondnimetus]],4,FALSE)</f>
        <v>Muud tegevuskulud</v>
      </c>
      <c r="O935" s="3" t="str">
        <f>VLOOKUP(Table2[[#This Row],[Tulu/kulu liik2]],Table5[],6,FALSE)</f>
        <v>Majandamiskulud</v>
      </c>
      <c r="P935" s="3" t="str">
        <f>VLOOKUP(Table2[[#This Row],[Tulu/kulu liik2]],Table5[],5,FALSE)</f>
        <v>Põhitegevuse kulu</v>
      </c>
    </row>
    <row r="936" spans="1:16" x14ac:dyDescent="0.25">
      <c r="A936" t="str">
        <f t="shared" si="28"/>
        <v>09</v>
      </c>
      <c r="B936" t="s">
        <v>343</v>
      </c>
      <c r="C936" s="3" t="str">
        <f>VLOOKUP(Table2[[#This Row],[Tegevusala]],Table4[],2,FALSE)</f>
        <v xml:space="preserve"> Tudu kool</v>
      </c>
      <c r="D936" s="3" t="str">
        <f>VLOOKUP(Table2[[#This Row],[Tegevusala]],Table4[[Tegevusala kood]:[Tegevusala alanimetus]],4,FALSE)</f>
        <v>Põhihariduse otsekulud</v>
      </c>
      <c r="E936" s="3" t="str">
        <f>VLOOKUP(Table2[[#This Row],[Tegevusala nimetus2]],Table4[[Tegevusala nimetus]:[Tegevusala koondnimetus]],2,FALSE)</f>
        <v>Haridus</v>
      </c>
      <c r="F936" s="14" t="s">
        <v>1726</v>
      </c>
      <c r="G936" t="s">
        <v>1767</v>
      </c>
      <c r="H936" s="40">
        <v>900</v>
      </c>
      <c r="J936">
        <v>5524</v>
      </c>
      <c r="K936" s="3" t="str">
        <f>VLOOKUP(Table2[[#This Row],[Konto]],Table5[[Konto]:[Konto nimetus]],2,FALSE)</f>
        <v>Õppevahendid</v>
      </c>
      <c r="L936">
        <v>55</v>
      </c>
      <c r="M936" t="str">
        <f t="shared" si="29"/>
        <v>55</v>
      </c>
      <c r="N936" s="3" t="str">
        <f>VLOOKUP(Table2[[#This Row],[Tulu/kulu liik2]],Table5[[Tulu/kulu liik]:[Kontode koondnimetus]],4,FALSE)</f>
        <v>Muud tegevuskulud</v>
      </c>
      <c r="O936" s="3" t="str">
        <f>VLOOKUP(Table2[[#This Row],[Tulu/kulu liik2]],Table5[],6,FALSE)</f>
        <v>Majandamiskulud</v>
      </c>
      <c r="P936" s="3" t="str">
        <f>VLOOKUP(Table2[[#This Row],[Tulu/kulu liik2]],Table5[],5,FALSE)</f>
        <v>Põhitegevuse kulu</v>
      </c>
    </row>
    <row r="937" spans="1:16" x14ac:dyDescent="0.25">
      <c r="A937" t="str">
        <f t="shared" si="28"/>
        <v>09</v>
      </c>
      <c r="B937" t="s">
        <v>343</v>
      </c>
      <c r="C937" s="3" t="str">
        <f>VLOOKUP(Table2[[#This Row],[Tegevusala]],Table4[],2,FALSE)</f>
        <v xml:space="preserve"> Tudu kool</v>
      </c>
      <c r="D937" s="3" t="str">
        <f>VLOOKUP(Table2[[#This Row],[Tegevusala]],Table4[[Tegevusala kood]:[Tegevusala alanimetus]],4,FALSE)</f>
        <v>Põhihariduse otsekulud</v>
      </c>
      <c r="E937" s="3" t="str">
        <f>VLOOKUP(Table2[[#This Row],[Tegevusala nimetus2]],Table4[[Tegevusala nimetus]:[Tegevusala koondnimetus]],2,FALSE)</f>
        <v>Haridus</v>
      </c>
      <c r="F937" s="14" t="s">
        <v>1726</v>
      </c>
      <c r="G937" t="s">
        <v>1768</v>
      </c>
      <c r="H937" s="40">
        <v>100</v>
      </c>
      <c r="J937">
        <v>5524</v>
      </c>
      <c r="K937" s="3" t="str">
        <f>VLOOKUP(Table2[[#This Row],[Konto]],Table5[[Konto]:[Konto nimetus]],2,FALSE)</f>
        <v>Õppevahendid</v>
      </c>
      <c r="L937">
        <v>55</v>
      </c>
      <c r="M937" t="str">
        <f t="shared" si="29"/>
        <v>55</v>
      </c>
      <c r="N937" s="3" t="str">
        <f>VLOOKUP(Table2[[#This Row],[Tulu/kulu liik2]],Table5[[Tulu/kulu liik]:[Kontode koondnimetus]],4,FALSE)</f>
        <v>Muud tegevuskulud</v>
      </c>
      <c r="O937" s="3" t="str">
        <f>VLOOKUP(Table2[[#This Row],[Tulu/kulu liik2]],Table5[],6,FALSE)</f>
        <v>Majandamiskulud</v>
      </c>
      <c r="P937" s="3" t="str">
        <f>VLOOKUP(Table2[[#This Row],[Tulu/kulu liik2]],Table5[],5,FALSE)</f>
        <v>Põhitegevuse kulu</v>
      </c>
    </row>
    <row r="938" spans="1:16" x14ac:dyDescent="0.25">
      <c r="A938" t="str">
        <f t="shared" si="28"/>
        <v>09</v>
      </c>
      <c r="B938" t="s">
        <v>343</v>
      </c>
      <c r="C938" s="3" t="str">
        <f>VLOOKUP(Table2[[#This Row],[Tegevusala]],Table4[],2,FALSE)</f>
        <v xml:space="preserve"> Tudu kool</v>
      </c>
      <c r="D938" s="3" t="str">
        <f>VLOOKUP(Table2[[#This Row],[Tegevusala]],Table4[[Tegevusala kood]:[Tegevusala alanimetus]],4,FALSE)</f>
        <v>Põhihariduse otsekulud</v>
      </c>
      <c r="E938" s="3" t="str">
        <f>VLOOKUP(Table2[[#This Row],[Tegevusala nimetus2]],Table4[[Tegevusala nimetus]:[Tegevusala koondnimetus]],2,FALSE)</f>
        <v>Haridus</v>
      </c>
      <c r="F938" s="14" t="s">
        <v>1726</v>
      </c>
      <c r="G938" t="s">
        <v>1769</v>
      </c>
      <c r="H938" s="40">
        <v>10</v>
      </c>
      <c r="J938">
        <v>5525</v>
      </c>
      <c r="K938" s="3" t="str">
        <f>VLOOKUP(Table2[[#This Row],[Konto]],Table5[[Konto]:[Konto nimetus]],2,FALSE)</f>
        <v>Kommunikatsiooni-, kultuuri- ja vaba aja sisustamise kulud</v>
      </c>
      <c r="L938">
        <v>55</v>
      </c>
      <c r="M938" t="str">
        <f t="shared" si="29"/>
        <v>55</v>
      </c>
      <c r="N938" s="3" t="str">
        <f>VLOOKUP(Table2[[#This Row],[Tulu/kulu liik2]],Table5[[Tulu/kulu liik]:[Kontode koondnimetus]],4,FALSE)</f>
        <v>Muud tegevuskulud</v>
      </c>
      <c r="O938" s="3" t="str">
        <f>VLOOKUP(Table2[[#This Row],[Tulu/kulu liik2]],Table5[],6,FALSE)</f>
        <v>Majandamiskulud</v>
      </c>
      <c r="P938" s="3" t="str">
        <f>VLOOKUP(Table2[[#This Row],[Tulu/kulu liik2]],Table5[],5,FALSE)</f>
        <v>Põhitegevuse kulu</v>
      </c>
    </row>
    <row r="939" spans="1:16" x14ac:dyDescent="0.25">
      <c r="A939" t="str">
        <f t="shared" si="28"/>
        <v>09</v>
      </c>
      <c r="B939" t="s">
        <v>343</v>
      </c>
      <c r="C939" s="3" t="str">
        <f>VLOOKUP(Table2[[#This Row],[Tegevusala]],Table4[],2,FALSE)</f>
        <v xml:space="preserve"> Tudu kool</v>
      </c>
      <c r="D939" s="3" t="str">
        <f>VLOOKUP(Table2[[#This Row],[Tegevusala]],Table4[[Tegevusala kood]:[Tegevusala alanimetus]],4,FALSE)</f>
        <v>Põhihariduse otsekulud</v>
      </c>
      <c r="E939" s="3" t="str">
        <f>VLOOKUP(Table2[[#This Row],[Tegevusala nimetus2]],Table4[[Tegevusala nimetus]:[Tegevusala koondnimetus]],2,FALSE)</f>
        <v>Haridus</v>
      </c>
      <c r="F939" s="14" t="s">
        <v>1726</v>
      </c>
      <c r="G939" t="s">
        <v>1770</v>
      </c>
      <c r="H939" s="40">
        <v>20</v>
      </c>
      <c r="J939">
        <v>5525</v>
      </c>
      <c r="K939" s="3" t="str">
        <f>VLOOKUP(Table2[[#This Row],[Konto]],Table5[[Konto]:[Konto nimetus]],2,FALSE)</f>
        <v>Kommunikatsiooni-, kultuuri- ja vaba aja sisustamise kulud</v>
      </c>
      <c r="L939">
        <v>55</v>
      </c>
      <c r="M939" t="str">
        <f t="shared" si="29"/>
        <v>55</v>
      </c>
      <c r="N939" s="3" t="str">
        <f>VLOOKUP(Table2[[#This Row],[Tulu/kulu liik2]],Table5[[Tulu/kulu liik]:[Kontode koondnimetus]],4,FALSE)</f>
        <v>Muud tegevuskulud</v>
      </c>
      <c r="O939" s="3" t="str">
        <f>VLOOKUP(Table2[[#This Row],[Tulu/kulu liik2]],Table5[],6,FALSE)</f>
        <v>Majandamiskulud</v>
      </c>
      <c r="P939" s="3" t="str">
        <f>VLOOKUP(Table2[[#This Row],[Tulu/kulu liik2]],Table5[],5,FALSE)</f>
        <v>Põhitegevuse kulu</v>
      </c>
    </row>
    <row r="940" spans="1:16" x14ac:dyDescent="0.25">
      <c r="A940" t="str">
        <f t="shared" si="28"/>
        <v>09</v>
      </c>
      <c r="B940" t="s">
        <v>343</v>
      </c>
      <c r="C940" s="3" t="str">
        <f>VLOOKUP(Table2[[#This Row],[Tegevusala]],Table4[],2,FALSE)</f>
        <v xml:space="preserve"> Tudu kool</v>
      </c>
      <c r="D940" s="3" t="str">
        <f>VLOOKUP(Table2[[#This Row],[Tegevusala]],Table4[[Tegevusala kood]:[Tegevusala alanimetus]],4,FALSE)</f>
        <v>Põhihariduse otsekulud</v>
      </c>
      <c r="E940" s="3" t="str">
        <f>VLOOKUP(Table2[[#This Row],[Tegevusala nimetus2]],Table4[[Tegevusala nimetus]:[Tegevusala koondnimetus]],2,FALSE)</f>
        <v>Haridus</v>
      </c>
      <c r="F940" s="14" t="s">
        <v>1726</v>
      </c>
      <c r="G940" t="s">
        <v>1771</v>
      </c>
      <c r="H940" s="40">
        <v>40</v>
      </c>
      <c r="J940">
        <v>5525</v>
      </c>
      <c r="K940" s="3" t="str">
        <f>VLOOKUP(Table2[[#This Row],[Konto]],Table5[[Konto]:[Konto nimetus]],2,FALSE)</f>
        <v>Kommunikatsiooni-, kultuuri- ja vaba aja sisustamise kulud</v>
      </c>
      <c r="L940">
        <v>55</v>
      </c>
      <c r="M940" t="str">
        <f t="shared" si="29"/>
        <v>55</v>
      </c>
      <c r="N940" s="3" t="str">
        <f>VLOOKUP(Table2[[#This Row],[Tulu/kulu liik2]],Table5[[Tulu/kulu liik]:[Kontode koondnimetus]],4,FALSE)</f>
        <v>Muud tegevuskulud</v>
      </c>
      <c r="O940" s="3" t="str">
        <f>VLOOKUP(Table2[[#This Row],[Tulu/kulu liik2]],Table5[],6,FALSE)</f>
        <v>Majandamiskulud</v>
      </c>
      <c r="P940" s="3" t="str">
        <f>VLOOKUP(Table2[[#This Row],[Tulu/kulu liik2]],Table5[],5,FALSE)</f>
        <v>Põhitegevuse kulu</v>
      </c>
    </row>
    <row r="941" spans="1:16" x14ac:dyDescent="0.25">
      <c r="A941" t="str">
        <f t="shared" si="28"/>
        <v>09</v>
      </c>
      <c r="B941" t="s">
        <v>343</v>
      </c>
      <c r="C941" s="3" t="str">
        <f>VLOOKUP(Table2[[#This Row],[Tegevusala]],Table4[],2,FALSE)</f>
        <v xml:space="preserve"> Tudu kool</v>
      </c>
      <c r="D941" s="3" t="str">
        <f>VLOOKUP(Table2[[#This Row],[Tegevusala]],Table4[[Tegevusala kood]:[Tegevusala alanimetus]],4,FALSE)</f>
        <v>Põhihariduse otsekulud</v>
      </c>
      <c r="E941" s="3" t="str">
        <f>VLOOKUP(Table2[[#This Row],[Tegevusala nimetus2]],Table4[[Tegevusala nimetus]:[Tegevusala koondnimetus]],2,FALSE)</f>
        <v>Haridus</v>
      </c>
      <c r="F941" s="14" t="s">
        <v>1726</v>
      </c>
      <c r="G941" t="s">
        <v>1772</v>
      </c>
      <c r="H941" s="40">
        <v>75</v>
      </c>
      <c r="J941">
        <v>5525</v>
      </c>
      <c r="K941" s="3" t="str">
        <f>VLOOKUP(Table2[[#This Row],[Konto]],Table5[[Konto]:[Konto nimetus]],2,FALSE)</f>
        <v>Kommunikatsiooni-, kultuuri- ja vaba aja sisustamise kulud</v>
      </c>
      <c r="L941">
        <v>55</v>
      </c>
      <c r="M941" t="str">
        <f t="shared" si="29"/>
        <v>55</v>
      </c>
      <c r="N941" s="3" t="str">
        <f>VLOOKUP(Table2[[#This Row],[Tulu/kulu liik2]],Table5[[Tulu/kulu liik]:[Kontode koondnimetus]],4,FALSE)</f>
        <v>Muud tegevuskulud</v>
      </c>
      <c r="O941" s="3" t="str">
        <f>VLOOKUP(Table2[[#This Row],[Tulu/kulu liik2]],Table5[],6,FALSE)</f>
        <v>Majandamiskulud</v>
      </c>
      <c r="P941" s="3" t="str">
        <f>VLOOKUP(Table2[[#This Row],[Tulu/kulu liik2]],Table5[],5,FALSE)</f>
        <v>Põhitegevuse kulu</v>
      </c>
    </row>
    <row r="942" spans="1:16" x14ac:dyDescent="0.25">
      <c r="A942" t="str">
        <f t="shared" si="28"/>
        <v>09</v>
      </c>
      <c r="B942" t="s">
        <v>343</v>
      </c>
      <c r="C942" s="3" t="str">
        <f>VLOOKUP(Table2[[#This Row],[Tegevusala]],Table4[],2,FALSE)</f>
        <v xml:space="preserve"> Tudu kool</v>
      </c>
      <c r="D942" s="3" t="str">
        <f>VLOOKUP(Table2[[#This Row],[Tegevusala]],Table4[[Tegevusala kood]:[Tegevusala alanimetus]],4,FALSE)</f>
        <v>Põhihariduse otsekulud</v>
      </c>
      <c r="E942" s="3" t="str">
        <f>VLOOKUP(Table2[[#This Row],[Tegevusala nimetus2]],Table4[[Tegevusala nimetus]:[Tegevusala koondnimetus]],2,FALSE)</f>
        <v>Haridus</v>
      </c>
      <c r="F942" s="14" t="s">
        <v>1726</v>
      </c>
      <c r="G942" t="s">
        <v>1773</v>
      </c>
      <c r="H942" s="40">
        <v>50</v>
      </c>
      <c r="J942">
        <v>5525</v>
      </c>
      <c r="K942" s="3" t="str">
        <f>VLOOKUP(Table2[[#This Row],[Konto]],Table5[[Konto]:[Konto nimetus]],2,FALSE)</f>
        <v>Kommunikatsiooni-, kultuuri- ja vaba aja sisustamise kulud</v>
      </c>
      <c r="L942">
        <v>55</v>
      </c>
      <c r="M942" t="str">
        <f t="shared" si="29"/>
        <v>55</v>
      </c>
      <c r="N942" s="3" t="str">
        <f>VLOOKUP(Table2[[#This Row],[Tulu/kulu liik2]],Table5[[Tulu/kulu liik]:[Kontode koondnimetus]],4,FALSE)</f>
        <v>Muud tegevuskulud</v>
      </c>
      <c r="O942" s="3" t="str">
        <f>VLOOKUP(Table2[[#This Row],[Tulu/kulu liik2]],Table5[],6,FALSE)</f>
        <v>Majandamiskulud</v>
      </c>
      <c r="P942" s="3" t="str">
        <f>VLOOKUP(Table2[[#This Row],[Tulu/kulu liik2]],Table5[],5,FALSE)</f>
        <v>Põhitegevuse kulu</v>
      </c>
    </row>
    <row r="943" spans="1:16" x14ac:dyDescent="0.25">
      <c r="A943" t="str">
        <f t="shared" si="28"/>
        <v>09</v>
      </c>
      <c r="B943" t="s">
        <v>343</v>
      </c>
      <c r="C943" s="3" t="str">
        <f>VLOOKUP(Table2[[#This Row],[Tegevusala]],Table4[],2,FALSE)</f>
        <v xml:space="preserve"> Tudu kool</v>
      </c>
      <c r="D943" s="3" t="str">
        <f>VLOOKUP(Table2[[#This Row],[Tegevusala]],Table4[[Tegevusala kood]:[Tegevusala alanimetus]],4,FALSE)</f>
        <v>Põhihariduse otsekulud</v>
      </c>
      <c r="E943" s="3" t="str">
        <f>VLOOKUP(Table2[[#This Row],[Tegevusala nimetus2]],Table4[[Tegevusala nimetus]:[Tegevusala koondnimetus]],2,FALSE)</f>
        <v>Haridus</v>
      </c>
      <c r="F943" s="14" t="s">
        <v>1726</v>
      </c>
      <c r="G943" t="s">
        <v>1774</v>
      </c>
      <c r="H943" s="40">
        <v>500</v>
      </c>
      <c r="J943">
        <v>5525</v>
      </c>
      <c r="K943" s="3" t="str">
        <f>VLOOKUP(Table2[[#This Row],[Konto]],Table5[[Konto]:[Konto nimetus]],2,FALSE)</f>
        <v>Kommunikatsiooni-, kultuuri- ja vaba aja sisustamise kulud</v>
      </c>
      <c r="L943">
        <v>55</v>
      </c>
      <c r="M943" t="str">
        <f t="shared" si="29"/>
        <v>55</v>
      </c>
      <c r="N943" s="3" t="str">
        <f>VLOOKUP(Table2[[#This Row],[Tulu/kulu liik2]],Table5[[Tulu/kulu liik]:[Kontode koondnimetus]],4,FALSE)</f>
        <v>Muud tegevuskulud</v>
      </c>
      <c r="O943" s="3" t="str">
        <f>VLOOKUP(Table2[[#This Row],[Tulu/kulu liik2]],Table5[],6,FALSE)</f>
        <v>Majandamiskulud</v>
      </c>
      <c r="P943" s="3" t="str">
        <f>VLOOKUP(Table2[[#This Row],[Tulu/kulu liik2]],Table5[],5,FALSE)</f>
        <v>Põhitegevuse kulu</v>
      </c>
    </row>
    <row r="944" spans="1:16" x14ac:dyDescent="0.25">
      <c r="A944" t="str">
        <f t="shared" si="28"/>
        <v>09</v>
      </c>
      <c r="B944" t="s">
        <v>343</v>
      </c>
      <c r="C944" s="3" t="str">
        <f>VLOOKUP(Table2[[#This Row],[Tegevusala]],Table4[],2,FALSE)</f>
        <v xml:space="preserve"> Tudu kool</v>
      </c>
      <c r="D944" s="3" t="str">
        <f>VLOOKUP(Table2[[#This Row],[Tegevusala]],Table4[[Tegevusala kood]:[Tegevusala alanimetus]],4,FALSE)</f>
        <v>Põhihariduse otsekulud</v>
      </c>
      <c r="E944" s="3" t="str">
        <f>VLOOKUP(Table2[[#This Row],[Tegevusala nimetus2]],Table4[[Tegevusala nimetus]:[Tegevusala koondnimetus]],2,FALSE)</f>
        <v>Haridus</v>
      </c>
      <c r="F944" s="14" t="s">
        <v>1726</v>
      </c>
      <c r="G944" t="s">
        <v>1775</v>
      </c>
      <c r="H944" s="40">
        <v>30</v>
      </c>
      <c r="J944">
        <v>5525</v>
      </c>
      <c r="K944" s="3" t="str">
        <f>VLOOKUP(Table2[[#This Row],[Konto]],Table5[[Konto]:[Konto nimetus]],2,FALSE)</f>
        <v>Kommunikatsiooni-, kultuuri- ja vaba aja sisustamise kulud</v>
      </c>
      <c r="L944">
        <v>55</v>
      </c>
      <c r="M944" t="str">
        <f t="shared" si="29"/>
        <v>55</v>
      </c>
      <c r="N944" s="3" t="str">
        <f>VLOOKUP(Table2[[#This Row],[Tulu/kulu liik2]],Table5[[Tulu/kulu liik]:[Kontode koondnimetus]],4,FALSE)</f>
        <v>Muud tegevuskulud</v>
      </c>
      <c r="O944" s="3" t="str">
        <f>VLOOKUP(Table2[[#This Row],[Tulu/kulu liik2]],Table5[],6,FALSE)</f>
        <v>Majandamiskulud</v>
      </c>
      <c r="P944" s="3" t="str">
        <f>VLOOKUP(Table2[[#This Row],[Tulu/kulu liik2]],Table5[],5,FALSE)</f>
        <v>Põhitegevuse kulu</v>
      </c>
    </row>
    <row r="945" spans="1:16" x14ac:dyDescent="0.25">
      <c r="A945" t="str">
        <f t="shared" si="28"/>
        <v>09</v>
      </c>
      <c r="B945" t="s">
        <v>343</v>
      </c>
      <c r="C945" s="3" t="str">
        <f>VLOOKUP(Table2[[#This Row],[Tegevusala]],Table4[],2,FALSE)</f>
        <v xml:space="preserve"> Tudu kool</v>
      </c>
      <c r="D945" s="3" t="str">
        <f>VLOOKUP(Table2[[#This Row],[Tegevusala]],Table4[[Tegevusala kood]:[Tegevusala alanimetus]],4,FALSE)</f>
        <v>Põhihariduse otsekulud</v>
      </c>
      <c r="E945" s="3" t="str">
        <f>VLOOKUP(Table2[[#This Row],[Tegevusala nimetus2]],Table4[[Tegevusala nimetus]:[Tegevusala koondnimetus]],2,FALSE)</f>
        <v>Haridus</v>
      </c>
      <c r="F945" s="14" t="s">
        <v>1726</v>
      </c>
      <c r="G945" t="s">
        <v>1776</v>
      </c>
      <c r="H945" s="40">
        <v>20</v>
      </c>
      <c r="J945">
        <v>5525</v>
      </c>
      <c r="K945" s="3" t="str">
        <f>VLOOKUP(Table2[[#This Row],[Konto]],Table5[[Konto]:[Konto nimetus]],2,FALSE)</f>
        <v>Kommunikatsiooni-, kultuuri- ja vaba aja sisustamise kulud</v>
      </c>
      <c r="L945">
        <v>55</v>
      </c>
      <c r="M945" t="str">
        <f t="shared" si="29"/>
        <v>55</v>
      </c>
      <c r="N945" s="3" t="str">
        <f>VLOOKUP(Table2[[#This Row],[Tulu/kulu liik2]],Table5[[Tulu/kulu liik]:[Kontode koondnimetus]],4,FALSE)</f>
        <v>Muud tegevuskulud</v>
      </c>
      <c r="O945" s="3" t="str">
        <f>VLOOKUP(Table2[[#This Row],[Tulu/kulu liik2]],Table5[],6,FALSE)</f>
        <v>Majandamiskulud</v>
      </c>
      <c r="P945" s="3" t="str">
        <f>VLOOKUP(Table2[[#This Row],[Tulu/kulu liik2]],Table5[],5,FALSE)</f>
        <v>Põhitegevuse kulu</v>
      </c>
    </row>
    <row r="946" spans="1:16" x14ac:dyDescent="0.25">
      <c r="A946" t="str">
        <f t="shared" si="28"/>
        <v>09</v>
      </c>
      <c r="B946" t="s">
        <v>343</v>
      </c>
      <c r="C946" s="3" t="str">
        <f>VLOOKUP(Table2[[#This Row],[Tegevusala]],Table4[],2,FALSE)</f>
        <v xml:space="preserve"> Tudu kool</v>
      </c>
      <c r="D946" s="3" t="str">
        <f>VLOOKUP(Table2[[#This Row],[Tegevusala]],Table4[[Tegevusala kood]:[Tegevusala alanimetus]],4,FALSE)</f>
        <v>Põhihariduse otsekulud</v>
      </c>
      <c r="E946" s="3" t="str">
        <f>VLOOKUP(Table2[[#This Row],[Tegevusala nimetus2]],Table4[[Tegevusala nimetus]:[Tegevusala koondnimetus]],2,FALSE)</f>
        <v>Haridus</v>
      </c>
      <c r="F946" s="14" t="s">
        <v>1726</v>
      </c>
      <c r="G946" t="s">
        <v>1777</v>
      </c>
      <c r="H946" s="40">
        <v>200</v>
      </c>
      <c r="J946">
        <v>5525</v>
      </c>
      <c r="K946" s="3" t="str">
        <f>VLOOKUP(Table2[[#This Row],[Konto]],Table5[[Konto]:[Konto nimetus]],2,FALSE)</f>
        <v>Kommunikatsiooni-, kultuuri- ja vaba aja sisustamise kulud</v>
      </c>
      <c r="L946">
        <v>55</v>
      </c>
      <c r="M946" t="str">
        <f t="shared" si="29"/>
        <v>55</v>
      </c>
      <c r="N946" s="3" t="str">
        <f>VLOOKUP(Table2[[#This Row],[Tulu/kulu liik2]],Table5[[Tulu/kulu liik]:[Kontode koondnimetus]],4,FALSE)</f>
        <v>Muud tegevuskulud</v>
      </c>
      <c r="O946" s="3" t="str">
        <f>VLOOKUP(Table2[[#This Row],[Tulu/kulu liik2]],Table5[],6,FALSE)</f>
        <v>Majandamiskulud</v>
      </c>
      <c r="P946" s="3" t="str">
        <f>VLOOKUP(Table2[[#This Row],[Tulu/kulu liik2]],Table5[],5,FALSE)</f>
        <v>Põhitegevuse kulu</v>
      </c>
    </row>
    <row r="947" spans="1:16" x14ac:dyDescent="0.25">
      <c r="A947" t="str">
        <f t="shared" si="28"/>
        <v>09</v>
      </c>
      <c r="B947" t="s">
        <v>343</v>
      </c>
      <c r="C947" s="3" t="str">
        <f>VLOOKUP(Table2[[#This Row],[Tegevusala]],Table4[],2,FALSE)</f>
        <v xml:space="preserve"> Tudu kool</v>
      </c>
      <c r="D947" s="3" t="str">
        <f>VLOOKUP(Table2[[#This Row],[Tegevusala]],Table4[[Tegevusala kood]:[Tegevusala alanimetus]],4,FALSE)</f>
        <v>Põhihariduse otsekulud</v>
      </c>
      <c r="E947" s="3" t="str">
        <f>VLOOKUP(Table2[[#This Row],[Tegevusala nimetus2]],Table4[[Tegevusala nimetus]:[Tegevusala koondnimetus]],2,FALSE)</f>
        <v>Haridus</v>
      </c>
      <c r="F947" s="14" t="s">
        <v>1726</v>
      </c>
      <c r="G947" t="s">
        <v>177</v>
      </c>
      <c r="H947" s="40">
        <v>6500</v>
      </c>
      <c r="J947">
        <v>5511</v>
      </c>
      <c r="K947" s="3" t="str">
        <f>VLOOKUP(Table2[[#This Row],[Konto]],Table5[[Konto]:[Konto nimetus]],2,FALSE)</f>
        <v>Kinnistute, hoonete ja ruumide majandamiskulud</v>
      </c>
      <c r="L947">
        <v>55</v>
      </c>
      <c r="M947" t="str">
        <f t="shared" si="29"/>
        <v>55</v>
      </c>
      <c r="N947" s="3" t="str">
        <f>VLOOKUP(Table2[[#This Row],[Tulu/kulu liik2]],Table5[[Tulu/kulu liik]:[Kontode koondnimetus]],4,FALSE)</f>
        <v>Muud tegevuskulud</v>
      </c>
      <c r="O947" s="3" t="str">
        <f>VLOOKUP(Table2[[#This Row],[Tulu/kulu liik2]],Table5[],6,FALSE)</f>
        <v>Majandamiskulud</v>
      </c>
      <c r="P947" s="3" t="str">
        <f>VLOOKUP(Table2[[#This Row],[Tulu/kulu liik2]],Table5[],5,FALSE)</f>
        <v>Põhitegevuse kulu</v>
      </c>
    </row>
    <row r="948" spans="1:16" x14ac:dyDescent="0.25">
      <c r="A948" t="str">
        <f t="shared" si="28"/>
        <v>09</v>
      </c>
      <c r="B948" t="s">
        <v>343</v>
      </c>
      <c r="C948" s="3" t="str">
        <f>VLOOKUP(Table2[[#This Row],[Tegevusala]],Table4[],2,FALSE)</f>
        <v xml:space="preserve"> Tudu kool</v>
      </c>
      <c r="D948" s="3" t="str">
        <f>VLOOKUP(Table2[[#This Row],[Tegevusala]],Table4[[Tegevusala kood]:[Tegevusala alanimetus]],4,FALSE)</f>
        <v>Põhihariduse otsekulud</v>
      </c>
      <c r="E948" s="3" t="str">
        <f>VLOOKUP(Table2[[#This Row],[Tegevusala nimetus2]],Table4[[Tegevusala nimetus]:[Tegevusala koondnimetus]],2,FALSE)</f>
        <v>Haridus</v>
      </c>
      <c r="F948" s="14" t="s">
        <v>1726</v>
      </c>
      <c r="G948" t="s">
        <v>178</v>
      </c>
      <c r="H948" s="40">
        <v>2700</v>
      </c>
      <c r="J948">
        <v>5511</v>
      </c>
      <c r="K948" s="3" t="str">
        <f>VLOOKUP(Table2[[#This Row],[Konto]],Table5[[Konto]:[Konto nimetus]],2,FALSE)</f>
        <v>Kinnistute, hoonete ja ruumide majandamiskulud</v>
      </c>
      <c r="L948">
        <v>55</v>
      </c>
      <c r="M948" t="str">
        <f t="shared" si="29"/>
        <v>55</v>
      </c>
      <c r="N948" s="3" t="str">
        <f>VLOOKUP(Table2[[#This Row],[Tulu/kulu liik2]],Table5[[Tulu/kulu liik]:[Kontode koondnimetus]],4,FALSE)</f>
        <v>Muud tegevuskulud</v>
      </c>
      <c r="O948" s="3" t="str">
        <f>VLOOKUP(Table2[[#This Row],[Tulu/kulu liik2]],Table5[],6,FALSE)</f>
        <v>Majandamiskulud</v>
      </c>
      <c r="P948" s="3" t="str">
        <f>VLOOKUP(Table2[[#This Row],[Tulu/kulu liik2]],Table5[],5,FALSE)</f>
        <v>Põhitegevuse kulu</v>
      </c>
    </row>
    <row r="949" spans="1:16" x14ac:dyDescent="0.25">
      <c r="A949" t="str">
        <f t="shared" si="28"/>
        <v>09</v>
      </c>
      <c r="B949" t="s">
        <v>343</v>
      </c>
      <c r="C949" s="3" t="str">
        <f>VLOOKUP(Table2[[#This Row],[Tegevusala]],Table4[],2,FALSE)</f>
        <v xml:space="preserve"> Tudu kool</v>
      </c>
      <c r="D949" s="3" t="str">
        <f>VLOOKUP(Table2[[#This Row],[Tegevusala]],Table4[[Tegevusala kood]:[Tegevusala alanimetus]],4,FALSE)</f>
        <v>Põhihariduse otsekulud</v>
      </c>
      <c r="E949" s="3" t="str">
        <f>VLOOKUP(Table2[[#This Row],[Tegevusala nimetus2]],Table4[[Tegevusala nimetus]:[Tegevusala koondnimetus]],2,FALSE)</f>
        <v>Haridus</v>
      </c>
      <c r="F949" s="14" t="s">
        <v>1726</v>
      </c>
      <c r="G949" t="s">
        <v>194</v>
      </c>
      <c r="H949" s="40">
        <v>300</v>
      </c>
      <c r="J949">
        <v>5511</v>
      </c>
      <c r="K949" s="3" t="str">
        <f>VLOOKUP(Table2[[#This Row],[Konto]],Table5[[Konto]:[Konto nimetus]],2,FALSE)</f>
        <v>Kinnistute, hoonete ja ruumide majandamiskulud</v>
      </c>
      <c r="L949">
        <v>55</v>
      </c>
      <c r="M949" t="str">
        <f t="shared" si="29"/>
        <v>55</v>
      </c>
      <c r="N949" s="3" t="str">
        <f>VLOOKUP(Table2[[#This Row],[Tulu/kulu liik2]],Table5[[Tulu/kulu liik]:[Kontode koondnimetus]],4,FALSE)</f>
        <v>Muud tegevuskulud</v>
      </c>
      <c r="O949" s="3" t="str">
        <f>VLOOKUP(Table2[[#This Row],[Tulu/kulu liik2]],Table5[],6,FALSE)</f>
        <v>Majandamiskulud</v>
      </c>
      <c r="P949" s="3" t="str">
        <f>VLOOKUP(Table2[[#This Row],[Tulu/kulu liik2]],Table5[],5,FALSE)</f>
        <v>Põhitegevuse kulu</v>
      </c>
    </row>
    <row r="950" spans="1:16" x14ac:dyDescent="0.25">
      <c r="A950" t="str">
        <f t="shared" si="28"/>
        <v>09</v>
      </c>
      <c r="B950" t="s">
        <v>343</v>
      </c>
      <c r="C950" s="3" t="str">
        <f>VLOOKUP(Table2[[#This Row],[Tegevusala]],Table4[],2,FALSE)</f>
        <v xml:space="preserve"> Tudu kool</v>
      </c>
      <c r="D950" s="3" t="str">
        <f>VLOOKUP(Table2[[#This Row],[Tegevusala]],Table4[[Tegevusala kood]:[Tegevusala alanimetus]],4,FALSE)</f>
        <v>Põhihariduse otsekulud</v>
      </c>
      <c r="E950" s="3" t="str">
        <f>VLOOKUP(Table2[[#This Row],[Tegevusala nimetus2]],Table4[[Tegevusala nimetus]:[Tegevusala koondnimetus]],2,FALSE)</f>
        <v>Haridus</v>
      </c>
      <c r="F950" s="14" t="s">
        <v>1726</v>
      </c>
      <c r="G950" t="s">
        <v>1742</v>
      </c>
      <c r="H950" s="40">
        <v>500</v>
      </c>
      <c r="J950">
        <v>5511</v>
      </c>
      <c r="K950" s="3" t="str">
        <f>VLOOKUP(Table2[[#This Row],[Konto]],Table5[[Konto]:[Konto nimetus]],2,FALSE)</f>
        <v>Kinnistute, hoonete ja ruumide majandamiskulud</v>
      </c>
      <c r="L950">
        <v>55</v>
      </c>
      <c r="M950" t="str">
        <f t="shared" si="29"/>
        <v>55</v>
      </c>
      <c r="N950" s="3" t="str">
        <f>VLOOKUP(Table2[[#This Row],[Tulu/kulu liik2]],Table5[[Tulu/kulu liik]:[Kontode koondnimetus]],4,FALSE)</f>
        <v>Muud tegevuskulud</v>
      </c>
      <c r="O950" s="3" t="str">
        <f>VLOOKUP(Table2[[#This Row],[Tulu/kulu liik2]],Table5[],6,FALSE)</f>
        <v>Majandamiskulud</v>
      </c>
      <c r="P950" s="3" t="str">
        <f>VLOOKUP(Table2[[#This Row],[Tulu/kulu liik2]],Table5[],5,FALSE)</f>
        <v>Põhitegevuse kulu</v>
      </c>
    </row>
    <row r="951" spans="1:16" x14ac:dyDescent="0.25">
      <c r="A951" t="str">
        <f t="shared" si="28"/>
        <v>09</v>
      </c>
      <c r="B951" t="s">
        <v>343</v>
      </c>
      <c r="C951" s="3" t="str">
        <f>VLOOKUP(Table2[[#This Row],[Tegevusala]],Table4[],2,FALSE)</f>
        <v xml:space="preserve"> Tudu kool</v>
      </c>
      <c r="D951" s="3" t="str">
        <f>VLOOKUP(Table2[[#This Row],[Tegevusala]],Table4[[Tegevusala kood]:[Tegevusala alanimetus]],4,FALSE)</f>
        <v>Põhihariduse otsekulud</v>
      </c>
      <c r="E951" s="3" t="str">
        <f>VLOOKUP(Table2[[#This Row],[Tegevusala nimetus2]],Table4[[Tegevusala nimetus]:[Tegevusala koondnimetus]],2,FALSE)</f>
        <v>Haridus</v>
      </c>
      <c r="F951" s="14" t="s">
        <v>1726</v>
      </c>
      <c r="G951" t="s">
        <v>180</v>
      </c>
      <c r="H951" s="40">
        <v>400</v>
      </c>
      <c r="J951">
        <v>5511</v>
      </c>
      <c r="K951" s="3" t="str">
        <f>VLOOKUP(Table2[[#This Row],[Konto]],Table5[[Konto]:[Konto nimetus]],2,FALSE)</f>
        <v>Kinnistute, hoonete ja ruumide majandamiskulud</v>
      </c>
      <c r="L951">
        <v>55</v>
      </c>
      <c r="M951" t="str">
        <f t="shared" si="29"/>
        <v>55</v>
      </c>
      <c r="N951" s="3" t="str">
        <f>VLOOKUP(Table2[[#This Row],[Tulu/kulu liik2]],Table5[[Tulu/kulu liik]:[Kontode koondnimetus]],4,FALSE)</f>
        <v>Muud tegevuskulud</v>
      </c>
      <c r="O951" s="3" t="str">
        <f>VLOOKUP(Table2[[#This Row],[Tulu/kulu liik2]],Table5[],6,FALSE)</f>
        <v>Majandamiskulud</v>
      </c>
      <c r="P951" s="3" t="str">
        <f>VLOOKUP(Table2[[#This Row],[Tulu/kulu liik2]],Table5[],5,FALSE)</f>
        <v>Põhitegevuse kulu</v>
      </c>
    </row>
    <row r="952" spans="1:16" x14ac:dyDescent="0.25">
      <c r="A952" t="str">
        <f t="shared" si="28"/>
        <v>09</v>
      </c>
      <c r="B952" t="s">
        <v>343</v>
      </c>
      <c r="C952" s="3" t="str">
        <f>VLOOKUP(Table2[[#This Row],[Tegevusala]],Table4[],2,FALSE)</f>
        <v xml:space="preserve"> Tudu kool</v>
      </c>
      <c r="D952" s="3" t="str">
        <f>VLOOKUP(Table2[[#This Row],[Tegevusala]],Table4[[Tegevusala kood]:[Tegevusala alanimetus]],4,FALSE)</f>
        <v>Põhihariduse otsekulud</v>
      </c>
      <c r="E952" s="3" t="str">
        <f>VLOOKUP(Table2[[#This Row],[Tegevusala nimetus2]],Table4[[Tegevusala nimetus]:[Tegevusala koondnimetus]],2,FALSE)</f>
        <v>Haridus</v>
      </c>
      <c r="F952" s="14" t="s">
        <v>1726</v>
      </c>
      <c r="G952" t="s">
        <v>1743</v>
      </c>
      <c r="H952" s="40">
        <v>600</v>
      </c>
      <c r="J952">
        <v>5511</v>
      </c>
      <c r="K952" s="3" t="str">
        <f>VLOOKUP(Table2[[#This Row],[Konto]],Table5[[Konto]:[Konto nimetus]],2,FALSE)</f>
        <v>Kinnistute, hoonete ja ruumide majandamiskulud</v>
      </c>
      <c r="L952">
        <v>55</v>
      </c>
      <c r="M952" t="str">
        <f t="shared" si="29"/>
        <v>55</v>
      </c>
      <c r="N952" s="3" t="str">
        <f>VLOOKUP(Table2[[#This Row],[Tulu/kulu liik2]],Table5[[Tulu/kulu liik]:[Kontode koondnimetus]],4,FALSE)</f>
        <v>Muud tegevuskulud</v>
      </c>
      <c r="O952" s="3" t="str">
        <f>VLOOKUP(Table2[[#This Row],[Tulu/kulu liik2]],Table5[],6,FALSE)</f>
        <v>Majandamiskulud</v>
      </c>
      <c r="P952" s="3" t="str">
        <f>VLOOKUP(Table2[[#This Row],[Tulu/kulu liik2]],Table5[],5,FALSE)</f>
        <v>Põhitegevuse kulu</v>
      </c>
    </row>
    <row r="953" spans="1:16" x14ac:dyDescent="0.25">
      <c r="A953" t="str">
        <f t="shared" si="28"/>
        <v>09</v>
      </c>
      <c r="B953" t="s">
        <v>343</v>
      </c>
      <c r="C953" s="3" t="str">
        <f>VLOOKUP(Table2[[#This Row],[Tegevusala]],Table4[],2,FALSE)</f>
        <v xml:space="preserve"> Tudu kool</v>
      </c>
      <c r="D953" s="3" t="str">
        <f>VLOOKUP(Table2[[#This Row],[Tegevusala]],Table4[[Tegevusala kood]:[Tegevusala alanimetus]],4,FALSE)</f>
        <v>Põhihariduse otsekulud</v>
      </c>
      <c r="E953" s="3" t="str">
        <f>VLOOKUP(Table2[[#This Row],[Tegevusala nimetus2]],Table4[[Tegevusala nimetus]:[Tegevusala koondnimetus]],2,FALSE)</f>
        <v>Haridus</v>
      </c>
      <c r="F953" s="14" t="s">
        <v>1726</v>
      </c>
      <c r="G953" t="s">
        <v>1744</v>
      </c>
      <c r="H953" s="40">
        <v>200</v>
      </c>
      <c r="J953">
        <v>5511</v>
      </c>
      <c r="K953" s="3" t="str">
        <f>VLOOKUP(Table2[[#This Row],[Konto]],Table5[[Konto]:[Konto nimetus]],2,FALSE)</f>
        <v>Kinnistute, hoonete ja ruumide majandamiskulud</v>
      </c>
      <c r="L953">
        <v>55</v>
      </c>
      <c r="M953" t="str">
        <f t="shared" si="29"/>
        <v>55</v>
      </c>
      <c r="N953" s="3" t="str">
        <f>VLOOKUP(Table2[[#This Row],[Tulu/kulu liik2]],Table5[[Tulu/kulu liik]:[Kontode koondnimetus]],4,FALSE)</f>
        <v>Muud tegevuskulud</v>
      </c>
      <c r="O953" s="3" t="str">
        <f>VLOOKUP(Table2[[#This Row],[Tulu/kulu liik2]],Table5[],6,FALSE)</f>
        <v>Majandamiskulud</v>
      </c>
      <c r="P953" s="3" t="str">
        <f>VLOOKUP(Table2[[#This Row],[Tulu/kulu liik2]],Table5[],5,FALSE)</f>
        <v>Põhitegevuse kulu</v>
      </c>
    </row>
    <row r="954" spans="1:16" x14ac:dyDescent="0.25">
      <c r="A954" t="str">
        <f t="shared" si="28"/>
        <v>09</v>
      </c>
      <c r="B954" t="s">
        <v>343</v>
      </c>
      <c r="C954" s="3" t="str">
        <f>VLOOKUP(Table2[[#This Row],[Tegevusala]],Table4[],2,FALSE)</f>
        <v xml:space="preserve"> Tudu kool</v>
      </c>
      <c r="D954" s="3" t="str">
        <f>VLOOKUP(Table2[[#This Row],[Tegevusala]],Table4[[Tegevusala kood]:[Tegevusala alanimetus]],4,FALSE)</f>
        <v>Põhihariduse otsekulud</v>
      </c>
      <c r="E954" s="3" t="str">
        <f>VLOOKUP(Table2[[#This Row],[Tegevusala nimetus2]],Table4[[Tegevusala nimetus]:[Tegevusala koondnimetus]],2,FALSE)</f>
        <v>Haridus</v>
      </c>
      <c r="F954" s="14" t="s">
        <v>1726</v>
      </c>
      <c r="G954" t="s">
        <v>1610</v>
      </c>
      <c r="H954" s="40">
        <v>80</v>
      </c>
      <c r="J954">
        <v>5511</v>
      </c>
      <c r="K954" s="3" t="str">
        <f>VLOOKUP(Table2[[#This Row],[Konto]],Table5[[Konto]:[Konto nimetus]],2,FALSE)</f>
        <v>Kinnistute, hoonete ja ruumide majandamiskulud</v>
      </c>
      <c r="L954">
        <v>55</v>
      </c>
      <c r="M954" t="str">
        <f t="shared" si="29"/>
        <v>55</v>
      </c>
      <c r="N954" s="3" t="str">
        <f>VLOOKUP(Table2[[#This Row],[Tulu/kulu liik2]],Table5[[Tulu/kulu liik]:[Kontode koondnimetus]],4,FALSE)</f>
        <v>Muud tegevuskulud</v>
      </c>
      <c r="O954" s="3" t="str">
        <f>VLOOKUP(Table2[[#This Row],[Tulu/kulu liik2]],Table5[],6,FALSE)</f>
        <v>Majandamiskulud</v>
      </c>
      <c r="P954" s="3" t="str">
        <f>VLOOKUP(Table2[[#This Row],[Tulu/kulu liik2]],Table5[],5,FALSE)</f>
        <v>Põhitegevuse kulu</v>
      </c>
    </row>
    <row r="955" spans="1:16" x14ac:dyDescent="0.25">
      <c r="A955" t="str">
        <f t="shared" si="28"/>
        <v>09</v>
      </c>
      <c r="B955" t="s">
        <v>343</v>
      </c>
      <c r="C955" s="3" t="str">
        <f>VLOOKUP(Table2[[#This Row],[Tegevusala]],Table4[],2,FALSE)</f>
        <v xml:space="preserve"> Tudu kool</v>
      </c>
      <c r="D955" s="3" t="str">
        <f>VLOOKUP(Table2[[#This Row],[Tegevusala]],Table4[[Tegevusala kood]:[Tegevusala alanimetus]],4,FALSE)</f>
        <v>Põhihariduse otsekulud</v>
      </c>
      <c r="E955" s="3" t="str">
        <f>VLOOKUP(Table2[[#This Row],[Tegevusala nimetus2]],Table4[[Tegevusala nimetus]:[Tegevusala koondnimetus]],2,FALSE)</f>
        <v>Haridus</v>
      </c>
      <c r="F955" s="14" t="s">
        <v>1726</v>
      </c>
      <c r="G955" t="s">
        <v>1745</v>
      </c>
      <c r="H955" s="40">
        <v>1100</v>
      </c>
      <c r="J955">
        <v>5511</v>
      </c>
      <c r="K955" s="3" t="str">
        <f>VLOOKUP(Table2[[#This Row],[Konto]],Table5[[Konto]:[Konto nimetus]],2,FALSE)</f>
        <v>Kinnistute, hoonete ja ruumide majandamiskulud</v>
      </c>
      <c r="L955">
        <v>55</v>
      </c>
      <c r="M955" t="str">
        <f t="shared" si="29"/>
        <v>55</v>
      </c>
      <c r="N955" s="3" t="str">
        <f>VLOOKUP(Table2[[#This Row],[Tulu/kulu liik2]],Table5[[Tulu/kulu liik]:[Kontode koondnimetus]],4,FALSE)</f>
        <v>Muud tegevuskulud</v>
      </c>
      <c r="O955" s="3" t="str">
        <f>VLOOKUP(Table2[[#This Row],[Tulu/kulu liik2]],Table5[],6,FALSE)</f>
        <v>Majandamiskulud</v>
      </c>
      <c r="P955" s="3" t="str">
        <f>VLOOKUP(Table2[[#This Row],[Tulu/kulu liik2]],Table5[],5,FALSE)</f>
        <v>Põhitegevuse kulu</v>
      </c>
    </row>
    <row r="956" spans="1:16" x14ac:dyDescent="0.25">
      <c r="A956" t="str">
        <f t="shared" si="28"/>
        <v>09</v>
      </c>
      <c r="B956" t="s">
        <v>343</v>
      </c>
      <c r="C956" s="3" t="str">
        <f>VLOOKUP(Table2[[#This Row],[Tegevusala]],Table4[],2,FALSE)</f>
        <v xml:space="preserve"> Tudu kool</v>
      </c>
      <c r="D956" s="3" t="str">
        <f>VLOOKUP(Table2[[#This Row],[Tegevusala]],Table4[[Tegevusala kood]:[Tegevusala alanimetus]],4,FALSE)</f>
        <v>Põhihariduse otsekulud</v>
      </c>
      <c r="E956" s="3" t="str">
        <f>VLOOKUP(Table2[[#This Row],[Tegevusala nimetus2]],Table4[[Tegevusala nimetus]:[Tegevusala koondnimetus]],2,FALSE)</f>
        <v>Haridus</v>
      </c>
      <c r="F956" s="14" t="s">
        <v>1726</v>
      </c>
      <c r="G956" t="s">
        <v>1746</v>
      </c>
      <c r="H956" s="40">
        <v>600</v>
      </c>
      <c r="J956">
        <v>5511</v>
      </c>
      <c r="K956" s="3" t="str">
        <f>VLOOKUP(Table2[[#This Row],[Konto]],Table5[[Konto]:[Konto nimetus]],2,FALSE)</f>
        <v>Kinnistute, hoonete ja ruumide majandamiskulud</v>
      </c>
      <c r="L956">
        <v>55</v>
      </c>
      <c r="M956" t="str">
        <f t="shared" si="29"/>
        <v>55</v>
      </c>
      <c r="N956" s="3" t="str">
        <f>VLOOKUP(Table2[[#This Row],[Tulu/kulu liik2]],Table5[[Tulu/kulu liik]:[Kontode koondnimetus]],4,FALSE)</f>
        <v>Muud tegevuskulud</v>
      </c>
      <c r="O956" s="3" t="str">
        <f>VLOOKUP(Table2[[#This Row],[Tulu/kulu liik2]],Table5[],6,FALSE)</f>
        <v>Majandamiskulud</v>
      </c>
      <c r="P956" s="3" t="str">
        <f>VLOOKUP(Table2[[#This Row],[Tulu/kulu liik2]],Table5[],5,FALSE)</f>
        <v>Põhitegevuse kulu</v>
      </c>
    </row>
    <row r="957" spans="1:16" x14ac:dyDescent="0.25">
      <c r="A957" t="str">
        <f t="shared" si="28"/>
        <v>09</v>
      </c>
      <c r="B957" t="s">
        <v>343</v>
      </c>
      <c r="C957" s="3" t="str">
        <f>VLOOKUP(Table2[[#This Row],[Tegevusala]],Table4[],2,FALSE)</f>
        <v xml:space="preserve"> Tudu kool</v>
      </c>
      <c r="D957" s="3" t="str">
        <f>VLOOKUP(Table2[[#This Row],[Tegevusala]],Table4[[Tegevusala kood]:[Tegevusala alanimetus]],4,FALSE)</f>
        <v>Põhihariduse otsekulud</v>
      </c>
      <c r="E957" s="3" t="str">
        <f>VLOOKUP(Table2[[#This Row],[Tegevusala nimetus2]],Table4[[Tegevusala nimetus]:[Tegevusala koondnimetus]],2,FALSE)</f>
        <v>Haridus</v>
      </c>
      <c r="F957" s="14" t="s">
        <v>1726</v>
      </c>
      <c r="G957" t="s">
        <v>1747</v>
      </c>
      <c r="H957" s="40">
        <v>150</v>
      </c>
      <c r="J957">
        <v>5511</v>
      </c>
      <c r="K957" s="3" t="str">
        <f>VLOOKUP(Table2[[#This Row],[Konto]],Table5[[Konto]:[Konto nimetus]],2,FALSE)</f>
        <v>Kinnistute, hoonete ja ruumide majandamiskulud</v>
      </c>
      <c r="L957">
        <v>55</v>
      </c>
      <c r="M957" t="str">
        <f t="shared" si="29"/>
        <v>55</v>
      </c>
      <c r="N957" s="3" t="str">
        <f>VLOOKUP(Table2[[#This Row],[Tulu/kulu liik2]],Table5[[Tulu/kulu liik]:[Kontode koondnimetus]],4,FALSE)</f>
        <v>Muud tegevuskulud</v>
      </c>
      <c r="O957" s="3" t="str">
        <f>VLOOKUP(Table2[[#This Row],[Tulu/kulu liik2]],Table5[],6,FALSE)</f>
        <v>Majandamiskulud</v>
      </c>
      <c r="P957" s="3" t="str">
        <f>VLOOKUP(Table2[[#This Row],[Tulu/kulu liik2]],Table5[],5,FALSE)</f>
        <v>Põhitegevuse kulu</v>
      </c>
    </row>
    <row r="958" spans="1:16" x14ac:dyDescent="0.25">
      <c r="A958" t="str">
        <f t="shared" si="28"/>
        <v>09</v>
      </c>
      <c r="B958" t="s">
        <v>343</v>
      </c>
      <c r="C958" s="3" t="str">
        <f>VLOOKUP(Table2[[#This Row],[Tegevusala]],Table4[],2,FALSE)</f>
        <v xml:space="preserve"> Tudu kool</v>
      </c>
      <c r="D958" s="3" t="str">
        <f>VLOOKUP(Table2[[#This Row],[Tegevusala]],Table4[[Tegevusala kood]:[Tegevusala alanimetus]],4,FALSE)</f>
        <v>Põhihariduse otsekulud</v>
      </c>
      <c r="E958" s="3" t="str">
        <f>VLOOKUP(Table2[[#This Row],[Tegevusala nimetus2]],Table4[[Tegevusala nimetus]:[Tegevusala koondnimetus]],2,FALSE)</f>
        <v>Haridus</v>
      </c>
      <c r="F958" s="14" t="s">
        <v>1726</v>
      </c>
      <c r="G958" t="s">
        <v>1748</v>
      </c>
      <c r="H958" s="40">
        <v>150</v>
      </c>
      <c r="J958">
        <v>5511</v>
      </c>
      <c r="K958" s="3" t="str">
        <f>VLOOKUP(Table2[[#This Row],[Konto]],Table5[[Konto]:[Konto nimetus]],2,FALSE)</f>
        <v>Kinnistute, hoonete ja ruumide majandamiskulud</v>
      </c>
      <c r="L958">
        <v>55</v>
      </c>
      <c r="M958" t="str">
        <f t="shared" si="29"/>
        <v>55</v>
      </c>
      <c r="N958" s="3" t="str">
        <f>VLOOKUP(Table2[[#This Row],[Tulu/kulu liik2]],Table5[[Tulu/kulu liik]:[Kontode koondnimetus]],4,FALSE)</f>
        <v>Muud tegevuskulud</v>
      </c>
      <c r="O958" s="3" t="str">
        <f>VLOOKUP(Table2[[#This Row],[Tulu/kulu liik2]],Table5[],6,FALSE)</f>
        <v>Majandamiskulud</v>
      </c>
      <c r="P958" s="3" t="str">
        <f>VLOOKUP(Table2[[#This Row],[Tulu/kulu liik2]],Table5[],5,FALSE)</f>
        <v>Põhitegevuse kulu</v>
      </c>
    </row>
    <row r="959" spans="1:16" x14ac:dyDescent="0.25">
      <c r="A959" t="str">
        <f t="shared" si="28"/>
        <v>09</v>
      </c>
      <c r="B959" t="s">
        <v>343</v>
      </c>
      <c r="C959" s="3" t="str">
        <f>VLOOKUP(Table2[[#This Row],[Tegevusala]],Table4[],2,FALSE)</f>
        <v xml:space="preserve"> Tudu kool</v>
      </c>
      <c r="D959" s="3" t="str">
        <f>VLOOKUP(Table2[[#This Row],[Tegevusala]],Table4[[Tegevusala kood]:[Tegevusala alanimetus]],4,FALSE)</f>
        <v>Põhihariduse otsekulud</v>
      </c>
      <c r="E959" s="3" t="str">
        <f>VLOOKUP(Table2[[#This Row],[Tegevusala nimetus2]],Table4[[Tegevusala nimetus]:[Tegevusala koondnimetus]],2,FALSE)</f>
        <v>Haridus</v>
      </c>
      <c r="F959" s="14" t="s">
        <v>1726</v>
      </c>
      <c r="G959" t="s">
        <v>1749</v>
      </c>
      <c r="H959" s="40">
        <v>200</v>
      </c>
      <c r="J959">
        <v>5511</v>
      </c>
      <c r="K959" s="3" t="str">
        <f>VLOOKUP(Table2[[#This Row],[Konto]],Table5[[Konto]:[Konto nimetus]],2,FALSE)</f>
        <v>Kinnistute, hoonete ja ruumide majandamiskulud</v>
      </c>
      <c r="L959">
        <v>55</v>
      </c>
      <c r="M959" t="str">
        <f t="shared" si="29"/>
        <v>55</v>
      </c>
      <c r="N959" s="3" t="str">
        <f>VLOOKUP(Table2[[#This Row],[Tulu/kulu liik2]],Table5[[Tulu/kulu liik]:[Kontode koondnimetus]],4,FALSE)</f>
        <v>Muud tegevuskulud</v>
      </c>
      <c r="O959" s="3" t="str">
        <f>VLOOKUP(Table2[[#This Row],[Tulu/kulu liik2]],Table5[],6,FALSE)</f>
        <v>Majandamiskulud</v>
      </c>
      <c r="P959" s="3" t="str">
        <f>VLOOKUP(Table2[[#This Row],[Tulu/kulu liik2]],Table5[],5,FALSE)</f>
        <v>Põhitegevuse kulu</v>
      </c>
    </row>
    <row r="960" spans="1:16" x14ac:dyDescent="0.25">
      <c r="A960" t="str">
        <f t="shared" si="28"/>
        <v>09</v>
      </c>
      <c r="B960" t="s">
        <v>343</v>
      </c>
      <c r="C960" s="3" t="str">
        <f>VLOOKUP(Table2[[#This Row],[Tegevusala]],Table4[],2,FALSE)</f>
        <v xml:space="preserve"> Tudu kool</v>
      </c>
      <c r="D960" s="3" t="str">
        <f>VLOOKUP(Table2[[#This Row],[Tegevusala]],Table4[[Tegevusala kood]:[Tegevusala alanimetus]],4,FALSE)</f>
        <v>Põhihariduse otsekulud</v>
      </c>
      <c r="E960" s="3" t="str">
        <f>VLOOKUP(Table2[[#This Row],[Tegevusala nimetus2]],Table4[[Tegevusala nimetus]:[Tegevusala koondnimetus]],2,FALSE)</f>
        <v>Haridus</v>
      </c>
      <c r="F960" s="14" t="s">
        <v>1726</v>
      </c>
      <c r="G960" t="s">
        <v>1289</v>
      </c>
      <c r="H960" s="40">
        <v>500</v>
      </c>
      <c r="J960">
        <v>5511</v>
      </c>
      <c r="K960" s="3" t="str">
        <f>VLOOKUP(Table2[[#This Row],[Konto]],Table5[[Konto]:[Konto nimetus]],2,FALSE)</f>
        <v>Kinnistute, hoonete ja ruumide majandamiskulud</v>
      </c>
      <c r="L960">
        <v>55</v>
      </c>
      <c r="M960" t="str">
        <f t="shared" si="29"/>
        <v>55</v>
      </c>
      <c r="N960" s="3" t="str">
        <f>VLOOKUP(Table2[[#This Row],[Tulu/kulu liik2]],Table5[[Tulu/kulu liik]:[Kontode koondnimetus]],4,FALSE)</f>
        <v>Muud tegevuskulud</v>
      </c>
      <c r="O960" s="3" t="str">
        <f>VLOOKUP(Table2[[#This Row],[Tulu/kulu liik2]],Table5[],6,FALSE)</f>
        <v>Majandamiskulud</v>
      </c>
      <c r="P960" s="3" t="str">
        <f>VLOOKUP(Table2[[#This Row],[Tulu/kulu liik2]],Table5[],5,FALSE)</f>
        <v>Põhitegevuse kulu</v>
      </c>
    </row>
    <row r="961" spans="1:16" x14ac:dyDescent="0.25">
      <c r="A961" t="str">
        <f t="shared" si="28"/>
        <v>09</v>
      </c>
      <c r="B961" t="s">
        <v>343</v>
      </c>
      <c r="C961" s="3" t="str">
        <f>VLOOKUP(Table2[[#This Row],[Tegevusala]],Table4[],2,FALSE)</f>
        <v xml:space="preserve"> Tudu kool</v>
      </c>
      <c r="D961" s="3" t="str">
        <f>VLOOKUP(Table2[[#This Row],[Tegevusala]],Table4[[Tegevusala kood]:[Tegevusala alanimetus]],4,FALSE)</f>
        <v>Põhihariduse otsekulud</v>
      </c>
      <c r="E961" s="3" t="str">
        <f>VLOOKUP(Table2[[#This Row],[Tegevusala nimetus2]],Table4[[Tegevusala nimetus]:[Tegevusala koondnimetus]],2,FALSE)</f>
        <v>Haridus</v>
      </c>
      <c r="F961" s="14" t="s">
        <v>1726</v>
      </c>
      <c r="G961" t="s">
        <v>242</v>
      </c>
      <c r="H961" s="40">
        <v>650</v>
      </c>
      <c r="J961">
        <v>5514</v>
      </c>
      <c r="K961" s="3" t="str">
        <f>VLOOKUP(Table2[[#This Row],[Konto]],Table5[[Konto]:[Konto nimetus]],2,FALSE)</f>
        <v>Info- ja kommunikatsioonitehnoliigised kulud</v>
      </c>
      <c r="L961">
        <v>55</v>
      </c>
      <c r="M961" t="str">
        <f t="shared" si="29"/>
        <v>55</v>
      </c>
      <c r="N961" s="3" t="str">
        <f>VLOOKUP(Table2[[#This Row],[Tulu/kulu liik2]],Table5[[Tulu/kulu liik]:[Kontode koondnimetus]],4,FALSE)</f>
        <v>Muud tegevuskulud</v>
      </c>
      <c r="O961" s="3" t="str">
        <f>VLOOKUP(Table2[[#This Row],[Tulu/kulu liik2]],Table5[],6,FALSE)</f>
        <v>Majandamiskulud</v>
      </c>
      <c r="P961" s="3" t="str">
        <f>VLOOKUP(Table2[[#This Row],[Tulu/kulu liik2]],Table5[],5,FALSE)</f>
        <v>Põhitegevuse kulu</v>
      </c>
    </row>
    <row r="962" spans="1:16" x14ac:dyDescent="0.25">
      <c r="A962" t="str">
        <f t="shared" ref="A962:A1025" si="30">LEFT(B962,2)</f>
        <v>09</v>
      </c>
      <c r="B962" t="s">
        <v>343</v>
      </c>
      <c r="C962" s="3" t="str">
        <f>VLOOKUP(Table2[[#This Row],[Tegevusala]],Table4[],2,FALSE)</f>
        <v xml:space="preserve"> Tudu kool</v>
      </c>
      <c r="D962" s="3" t="str">
        <f>VLOOKUP(Table2[[#This Row],[Tegevusala]],Table4[[Tegevusala kood]:[Tegevusala alanimetus]],4,FALSE)</f>
        <v>Põhihariduse otsekulud</v>
      </c>
      <c r="E962" s="3" t="str">
        <f>VLOOKUP(Table2[[#This Row],[Tegevusala nimetus2]],Table4[[Tegevusala nimetus]:[Tegevusala koondnimetus]],2,FALSE)</f>
        <v>Haridus</v>
      </c>
      <c r="F962" s="14" t="s">
        <v>1726</v>
      </c>
      <c r="G962" t="s">
        <v>1753</v>
      </c>
      <c r="H962" s="40">
        <v>150</v>
      </c>
      <c r="J962">
        <v>5514</v>
      </c>
      <c r="K962" s="3" t="str">
        <f>VLOOKUP(Table2[[#This Row],[Konto]],Table5[[Konto]:[Konto nimetus]],2,FALSE)</f>
        <v>Info- ja kommunikatsioonitehnoliigised kulud</v>
      </c>
      <c r="L962">
        <v>55</v>
      </c>
      <c r="M962" t="str">
        <f t="shared" ref="M962:M1025" si="31">LEFT(J962,2)</f>
        <v>55</v>
      </c>
      <c r="N962" s="3" t="str">
        <f>VLOOKUP(Table2[[#This Row],[Tulu/kulu liik2]],Table5[[Tulu/kulu liik]:[Kontode koondnimetus]],4,FALSE)</f>
        <v>Muud tegevuskulud</v>
      </c>
      <c r="O962" s="3" t="str">
        <f>VLOOKUP(Table2[[#This Row],[Tulu/kulu liik2]],Table5[],6,FALSE)</f>
        <v>Majandamiskulud</v>
      </c>
      <c r="P962" s="3" t="str">
        <f>VLOOKUP(Table2[[#This Row],[Tulu/kulu liik2]],Table5[],5,FALSE)</f>
        <v>Põhitegevuse kulu</v>
      </c>
    </row>
    <row r="963" spans="1:16" x14ac:dyDescent="0.25">
      <c r="A963" t="str">
        <f t="shared" si="30"/>
        <v>09</v>
      </c>
      <c r="B963" t="s">
        <v>343</v>
      </c>
      <c r="C963" s="3" t="str">
        <f>VLOOKUP(Table2[[#This Row],[Tegevusala]],Table4[],2,FALSE)</f>
        <v xml:space="preserve"> Tudu kool</v>
      </c>
      <c r="D963" s="3" t="str">
        <f>VLOOKUP(Table2[[#This Row],[Tegevusala]],Table4[[Tegevusala kood]:[Tegevusala alanimetus]],4,FALSE)</f>
        <v>Põhihariduse otsekulud</v>
      </c>
      <c r="E963" s="3" t="str">
        <f>VLOOKUP(Table2[[#This Row],[Tegevusala nimetus2]],Table4[[Tegevusala nimetus]:[Tegevusala koondnimetus]],2,FALSE)</f>
        <v>Haridus</v>
      </c>
      <c r="F963" s="14" t="s">
        <v>1726</v>
      </c>
      <c r="G963" t="s">
        <v>1758</v>
      </c>
      <c r="H963" s="40">
        <v>100</v>
      </c>
      <c r="J963">
        <v>5514</v>
      </c>
      <c r="K963" s="3" t="str">
        <f>VLOOKUP(Table2[[#This Row],[Konto]],Table5[[Konto]:[Konto nimetus]],2,FALSE)</f>
        <v>Info- ja kommunikatsioonitehnoliigised kulud</v>
      </c>
      <c r="L963">
        <v>55</v>
      </c>
      <c r="M963" t="str">
        <f t="shared" si="31"/>
        <v>55</v>
      </c>
      <c r="N963" s="3" t="str">
        <f>VLOOKUP(Table2[[#This Row],[Tulu/kulu liik2]],Table5[[Tulu/kulu liik]:[Kontode koondnimetus]],4,FALSE)</f>
        <v>Muud tegevuskulud</v>
      </c>
      <c r="O963" s="3" t="str">
        <f>VLOOKUP(Table2[[#This Row],[Tulu/kulu liik2]],Table5[],6,FALSE)</f>
        <v>Majandamiskulud</v>
      </c>
      <c r="P963" s="3" t="str">
        <f>VLOOKUP(Table2[[#This Row],[Tulu/kulu liik2]],Table5[],5,FALSE)</f>
        <v>Põhitegevuse kulu</v>
      </c>
    </row>
    <row r="964" spans="1:16" x14ac:dyDescent="0.25">
      <c r="A964" s="102" t="str">
        <f t="shared" si="30"/>
        <v>09</v>
      </c>
      <c r="B964" s="102" t="s">
        <v>343</v>
      </c>
      <c r="C964" s="103" t="str">
        <f>VLOOKUP(Table2[[#This Row],[Tegevusala]],Table4[],2,FALSE)</f>
        <v xml:space="preserve"> Tudu kool</v>
      </c>
      <c r="D964" s="103" t="str">
        <f>VLOOKUP(Table2[[#This Row],[Tegevusala]],Table4[[Tegevusala kood]:[Tegevusala alanimetus]],4,FALSE)</f>
        <v>Põhihariduse otsekulud</v>
      </c>
      <c r="E964" s="103" t="str">
        <f>VLOOKUP(Table2[[#This Row],[Tegevusala nimetus2]],Table4[[Tegevusala nimetus]:[Tegevusala koondnimetus]],2,FALSE)</f>
        <v>Haridus</v>
      </c>
      <c r="F964" s="104" t="s">
        <v>1726</v>
      </c>
      <c r="G964" s="102" t="s">
        <v>2199</v>
      </c>
      <c r="H964" s="105">
        <v>200</v>
      </c>
      <c r="I964" s="106" t="s">
        <v>2203</v>
      </c>
      <c r="J964" s="102">
        <v>5504</v>
      </c>
      <c r="K964" s="103" t="str">
        <f>VLOOKUP(Table2[[#This Row],[Konto]],Table5[[Konto]:[Konto nimetus]],2,FALSE)</f>
        <v>Koolituskulud</v>
      </c>
      <c r="L964" s="102">
        <v>55</v>
      </c>
      <c r="M964" s="102" t="str">
        <f t="shared" si="31"/>
        <v>55</v>
      </c>
      <c r="N964" s="103" t="str">
        <f>VLOOKUP(Table2[[#This Row],[Tulu/kulu liik2]],Table5[[Tulu/kulu liik]:[Kontode koondnimetus]],4,FALSE)</f>
        <v>Muud tegevuskulud</v>
      </c>
      <c r="O964" s="103" t="str">
        <f>VLOOKUP(Table2[[#This Row],[Tulu/kulu liik2]],Table5[],6,FALSE)</f>
        <v>Majandamiskulud</v>
      </c>
      <c r="P964" s="103" t="str">
        <f>VLOOKUP(Table2[[#This Row],[Tulu/kulu liik2]],Table5[],5,FALSE)</f>
        <v>Põhitegevuse kulu</v>
      </c>
    </row>
    <row r="965" spans="1:16" x14ac:dyDescent="0.25">
      <c r="A965" s="102" t="str">
        <f t="shared" si="30"/>
        <v>09</v>
      </c>
      <c r="B965" s="102" t="s">
        <v>343</v>
      </c>
      <c r="C965" s="103" t="str">
        <f>VLOOKUP(Table2[[#This Row],[Tegevusala]],Table4[],2,FALSE)</f>
        <v xml:space="preserve"> Tudu kool</v>
      </c>
      <c r="D965" s="103" t="str">
        <f>VLOOKUP(Table2[[#This Row],[Tegevusala]],Table4[[Tegevusala kood]:[Tegevusala alanimetus]],4,FALSE)</f>
        <v>Põhihariduse otsekulud</v>
      </c>
      <c r="E965" s="103" t="str">
        <f>VLOOKUP(Table2[[#This Row],[Tegevusala nimetus2]],Table4[[Tegevusala nimetus]:[Tegevusala koondnimetus]],2,FALSE)</f>
        <v>Haridus</v>
      </c>
      <c r="F965" s="104" t="s">
        <v>1726</v>
      </c>
      <c r="G965" s="102" t="s">
        <v>2200</v>
      </c>
      <c r="H965" s="105">
        <v>741</v>
      </c>
      <c r="I965" s="106" t="s">
        <v>2203</v>
      </c>
      <c r="J965" s="102">
        <v>5524</v>
      </c>
      <c r="K965" s="103" t="str">
        <f>VLOOKUP(Table2[[#This Row],[Konto]],Table5[[Konto]:[Konto nimetus]],2,FALSE)</f>
        <v>Õppevahendid</v>
      </c>
      <c r="L965" s="102">
        <v>55</v>
      </c>
      <c r="M965" s="102" t="str">
        <f t="shared" si="31"/>
        <v>55</v>
      </c>
      <c r="N965" s="103" t="str">
        <f>VLOOKUP(Table2[[#This Row],[Tulu/kulu liik2]],Table5[[Tulu/kulu liik]:[Kontode koondnimetus]],4,FALSE)</f>
        <v>Muud tegevuskulud</v>
      </c>
      <c r="O965" s="103" t="str">
        <f>VLOOKUP(Table2[[#This Row],[Tulu/kulu liik2]],Table5[],6,FALSE)</f>
        <v>Majandamiskulud</v>
      </c>
      <c r="P965" s="103" t="str">
        <f>VLOOKUP(Table2[[#This Row],[Tulu/kulu liik2]],Table5[],5,FALSE)</f>
        <v>Põhitegevuse kulu</v>
      </c>
    </row>
    <row r="966" spans="1:16" x14ac:dyDescent="0.25">
      <c r="A966" t="str">
        <f t="shared" si="30"/>
        <v>09</v>
      </c>
      <c r="B966" t="s">
        <v>345</v>
      </c>
      <c r="C966" s="3" t="str">
        <f>VLOOKUP(Table2[[#This Row],[Tegevusala]],Table4[],2,FALSE)</f>
        <v xml:space="preserve"> Vinni pajusti Gümnaasium</v>
      </c>
      <c r="D966" s="3" t="str">
        <f>VLOOKUP(Table2[[#This Row],[Tegevusala]],Table4[[Tegevusala kood]:[Tegevusala alanimetus]],4,FALSE)</f>
        <v>Põhihariduse otsekulud</v>
      </c>
      <c r="E966" s="3" t="str">
        <f>VLOOKUP(Table2[[#This Row],[Tegevusala nimetus2]],Table4[[Tegevusala nimetus]:[Tegevusala koondnimetus]],2,FALSE)</f>
        <v>Haridus</v>
      </c>
      <c r="F966" t="s">
        <v>1449</v>
      </c>
      <c r="G966" t="s">
        <v>1464</v>
      </c>
      <c r="H966" s="40">
        <v>5940</v>
      </c>
      <c r="I966" s="2" t="s">
        <v>1470</v>
      </c>
      <c r="J966">
        <v>5500</v>
      </c>
      <c r="K966" s="3" t="str">
        <f>VLOOKUP(Table2[[#This Row],[Konto]],Table5[[Konto]:[Konto nimetus]],2,FALSE)</f>
        <v>Administreerimiskulud</v>
      </c>
      <c r="L966">
        <v>55</v>
      </c>
      <c r="M966" t="str">
        <f t="shared" si="31"/>
        <v>55</v>
      </c>
      <c r="N966" s="3" t="str">
        <f>VLOOKUP(Table2[[#This Row],[Tulu/kulu liik2]],Table5[[Tulu/kulu liik]:[Kontode koondnimetus]],4,FALSE)</f>
        <v>Muud tegevuskulud</v>
      </c>
      <c r="O966" s="3" t="str">
        <f>VLOOKUP(Table2[[#This Row],[Tulu/kulu liik2]],Table5[],6,FALSE)</f>
        <v>Majandamiskulud</v>
      </c>
      <c r="P966" s="3" t="str">
        <f>VLOOKUP(Table2[[#This Row],[Tulu/kulu liik2]],Table5[],5,FALSE)</f>
        <v>Põhitegevuse kulu</v>
      </c>
    </row>
    <row r="967" spans="1:16" x14ac:dyDescent="0.25">
      <c r="A967" t="str">
        <f t="shared" si="30"/>
        <v>09</v>
      </c>
      <c r="B967" t="s">
        <v>345</v>
      </c>
      <c r="C967" s="3" t="str">
        <f>VLOOKUP(Table2[[#This Row],[Tegevusala]],Table4[],2,FALSE)</f>
        <v xml:space="preserve"> Vinni pajusti Gümnaasium</v>
      </c>
      <c r="D967" s="3" t="str">
        <f>VLOOKUP(Table2[[#This Row],[Tegevusala]],Table4[[Tegevusala kood]:[Tegevusala alanimetus]],4,FALSE)</f>
        <v>Põhihariduse otsekulud</v>
      </c>
      <c r="E967" s="3" t="str">
        <f>VLOOKUP(Table2[[#This Row],[Tegevusala nimetus2]],Table4[[Tegevusala nimetus]:[Tegevusala koondnimetus]],2,FALSE)</f>
        <v>Haridus</v>
      </c>
      <c r="F967" t="s">
        <v>1449</v>
      </c>
      <c r="G967" t="s">
        <v>1465</v>
      </c>
      <c r="H967" s="40">
        <v>210</v>
      </c>
      <c r="I967" s="2" t="s">
        <v>1471</v>
      </c>
      <c r="J967">
        <v>5500</v>
      </c>
      <c r="K967" s="3" t="str">
        <f>VLOOKUP(Table2[[#This Row],[Konto]],Table5[[Konto]:[Konto nimetus]],2,FALSE)</f>
        <v>Administreerimiskulud</v>
      </c>
      <c r="L967">
        <v>55</v>
      </c>
      <c r="M967" t="str">
        <f t="shared" si="31"/>
        <v>55</v>
      </c>
      <c r="N967" s="3" t="str">
        <f>VLOOKUP(Table2[[#This Row],[Tulu/kulu liik2]],Table5[[Tulu/kulu liik]:[Kontode koondnimetus]],4,FALSE)</f>
        <v>Muud tegevuskulud</v>
      </c>
      <c r="O967" s="3" t="str">
        <f>VLOOKUP(Table2[[#This Row],[Tulu/kulu liik2]],Table5[],6,FALSE)</f>
        <v>Majandamiskulud</v>
      </c>
      <c r="P967" s="3" t="str">
        <f>VLOOKUP(Table2[[#This Row],[Tulu/kulu liik2]],Table5[],5,FALSE)</f>
        <v>Põhitegevuse kulu</v>
      </c>
    </row>
    <row r="968" spans="1:16" x14ac:dyDescent="0.25">
      <c r="A968" t="str">
        <f t="shared" si="30"/>
        <v>09</v>
      </c>
      <c r="B968" t="s">
        <v>345</v>
      </c>
      <c r="C968" s="3" t="str">
        <f>VLOOKUP(Table2[[#This Row],[Tegevusala]],Table4[],2,FALSE)</f>
        <v xml:space="preserve"> Vinni pajusti Gümnaasium</v>
      </c>
      <c r="D968" s="3" t="str">
        <f>VLOOKUP(Table2[[#This Row],[Tegevusala]],Table4[[Tegevusala kood]:[Tegevusala alanimetus]],4,FALSE)</f>
        <v>Põhihariduse otsekulud</v>
      </c>
      <c r="E968" s="3" t="str">
        <f>VLOOKUP(Table2[[#This Row],[Tegevusala nimetus2]],Table4[[Tegevusala nimetus]:[Tegevusala koondnimetus]],2,FALSE)</f>
        <v>Haridus</v>
      </c>
      <c r="F968" t="s">
        <v>1449</v>
      </c>
      <c r="G968" t="s">
        <v>832</v>
      </c>
      <c r="H968" s="40">
        <v>250</v>
      </c>
      <c r="I968" s="2" t="s">
        <v>1472</v>
      </c>
      <c r="J968">
        <v>5500</v>
      </c>
      <c r="K968" s="3" t="str">
        <f>VLOOKUP(Table2[[#This Row],[Konto]],Table5[[Konto]:[Konto nimetus]],2,FALSE)</f>
        <v>Administreerimiskulud</v>
      </c>
      <c r="L968">
        <v>55</v>
      </c>
      <c r="M968" t="str">
        <f t="shared" si="31"/>
        <v>55</v>
      </c>
      <c r="N968" s="3" t="str">
        <f>VLOOKUP(Table2[[#This Row],[Tulu/kulu liik2]],Table5[[Tulu/kulu liik]:[Kontode koondnimetus]],4,FALSE)</f>
        <v>Muud tegevuskulud</v>
      </c>
      <c r="O968" s="3" t="str">
        <f>VLOOKUP(Table2[[#This Row],[Tulu/kulu liik2]],Table5[],6,FALSE)</f>
        <v>Majandamiskulud</v>
      </c>
      <c r="P968" s="3" t="str">
        <f>VLOOKUP(Table2[[#This Row],[Tulu/kulu liik2]],Table5[],5,FALSE)</f>
        <v>Põhitegevuse kulu</v>
      </c>
    </row>
    <row r="969" spans="1:16" x14ac:dyDescent="0.25">
      <c r="A969" t="str">
        <f t="shared" si="30"/>
        <v>09</v>
      </c>
      <c r="B969" t="s">
        <v>345</v>
      </c>
      <c r="C969" s="3" t="str">
        <f>VLOOKUP(Table2[[#This Row],[Tegevusala]],Table4[],2,FALSE)</f>
        <v xml:space="preserve"> Vinni pajusti Gümnaasium</v>
      </c>
      <c r="D969" s="3" t="str">
        <f>VLOOKUP(Table2[[#This Row],[Tegevusala]],Table4[[Tegevusala kood]:[Tegevusala alanimetus]],4,FALSE)</f>
        <v>Põhihariduse otsekulud</v>
      </c>
      <c r="E969" s="3" t="str">
        <f>VLOOKUP(Table2[[#This Row],[Tegevusala nimetus2]],Table4[[Tegevusala nimetus]:[Tegevusala koondnimetus]],2,FALSE)</f>
        <v>Haridus</v>
      </c>
      <c r="F969" t="s">
        <v>1449</v>
      </c>
      <c r="G969" t="s">
        <v>1466</v>
      </c>
      <c r="H969" s="40">
        <v>750</v>
      </c>
      <c r="I969" s="2" t="s">
        <v>1473</v>
      </c>
      <c r="J969">
        <v>5500</v>
      </c>
      <c r="K969" s="3" t="str">
        <f>VLOOKUP(Table2[[#This Row],[Konto]],Table5[[Konto]:[Konto nimetus]],2,FALSE)</f>
        <v>Administreerimiskulud</v>
      </c>
      <c r="L969">
        <v>55</v>
      </c>
      <c r="M969" t="str">
        <f t="shared" si="31"/>
        <v>55</v>
      </c>
      <c r="N969" s="3" t="str">
        <f>VLOOKUP(Table2[[#This Row],[Tulu/kulu liik2]],Table5[[Tulu/kulu liik]:[Kontode koondnimetus]],4,FALSE)</f>
        <v>Muud tegevuskulud</v>
      </c>
      <c r="O969" s="3" t="str">
        <f>VLOOKUP(Table2[[#This Row],[Tulu/kulu liik2]],Table5[],6,FALSE)</f>
        <v>Majandamiskulud</v>
      </c>
      <c r="P969" s="3" t="str">
        <f>VLOOKUP(Table2[[#This Row],[Tulu/kulu liik2]],Table5[],5,FALSE)</f>
        <v>Põhitegevuse kulu</v>
      </c>
    </row>
    <row r="970" spans="1:16" x14ac:dyDescent="0.25">
      <c r="A970" t="str">
        <f t="shared" si="30"/>
        <v>09</v>
      </c>
      <c r="B970" t="s">
        <v>345</v>
      </c>
      <c r="C970" s="3" t="str">
        <f>VLOOKUP(Table2[[#This Row],[Tegevusala]],Table4[],2,FALSE)</f>
        <v xml:space="preserve"> Vinni pajusti Gümnaasium</v>
      </c>
      <c r="D970" s="3" t="str">
        <f>VLOOKUP(Table2[[#This Row],[Tegevusala]],Table4[[Tegevusala kood]:[Tegevusala alanimetus]],4,FALSE)</f>
        <v>Põhihariduse otsekulud</v>
      </c>
      <c r="E970" s="3" t="str">
        <f>VLOOKUP(Table2[[#This Row],[Tegevusala nimetus2]],Table4[[Tegevusala nimetus]:[Tegevusala koondnimetus]],2,FALSE)</f>
        <v>Haridus</v>
      </c>
      <c r="F970" t="s">
        <v>1449</v>
      </c>
      <c r="G970" t="s">
        <v>1467</v>
      </c>
      <c r="H970" s="40">
        <v>350</v>
      </c>
      <c r="I970" s="2" t="s">
        <v>1474</v>
      </c>
      <c r="J970">
        <v>5500</v>
      </c>
      <c r="K970" s="3" t="str">
        <f>VLOOKUP(Table2[[#This Row],[Konto]],Table5[[Konto]:[Konto nimetus]],2,FALSE)</f>
        <v>Administreerimiskulud</v>
      </c>
      <c r="L970">
        <v>55</v>
      </c>
      <c r="M970" t="str">
        <f t="shared" si="31"/>
        <v>55</v>
      </c>
      <c r="N970" s="3" t="str">
        <f>VLOOKUP(Table2[[#This Row],[Tulu/kulu liik2]],Table5[[Tulu/kulu liik]:[Kontode koondnimetus]],4,FALSE)</f>
        <v>Muud tegevuskulud</v>
      </c>
      <c r="O970" s="3" t="str">
        <f>VLOOKUP(Table2[[#This Row],[Tulu/kulu liik2]],Table5[],6,FALSE)</f>
        <v>Majandamiskulud</v>
      </c>
      <c r="P970" s="3" t="str">
        <f>VLOOKUP(Table2[[#This Row],[Tulu/kulu liik2]],Table5[],5,FALSE)</f>
        <v>Põhitegevuse kulu</v>
      </c>
    </row>
    <row r="971" spans="1:16" x14ac:dyDescent="0.25">
      <c r="A971" t="str">
        <f t="shared" si="30"/>
        <v>09</v>
      </c>
      <c r="B971" t="s">
        <v>345</v>
      </c>
      <c r="C971" s="3" t="str">
        <f>VLOOKUP(Table2[[#This Row],[Tegevusala]],Table4[],2,FALSE)</f>
        <v xml:space="preserve"> Vinni pajusti Gümnaasium</v>
      </c>
      <c r="D971" s="3" t="str">
        <f>VLOOKUP(Table2[[#This Row],[Tegevusala]],Table4[[Tegevusala kood]:[Tegevusala alanimetus]],4,FALSE)</f>
        <v>Põhihariduse otsekulud</v>
      </c>
      <c r="E971" s="3" t="str">
        <f>VLOOKUP(Table2[[#This Row],[Tegevusala nimetus2]],Table4[[Tegevusala nimetus]:[Tegevusala koondnimetus]],2,FALSE)</f>
        <v>Haridus</v>
      </c>
      <c r="F971" t="s">
        <v>1449</v>
      </c>
      <c r="G971" t="s">
        <v>171</v>
      </c>
      <c r="H971" s="40">
        <v>1320</v>
      </c>
      <c r="I971" s="2" t="s">
        <v>1475</v>
      </c>
      <c r="J971">
        <v>5500</v>
      </c>
      <c r="K971" s="3" t="str">
        <f>VLOOKUP(Table2[[#This Row],[Konto]],Table5[[Konto]:[Konto nimetus]],2,FALSE)</f>
        <v>Administreerimiskulud</v>
      </c>
      <c r="L971">
        <v>55</v>
      </c>
      <c r="M971" t="str">
        <f t="shared" si="31"/>
        <v>55</v>
      </c>
      <c r="N971" s="3" t="str">
        <f>VLOOKUP(Table2[[#This Row],[Tulu/kulu liik2]],Table5[[Tulu/kulu liik]:[Kontode koondnimetus]],4,FALSE)</f>
        <v>Muud tegevuskulud</v>
      </c>
      <c r="O971" s="3" t="str">
        <f>VLOOKUP(Table2[[#This Row],[Tulu/kulu liik2]],Table5[],6,FALSE)</f>
        <v>Majandamiskulud</v>
      </c>
      <c r="P971" s="3" t="str">
        <f>VLOOKUP(Table2[[#This Row],[Tulu/kulu liik2]],Table5[],5,FALSE)</f>
        <v>Põhitegevuse kulu</v>
      </c>
    </row>
    <row r="972" spans="1:16" x14ac:dyDescent="0.25">
      <c r="A972" t="str">
        <f t="shared" si="30"/>
        <v>09</v>
      </c>
      <c r="B972" t="s">
        <v>345</v>
      </c>
      <c r="C972" s="3" t="str">
        <f>VLOOKUP(Table2[[#This Row],[Tegevusala]],Table4[],2,FALSE)</f>
        <v xml:space="preserve"> Vinni pajusti Gümnaasium</v>
      </c>
      <c r="D972" s="3" t="str">
        <f>VLOOKUP(Table2[[#This Row],[Tegevusala]],Table4[[Tegevusala kood]:[Tegevusala alanimetus]],4,FALSE)</f>
        <v>Põhihariduse otsekulud</v>
      </c>
      <c r="E972" s="3" t="str">
        <f>VLOOKUP(Table2[[#This Row],[Tegevusala nimetus2]],Table4[[Tegevusala nimetus]:[Tegevusala koondnimetus]],2,FALSE)</f>
        <v>Haridus</v>
      </c>
      <c r="F972" t="s">
        <v>1449</v>
      </c>
      <c r="G972" t="s">
        <v>408</v>
      </c>
      <c r="H972" s="40">
        <v>550</v>
      </c>
      <c r="I972" s="2" t="s">
        <v>1476</v>
      </c>
      <c r="J972">
        <v>5500</v>
      </c>
      <c r="K972" s="3" t="str">
        <f>VLOOKUP(Table2[[#This Row],[Konto]],Table5[[Konto]:[Konto nimetus]],2,FALSE)</f>
        <v>Administreerimiskulud</v>
      </c>
      <c r="L972">
        <v>55</v>
      </c>
      <c r="M972" t="str">
        <f t="shared" si="31"/>
        <v>55</v>
      </c>
      <c r="N972" s="3" t="str">
        <f>VLOOKUP(Table2[[#This Row],[Tulu/kulu liik2]],Table5[[Tulu/kulu liik]:[Kontode koondnimetus]],4,FALSE)</f>
        <v>Muud tegevuskulud</v>
      </c>
      <c r="O972" s="3" t="str">
        <f>VLOOKUP(Table2[[#This Row],[Tulu/kulu liik2]],Table5[],6,FALSE)</f>
        <v>Majandamiskulud</v>
      </c>
      <c r="P972" s="3" t="str">
        <f>VLOOKUP(Table2[[#This Row],[Tulu/kulu liik2]],Table5[],5,FALSE)</f>
        <v>Põhitegevuse kulu</v>
      </c>
    </row>
    <row r="973" spans="1:16" x14ac:dyDescent="0.25">
      <c r="A973" t="str">
        <f t="shared" si="30"/>
        <v>09</v>
      </c>
      <c r="B973" t="s">
        <v>345</v>
      </c>
      <c r="C973" s="3" t="str">
        <f>VLOOKUP(Table2[[#This Row],[Tegevusala]],Table4[],2,FALSE)</f>
        <v xml:space="preserve"> Vinni pajusti Gümnaasium</v>
      </c>
      <c r="D973" s="3" t="str">
        <f>VLOOKUP(Table2[[#This Row],[Tegevusala]],Table4[[Tegevusala kood]:[Tegevusala alanimetus]],4,FALSE)</f>
        <v>Põhihariduse otsekulud</v>
      </c>
      <c r="E973" s="3" t="str">
        <f>VLOOKUP(Table2[[#This Row],[Tegevusala nimetus2]],Table4[[Tegevusala nimetus]:[Tegevusala koondnimetus]],2,FALSE)</f>
        <v>Haridus</v>
      </c>
      <c r="F973" t="s">
        <v>1449</v>
      </c>
      <c r="G973" t="s">
        <v>1091</v>
      </c>
      <c r="H973" s="40">
        <v>4000</v>
      </c>
      <c r="I973" s="2" t="s">
        <v>1477</v>
      </c>
      <c r="J973">
        <v>5500</v>
      </c>
      <c r="K973" s="3" t="str">
        <f>VLOOKUP(Table2[[#This Row],[Konto]],Table5[[Konto]:[Konto nimetus]],2,FALSE)</f>
        <v>Administreerimiskulud</v>
      </c>
      <c r="L973">
        <v>55</v>
      </c>
      <c r="M973" t="str">
        <f t="shared" si="31"/>
        <v>55</v>
      </c>
      <c r="N973" s="3" t="str">
        <f>VLOOKUP(Table2[[#This Row],[Tulu/kulu liik2]],Table5[[Tulu/kulu liik]:[Kontode koondnimetus]],4,FALSE)</f>
        <v>Muud tegevuskulud</v>
      </c>
      <c r="O973" s="3" t="str">
        <f>VLOOKUP(Table2[[#This Row],[Tulu/kulu liik2]],Table5[],6,FALSE)</f>
        <v>Majandamiskulud</v>
      </c>
      <c r="P973" s="3" t="str">
        <f>VLOOKUP(Table2[[#This Row],[Tulu/kulu liik2]],Table5[],5,FALSE)</f>
        <v>Põhitegevuse kulu</v>
      </c>
    </row>
    <row r="974" spans="1:16" x14ac:dyDescent="0.25">
      <c r="A974" t="str">
        <f t="shared" si="30"/>
        <v>09</v>
      </c>
      <c r="B974" t="s">
        <v>345</v>
      </c>
      <c r="C974" s="3" t="str">
        <f>VLOOKUP(Table2[[#This Row],[Tegevusala]],Table4[],2,FALSE)</f>
        <v xml:space="preserve"> Vinni pajusti Gümnaasium</v>
      </c>
      <c r="D974" s="3" t="str">
        <f>VLOOKUP(Table2[[#This Row],[Tegevusala]],Table4[[Tegevusala kood]:[Tegevusala alanimetus]],4,FALSE)</f>
        <v>Põhihariduse otsekulud</v>
      </c>
      <c r="E974" s="3" t="str">
        <f>VLOOKUP(Table2[[#This Row],[Tegevusala nimetus2]],Table4[[Tegevusala nimetus]:[Tegevusala koondnimetus]],2,FALSE)</f>
        <v>Haridus</v>
      </c>
      <c r="F974" t="s">
        <v>1449</v>
      </c>
      <c r="G974" t="s">
        <v>1468</v>
      </c>
      <c r="H974" s="40">
        <v>960</v>
      </c>
      <c r="I974" s="2" t="s">
        <v>1478</v>
      </c>
      <c r="J974">
        <v>5500</v>
      </c>
      <c r="K974" s="3" t="str">
        <f>VLOOKUP(Table2[[#This Row],[Konto]],Table5[[Konto]:[Konto nimetus]],2,FALSE)</f>
        <v>Administreerimiskulud</v>
      </c>
      <c r="L974">
        <v>55</v>
      </c>
      <c r="M974" t="str">
        <f t="shared" si="31"/>
        <v>55</v>
      </c>
      <c r="N974" s="3" t="str">
        <f>VLOOKUP(Table2[[#This Row],[Tulu/kulu liik2]],Table5[[Tulu/kulu liik]:[Kontode koondnimetus]],4,FALSE)</f>
        <v>Muud tegevuskulud</v>
      </c>
      <c r="O974" s="3" t="str">
        <f>VLOOKUP(Table2[[#This Row],[Tulu/kulu liik2]],Table5[],6,FALSE)</f>
        <v>Majandamiskulud</v>
      </c>
      <c r="P974" s="3" t="str">
        <f>VLOOKUP(Table2[[#This Row],[Tulu/kulu liik2]],Table5[],5,FALSE)</f>
        <v>Põhitegevuse kulu</v>
      </c>
    </row>
    <row r="975" spans="1:16" x14ac:dyDescent="0.25">
      <c r="A975" t="str">
        <f t="shared" si="30"/>
        <v>09</v>
      </c>
      <c r="B975" t="s">
        <v>345</v>
      </c>
      <c r="C975" s="3" t="str">
        <f>VLOOKUP(Table2[[#This Row],[Tegevusala]],Table4[],2,FALSE)</f>
        <v xml:space="preserve"> Vinni pajusti Gümnaasium</v>
      </c>
      <c r="D975" s="3" t="str">
        <f>VLOOKUP(Table2[[#This Row],[Tegevusala]],Table4[[Tegevusala kood]:[Tegevusala alanimetus]],4,FALSE)</f>
        <v>Põhihariduse otsekulud</v>
      </c>
      <c r="E975" s="3" t="str">
        <f>VLOOKUP(Table2[[#This Row],[Tegevusala nimetus2]],Table4[[Tegevusala nimetus]:[Tegevusala koondnimetus]],2,FALSE)</f>
        <v>Haridus</v>
      </c>
      <c r="F975" t="s">
        <v>1449</v>
      </c>
      <c r="G975" t="s">
        <v>1469</v>
      </c>
      <c r="H975" s="40">
        <v>150</v>
      </c>
      <c r="I975" s="2" t="s">
        <v>1479</v>
      </c>
      <c r="J975">
        <v>5500</v>
      </c>
      <c r="K975" s="3" t="str">
        <f>VLOOKUP(Table2[[#This Row],[Konto]],Table5[[Konto]:[Konto nimetus]],2,FALSE)</f>
        <v>Administreerimiskulud</v>
      </c>
      <c r="L975">
        <v>55</v>
      </c>
      <c r="M975" t="str">
        <f t="shared" si="31"/>
        <v>55</v>
      </c>
      <c r="N975" s="3" t="str">
        <f>VLOOKUP(Table2[[#This Row],[Tulu/kulu liik2]],Table5[[Tulu/kulu liik]:[Kontode koondnimetus]],4,FALSE)</f>
        <v>Muud tegevuskulud</v>
      </c>
      <c r="O975" s="3" t="str">
        <f>VLOOKUP(Table2[[#This Row],[Tulu/kulu liik2]],Table5[],6,FALSE)</f>
        <v>Majandamiskulud</v>
      </c>
      <c r="P975" s="3" t="str">
        <f>VLOOKUP(Table2[[#This Row],[Tulu/kulu liik2]],Table5[],5,FALSE)</f>
        <v>Põhitegevuse kulu</v>
      </c>
    </row>
    <row r="976" spans="1:16" x14ac:dyDescent="0.25">
      <c r="A976" t="str">
        <f t="shared" si="30"/>
        <v>09</v>
      </c>
      <c r="B976" t="s">
        <v>345</v>
      </c>
      <c r="C976" s="3" t="str">
        <f>VLOOKUP(Table2[[#This Row],[Tegevusala]],Table4[],2,FALSE)</f>
        <v xml:space="preserve"> Vinni pajusti Gümnaasium</v>
      </c>
      <c r="D976" s="3" t="str">
        <f>VLOOKUP(Table2[[#This Row],[Tegevusala]],Table4[[Tegevusala kood]:[Tegevusala alanimetus]],4,FALSE)</f>
        <v>Põhihariduse otsekulud</v>
      </c>
      <c r="E976" s="3" t="str">
        <f>VLOOKUP(Table2[[#This Row],[Tegevusala nimetus2]],Table4[[Tegevusala nimetus]:[Tegevusala koondnimetus]],2,FALSE)</f>
        <v>Haridus</v>
      </c>
      <c r="F976" t="s">
        <v>1449</v>
      </c>
      <c r="G976" t="s">
        <v>176</v>
      </c>
      <c r="H976" s="40">
        <v>800</v>
      </c>
      <c r="I976" s="2" t="s">
        <v>1480</v>
      </c>
      <c r="J976">
        <v>5504</v>
      </c>
      <c r="K976" s="3" t="str">
        <f>VLOOKUP(Table2[[#This Row],[Konto]],Table5[[Konto]:[Konto nimetus]],2,FALSE)</f>
        <v>Koolituskulud</v>
      </c>
      <c r="L976">
        <v>55</v>
      </c>
      <c r="M976" t="str">
        <f t="shared" si="31"/>
        <v>55</v>
      </c>
      <c r="N976" s="3" t="str">
        <f>VLOOKUP(Table2[[#This Row],[Tulu/kulu liik2]],Table5[[Tulu/kulu liik]:[Kontode koondnimetus]],4,FALSE)</f>
        <v>Muud tegevuskulud</v>
      </c>
      <c r="O976" s="3" t="str">
        <f>VLOOKUP(Table2[[#This Row],[Tulu/kulu liik2]],Table5[],6,FALSE)</f>
        <v>Majandamiskulud</v>
      </c>
      <c r="P976" s="3" t="str">
        <f>VLOOKUP(Table2[[#This Row],[Tulu/kulu liik2]],Table5[],5,FALSE)</f>
        <v>Põhitegevuse kulu</v>
      </c>
    </row>
    <row r="977" spans="1:16" x14ac:dyDescent="0.25">
      <c r="A977" t="str">
        <f t="shared" si="30"/>
        <v>09</v>
      </c>
      <c r="B977" t="s">
        <v>345</v>
      </c>
      <c r="C977" s="3" t="str">
        <f>VLOOKUP(Table2[[#This Row],[Tegevusala]],Table4[],2,FALSE)</f>
        <v xml:space="preserve"> Vinni pajusti Gümnaasium</v>
      </c>
      <c r="D977" s="3" t="str">
        <f>VLOOKUP(Table2[[#This Row],[Tegevusala]],Table4[[Tegevusala kood]:[Tegevusala alanimetus]],4,FALSE)</f>
        <v>Põhihariduse otsekulud</v>
      </c>
      <c r="E977" s="3" t="str">
        <f>VLOOKUP(Table2[[#This Row],[Tegevusala nimetus2]],Table4[[Tegevusala nimetus]:[Tegevusala koondnimetus]],2,FALSE)</f>
        <v>Haridus</v>
      </c>
      <c r="F977" t="s">
        <v>1449</v>
      </c>
      <c r="G977" t="s">
        <v>1505</v>
      </c>
      <c r="H977" s="40">
        <v>7000</v>
      </c>
      <c r="I977" s="2" t="s">
        <v>1500</v>
      </c>
      <c r="J977">
        <v>5513</v>
      </c>
      <c r="K977" s="3" t="str">
        <f>VLOOKUP(Table2[[#This Row],[Konto]],Table5[[Konto]:[Konto nimetus]],2,FALSE)</f>
        <v>Sõidukite ülalpidamise kulud</v>
      </c>
      <c r="L977">
        <v>55</v>
      </c>
      <c r="M977" t="str">
        <f t="shared" si="31"/>
        <v>55</v>
      </c>
      <c r="N977" s="3" t="str">
        <f>VLOOKUP(Table2[[#This Row],[Tulu/kulu liik2]],Table5[[Tulu/kulu liik]:[Kontode koondnimetus]],4,FALSE)</f>
        <v>Muud tegevuskulud</v>
      </c>
      <c r="O977" s="3" t="str">
        <f>VLOOKUP(Table2[[#This Row],[Tulu/kulu liik2]],Table5[],6,FALSE)</f>
        <v>Majandamiskulud</v>
      </c>
      <c r="P977" s="3" t="str">
        <f>VLOOKUP(Table2[[#This Row],[Tulu/kulu liik2]],Table5[],5,FALSE)</f>
        <v>Põhitegevuse kulu</v>
      </c>
    </row>
    <row r="978" spans="1:16" x14ac:dyDescent="0.25">
      <c r="A978" t="str">
        <f t="shared" si="30"/>
        <v>09</v>
      </c>
      <c r="B978" t="s">
        <v>345</v>
      </c>
      <c r="C978" s="3" t="str">
        <f>VLOOKUP(Table2[[#This Row],[Tegevusala]],Table4[],2,FALSE)</f>
        <v xml:space="preserve"> Vinni pajusti Gümnaasium</v>
      </c>
      <c r="D978" s="3" t="str">
        <f>VLOOKUP(Table2[[#This Row],[Tegevusala]],Table4[[Tegevusala kood]:[Tegevusala alanimetus]],4,FALSE)</f>
        <v>Põhihariduse otsekulud</v>
      </c>
      <c r="E978" s="3" t="str">
        <f>VLOOKUP(Table2[[#This Row],[Tegevusala nimetus2]],Table4[[Tegevusala nimetus]:[Tegevusala koondnimetus]],2,FALSE)</f>
        <v>Haridus</v>
      </c>
      <c r="F978" t="s">
        <v>1449</v>
      </c>
      <c r="G978" t="s">
        <v>1497</v>
      </c>
      <c r="H978" s="40">
        <v>11000</v>
      </c>
      <c r="I978" s="2" t="s">
        <v>1501</v>
      </c>
      <c r="J978">
        <v>5513</v>
      </c>
      <c r="K978" s="3" t="str">
        <f>VLOOKUP(Table2[[#This Row],[Konto]],Table5[[Konto]:[Konto nimetus]],2,FALSE)</f>
        <v>Sõidukite ülalpidamise kulud</v>
      </c>
      <c r="L978">
        <v>55</v>
      </c>
      <c r="M978" t="str">
        <f t="shared" si="31"/>
        <v>55</v>
      </c>
      <c r="N978" s="3" t="str">
        <f>VLOOKUP(Table2[[#This Row],[Tulu/kulu liik2]],Table5[[Tulu/kulu liik]:[Kontode koondnimetus]],4,FALSE)</f>
        <v>Muud tegevuskulud</v>
      </c>
      <c r="O978" s="3" t="str">
        <f>VLOOKUP(Table2[[#This Row],[Tulu/kulu liik2]],Table5[],6,FALSE)</f>
        <v>Majandamiskulud</v>
      </c>
      <c r="P978" s="3" t="str">
        <f>VLOOKUP(Table2[[#This Row],[Tulu/kulu liik2]],Table5[],5,FALSE)</f>
        <v>Põhitegevuse kulu</v>
      </c>
    </row>
    <row r="979" spans="1:16" x14ac:dyDescent="0.25">
      <c r="A979" t="str">
        <f t="shared" si="30"/>
        <v>09</v>
      </c>
      <c r="B979" t="s">
        <v>345</v>
      </c>
      <c r="C979" s="3" t="str">
        <f>VLOOKUP(Table2[[#This Row],[Tegevusala]],Table4[],2,FALSE)</f>
        <v xml:space="preserve"> Vinni pajusti Gümnaasium</v>
      </c>
      <c r="D979" s="3" t="str">
        <f>VLOOKUP(Table2[[#This Row],[Tegevusala]],Table4[[Tegevusala kood]:[Tegevusala alanimetus]],4,FALSE)</f>
        <v>Põhihariduse otsekulud</v>
      </c>
      <c r="E979" s="3" t="str">
        <f>VLOOKUP(Table2[[#This Row],[Tegevusala nimetus2]],Table4[[Tegevusala nimetus]:[Tegevusala koondnimetus]],2,FALSE)</f>
        <v>Haridus</v>
      </c>
      <c r="F979" t="s">
        <v>1449</v>
      </c>
      <c r="G979" t="s">
        <v>415</v>
      </c>
      <c r="H979" s="40">
        <v>1750</v>
      </c>
      <c r="I979" s="2" t="s">
        <v>1502</v>
      </c>
      <c r="J979">
        <v>5513</v>
      </c>
      <c r="K979" s="3" t="str">
        <f>VLOOKUP(Table2[[#This Row],[Konto]],Table5[[Konto]:[Konto nimetus]],2,FALSE)</f>
        <v>Sõidukite ülalpidamise kulud</v>
      </c>
      <c r="L979">
        <v>55</v>
      </c>
      <c r="M979" t="str">
        <f t="shared" si="31"/>
        <v>55</v>
      </c>
      <c r="N979" s="3" t="str">
        <f>VLOOKUP(Table2[[#This Row],[Tulu/kulu liik2]],Table5[[Tulu/kulu liik]:[Kontode koondnimetus]],4,FALSE)</f>
        <v>Muud tegevuskulud</v>
      </c>
      <c r="O979" s="3" t="str">
        <f>VLOOKUP(Table2[[#This Row],[Tulu/kulu liik2]],Table5[],6,FALSE)</f>
        <v>Majandamiskulud</v>
      </c>
      <c r="P979" s="3" t="str">
        <f>VLOOKUP(Table2[[#This Row],[Tulu/kulu liik2]],Table5[],5,FALSE)</f>
        <v>Põhitegevuse kulu</v>
      </c>
    </row>
    <row r="980" spans="1:16" x14ac:dyDescent="0.25">
      <c r="A980" t="str">
        <f t="shared" si="30"/>
        <v>09</v>
      </c>
      <c r="B980" t="s">
        <v>345</v>
      </c>
      <c r="C980" s="3" t="str">
        <f>VLOOKUP(Table2[[#This Row],[Tegevusala]],Table4[],2,FALSE)</f>
        <v xml:space="preserve"> Vinni pajusti Gümnaasium</v>
      </c>
      <c r="D980" s="3" t="str">
        <f>VLOOKUP(Table2[[#This Row],[Tegevusala]],Table4[[Tegevusala kood]:[Tegevusala alanimetus]],4,FALSE)</f>
        <v>Põhihariduse otsekulud</v>
      </c>
      <c r="E980" s="3" t="str">
        <f>VLOOKUP(Table2[[#This Row],[Tegevusala nimetus2]],Table4[[Tegevusala nimetus]:[Tegevusala koondnimetus]],2,FALSE)</f>
        <v>Haridus</v>
      </c>
      <c r="F980" t="s">
        <v>1449</v>
      </c>
      <c r="G980" t="s">
        <v>1498</v>
      </c>
      <c r="H980" s="40">
        <v>1900</v>
      </c>
      <c r="I980" s="2" t="s">
        <v>1503</v>
      </c>
      <c r="J980">
        <v>5513</v>
      </c>
      <c r="K980" s="3" t="str">
        <f>VLOOKUP(Table2[[#This Row],[Konto]],Table5[[Konto]:[Konto nimetus]],2,FALSE)</f>
        <v>Sõidukite ülalpidamise kulud</v>
      </c>
      <c r="L980">
        <v>55</v>
      </c>
      <c r="M980" t="str">
        <f t="shared" si="31"/>
        <v>55</v>
      </c>
      <c r="N980" s="3" t="str">
        <f>VLOOKUP(Table2[[#This Row],[Tulu/kulu liik2]],Table5[[Tulu/kulu liik]:[Kontode koondnimetus]],4,FALSE)</f>
        <v>Muud tegevuskulud</v>
      </c>
      <c r="O980" s="3" t="str">
        <f>VLOOKUP(Table2[[#This Row],[Tulu/kulu liik2]],Table5[],6,FALSE)</f>
        <v>Majandamiskulud</v>
      </c>
      <c r="P980" s="3" t="str">
        <f>VLOOKUP(Table2[[#This Row],[Tulu/kulu liik2]],Table5[],5,FALSE)</f>
        <v>Põhitegevuse kulu</v>
      </c>
    </row>
    <row r="981" spans="1:16" x14ac:dyDescent="0.25">
      <c r="A981" t="str">
        <f t="shared" si="30"/>
        <v>09</v>
      </c>
      <c r="B981" t="s">
        <v>345</v>
      </c>
      <c r="C981" s="3" t="str">
        <f>VLOOKUP(Table2[[#This Row],[Tegevusala]],Table4[],2,FALSE)</f>
        <v xml:space="preserve"> Vinni pajusti Gümnaasium</v>
      </c>
      <c r="D981" s="3" t="str">
        <f>VLOOKUP(Table2[[#This Row],[Tegevusala]],Table4[[Tegevusala kood]:[Tegevusala alanimetus]],4,FALSE)</f>
        <v>Põhihariduse otsekulud</v>
      </c>
      <c r="E981" s="3" t="str">
        <f>VLOOKUP(Table2[[#This Row],[Tegevusala nimetus2]],Table4[[Tegevusala nimetus]:[Tegevusala koondnimetus]],2,FALSE)</f>
        <v>Haridus</v>
      </c>
      <c r="F981" t="s">
        <v>1449</v>
      </c>
      <c r="G981" t="s">
        <v>1499</v>
      </c>
      <c r="H981" s="40">
        <v>850</v>
      </c>
      <c r="I981" s="2" t="s">
        <v>1504</v>
      </c>
      <c r="J981">
        <v>5513</v>
      </c>
      <c r="K981" s="3" t="str">
        <f>VLOOKUP(Table2[[#This Row],[Konto]],Table5[[Konto]:[Konto nimetus]],2,FALSE)</f>
        <v>Sõidukite ülalpidamise kulud</v>
      </c>
      <c r="L981">
        <v>55</v>
      </c>
      <c r="M981" t="str">
        <f t="shared" si="31"/>
        <v>55</v>
      </c>
      <c r="N981" s="3" t="str">
        <f>VLOOKUP(Table2[[#This Row],[Tulu/kulu liik2]],Table5[[Tulu/kulu liik]:[Kontode koondnimetus]],4,FALSE)</f>
        <v>Muud tegevuskulud</v>
      </c>
      <c r="O981" s="3" t="str">
        <f>VLOOKUP(Table2[[#This Row],[Tulu/kulu liik2]],Table5[],6,FALSE)</f>
        <v>Majandamiskulud</v>
      </c>
      <c r="P981" s="3" t="str">
        <f>VLOOKUP(Table2[[#This Row],[Tulu/kulu liik2]],Table5[],5,FALSE)</f>
        <v>Põhitegevuse kulu</v>
      </c>
    </row>
    <row r="982" spans="1:16" x14ac:dyDescent="0.25">
      <c r="A982" t="str">
        <f t="shared" si="30"/>
        <v>09</v>
      </c>
      <c r="B982" t="s">
        <v>345</v>
      </c>
      <c r="C982" s="3" t="str">
        <f>VLOOKUP(Table2[[#This Row],[Tegevusala]],Table4[],2,FALSE)</f>
        <v xml:space="preserve"> Vinni pajusti Gümnaasium</v>
      </c>
      <c r="D982" s="3" t="str">
        <f>VLOOKUP(Table2[[#This Row],[Tegevusala]],Table4[[Tegevusala kood]:[Tegevusala alanimetus]],4,FALSE)</f>
        <v>Põhihariduse otsekulud</v>
      </c>
      <c r="E982" s="3" t="str">
        <f>VLOOKUP(Table2[[#This Row],[Tegevusala nimetus2]],Table4[[Tegevusala nimetus]:[Tegevusala koondnimetus]],2,FALSE)</f>
        <v>Haridus</v>
      </c>
      <c r="F982" t="s">
        <v>1449</v>
      </c>
      <c r="G982" t="s">
        <v>1508</v>
      </c>
      <c r="H982" s="40">
        <v>5000</v>
      </c>
      <c r="J982">
        <v>5515</v>
      </c>
      <c r="K982" s="3" t="str">
        <f>VLOOKUP(Table2[[#This Row],[Konto]],Table5[[Konto]:[Konto nimetus]],2,FALSE)</f>
        <v>Inventari kulud, v.a infotehnoloogia ja kaitseotstarbelised kulud</v>
      </c>
      <c r="L982">
        <v>55</v>
      </c>
      <c r="M982" t="str">
        <f t="shared" si="31"/>
        <v>55</v>
      </c>
      <c r="N982" s="3" t="str">
        <f>VLOOKUP(Table2[[#This Row],[Tulu/kulu liik2]],Table5[[Tulu/kulu liik]:[Kontode koondnimetus]],4,FALSE)</f>
        <v>Muud tegevuskulud</v>
      </c>
      <c r="O982" s="3" t="str">
        <f>VLOOKUP(Table2[[#This Row],[Tulu/kulu liik2]],Table5[],6,FALSE)</f>
        <v>Majandamiskulud</v>
      </c>
      <c r="P982" s="3" t="str">
        <f>VLOOKUP(Table2[[#This Row],[Tulu/kulu liik2]],Table5[],5,FALSE)</f>
        <v>Põhitegevuse kulu</v>
      </c>
    </row>
    <row r="983" spans="1:16" x14ac:dyDescent="0.25">
      <c r="A983" t="str">
        <f t="shared" si="30"/>
        <v>09</v>
      </c>
      <c r="B983" t="s">
        <v>345</v>
      </c>
      <c r="C983" s="3" t="str">
        <f>VLOOKUP(Table2[[#This Row],[Tegevusala]],Table4[],2,FALSE)</f>
        <v xml:space="preserve"> Vinni pajusti Gümnaasium</v>
      </c>
      <c r="D983" s="3" t="str">
        <f>VLOOKUP(Table2[[#This Row],[Tegevusala]],Table4[[Tegevusala kood]:[Tegevusala alanimetus]],4,FALSE)</f>
        <v>Põhihariduse otsekulud</v>
      </c>
      <c r="E983" s="3" t="str">
        <f>VLOOKUP(Table2[[#This Row],[Tegevusala nimetus2]],Table4[[Tegevusala nimetus]:[Tegevusala koondnimetus]],2,FALSE)</f>
        <v>Haridus</v>
      </c>
      <c r="F983" t="s">
        <v>1449</v>
      </c>
      <c r="G983" t="s">
        <v>1509</v>
      </c>
      <c r="H983" s="40">
        <v>1500</v>
      </c>
      <c r="I983" s="2" t="s">
        <v>1513</v>
      </c>
      <c r="J983">
        <v>5522</v>
      </c>
      <c r="K983" s="3" t="str">
        <f>VLOOKUP(Table2[[#This Row],[Konto]],Table5[[Konto]:[Konto nimetus]],2,FALSE)</f>
        <v>Meditsiinikulud ja hügieenitarbed</v>
      </c>
      <c r="L983">
        <v>55</v>
      </c>
      <c r="M983" t="str">
        <f t="shared" si="31"/>
        <v>55</v>
      </c>
      <c r="N983" s="3" t="str">
        <f>VLOOKUP(Table2[[#This Row],[Tulu/kulu liik2]],Table5[[Tulu/kulu liik]:[Kontode koondnimetus]],4,FALSE)</f>
        <v>Muud tegevuskulud</v>
      </c>
      <c r="O983" s="3" t="str">
        <f>VLOOKUP(Table2[[#This Row],[Tulu/kulu liik2]],Table5[],6,FALSE)</f>
        <v>Majandamiskulud</v>
      </c>
      <c r="P983" s="3" t="str">
        <f>VLOOKUP(Table2[[#This Row],[Tulu/kulu liik2]],Table5[],5,FALSE)</f>
        <v>Põhitegevuse kulu</v>
      </c>
    </row>
    <row r="984" spans="1:16" x14ac:dyDescent="0.25">
      <c r="A984" t="str">
        <f t="shared" si="30"/>
        <v>09</v>
      </c>
      <c r="B984" t="s">
        <v>345</v>
      </c>
      <c r="C984" s="3" t="str">
        <f>VLOOKUP(Table2[[#This Row],[Tegevusala]],Table4[],2,FALSE)</f>
        <v xml:space="preserve"> Vinni pajusti Gümnaasium</v>
      </c>
      <c r="D984" s="3" t="str">
        <f>VLOOKUP(Table2[[#This Row],[Tegevusala]],Table4[[Tegevusala kood]:[Tegevusala alanimetus]],4,FALSE)</f>
        <v>Põhihariduse otsekulud</v>
      </c>
      <c r="E984" s="3" t="str">
        <f>VLOOKUP(Table2[[#This Row],[Tegevusala nimetus2]],Table4[[Tegevusala nimetus]:[Tegevusala koondnimetus]],2,FALSE)</f>
        <v>Haridus</v>
      </c>
      <c r="F984" t="s">
        <v>1449</v>
      </c>
      <c r="G984" t="s">
        <v>1510</v>
      </c>
      <c r="H984" s="40">
        <v>35000</v>
      </c>
      <c r="J984">
        <v>5524</v>
      </c>
      <c r="K984" s="3" t="str">
        <f>VLOOKUP(Table2[[#This Row],[Konto]],Table5[[Konto]:[Konto nimetus]],2,FALSE)</f>
        <v>Õppevahendid</v>
      </c>
      <c r="L984">
        <v>55</v>
      </c>
      <c r="M984" t="str">
        <f t="shared" si="31"/>
        <v>55</v>
      </c>
      <c r="N984" s="3" t="str">
        <f>VLOOKUP(Table2[[#This Row],[Tulu/kulu liik2]],Table5[[Tulu/kulu liik]:[Kontode koondnimetus]],4,FALSE)</f>
        <v>Muud tegevuskulud</v>
      </c>
      <c r="O984" s="3" t="str">
        <f>VLOOKUP(Table2[[#This Row],[Tulu/kulu liik2]],Table5[],6,FALSE)</f>
        <v>Majandamiskulud</v>
      </c>
      <c r="P984" s="3" t="str">
        <f>VLOOKUP(Table2[[#This Row],[Tulu/kulu liik2]],Table5[],5,FALSE)</f>
        <v>Põhitegevuse kulu</v>
      </c>
    </row>
    <row r="985" spans="1:16" x14ac:dyDescent="0.25">
      <c r="A985" t="str">
        <f t="shared" si="30"/>
        <v>09</v>
      </c>
      <c r="B985" t="s">
        <v>345</v>
      </c>
      <c r="C985" s="3" t="str">
        <f>VLOOKUP(Table2[[#This Row],[Tegevusala]],Table4[],2,FALSE)</f>
        <v xml:space="preserve"> Vinni pajusti Gümnaasium</v>
      </c>
      <c r="D985" s="3" t="str">
        <f>VLOOKUP(Table2[[#This Row],[Tegevusala]],Table4[[Tegevusala kood]:[Tegevusala alanimetus]],4,FALSE)</f>
        <v>Põhihariduse otsekulud</v>
      </c>
      <c r="E985" s="3" t="str">
        <f>VLOOKUP(Table2[[#This Row],[Tegevusala nimetus2]],Table4[[Tegevusala nimetus]:[Tegevusala koondnimetus]],2,FALSE)</f>
        <v>Haridus</v>
      </c>
      <c r="F985" t="s">
        <v>1449</v>
      </c>
      <c r="G985" t="s">
        <v>1511</v>
      </c>
      <c r="H985" s="40">
        <v>1700</v>
      </c>
      <c r="J985">
        <v>5524</v>
      </c>
      <c r="K985" s="3" t="str">
        <f>VLOOKUP(Table2[[#This Row],[Konto]],Table5[[Konto]:[Konto nimetus]],2,FALSE)</f>
        <v>Õppevahendid</v>
      </c>
      <c r="L985">
        <v>55</v>
      </c>
      <c r="M985" t="str">
        <f t="shared" si="31"/>
        <v>55</v>
      </c>
      <c r="N985" s="3" t="str">
        <f>VLOOKUP(Table2[[#This Row],[Tulu/kulu liik2]],Table5[[Tulu/kulu liik]:[Kontode koondnimetus]],4,FALSE)</f>
        <v>Muud tegevuskulud</v>
      </c>
      <c r="O985" s="3" t="str">
        <f>VLOOKUP(Table2[[#This Row],[Tulu/kulu liik2]],Table5[],6,FALSE)</f>
        <v>Majandamiskulud</v>
      </c>
      <c r="P985" s="3" t="str">
        <f>VLOOKUP(Table2[[#This Row],[Tulu/kulu liik2]],Table5[],5,FALSE)</f>
        <v>Põhitegevuse kulu</v>
      </c>
    </row>
    <row r="986" spans="1:16" x14ac:dyDescent="0.25">
      <c r="A986" t="str">
        <f t="shared" si="30"/>
        <v>09</v>
      </c>
      <c r="B986" t="s">
        <v>345</v>
      </c>
      <c r="C986" s="3" t="str">
        <f>VLOOKUP(Table2[[#This Row],[Tegevusala]],Table4[],2,FALSE)</f>
        <v xml:space="preserve"> Vinni pajusti Gümnaasium</v>
      </c>
      <c r="D986" s="3" t="str">
        <f>VLOOKUP(Table2[[#This Row],[Tegevusala]],Table4[[Tegevusala kood]:[Tegevusala alanimetus]],4,FALSE)</f>
        <v>Põhihariduse otsekulud</v>
      </c>
      <c r="E986" s="3" t="str">
        <f>VLOOKUP(Table2[[#This Row],[Tegevusala nimetus2]],Table4[[Tegevusala nimetus]:[Tegevusala koondnimetus]],2,FALSE)</f>
        <v>Haridus</v>
      </c>
      <c r="F986" t="s">
        <v>1449</v>
      </c>
      <c r="G986" t="s">
        <v>1512</v>
      </c>
      <c r="H986" s="40">
        <v>20000</v>
      </c>
      <c r="J986">
        <v>5524</v>
      </c>
      <c r="K986" s="3" t="str">
        <f>VLOOKUP(Table2[[#This Row],[Konto]],Table5[[Konto]:[Konto nimetus]],2,FALSE)</f>
        <v>Õppevahendid</v>
      </c>
      <c r="L986">
        <v>55</v>
      </c>
      <c r="M986" t="str">
        <f t="shared" si="31"/>
        <v>55</v>
      </c>
      <c r="N986" s="3" t="str">
        <f>VLOOKUP(Table2[[#This Row],[Tulu/kulu liik2]],Table5[[Tulu/kulu liik]:[Kontode koondnimetus]],4,FALSE)</f>
        <v>Muud tegevuskulud</v>
      </c>
      <c r="O986" s="3" t="str">
        <f>VLOOKUP(Table2[[#This Row],[Tulu/kulu liik2]],Table5[],6,FALSE)</f>
        <v>Majandamiskulud</v>
      </c>
      <c r="P986" s="3" t="str">
        <f>VLOOKUP(Table2[[#This Row],[Tulu/kulu liik2]],Table5[],5,FALSE)</f>
        <v>Põhitegevuse kulu</v>
      </c>
    </row>
    <row r="987" spans="1:16" x14ac:dyDescent="0.25">
      <c r="A987" t="str">
        <f t="shared" si="30"/>
        <v>09</v>
      </c>
      <c r="B987" t="s">
        <v>345</v>
      </c>
      <c r="C987" s="3" t="str">
        <f>VLOOKUP(Table2[[#This Row],[Tegevusala]],Table4[],2,FALSE)</f>
        <v xml:space="preserve"> Vinni pajusti Gümnaasium</v>
      </c>
      <c r="D987" s="3" t="str">
        <f>VLOOKUP(Table2[[#This Row],[Tegevusala]],Table4[[Tegevusala kood]:[Tegevusala alanimetus]],4,FALSE)</f>
        <v>Põhihariduse otsekulud</v>
      </c>
      <c r="E987" s="3" t="str">
        <f>VLOOKUP(Table2[[#This Row],[Tegevusala nimetus2]],Table4[[Tegevusala nimetus]:[Tegevusala koondnimetus]],2,FALSE)</f>
        <v>Haridus</v>
      </c>
      <c r="F987" t="s">
        <v>1449</v>
      </c>
      <c r="G987" t="s">
        <v>1514</v>
      </c>
      <c r="H987" s="40">
        <v>13000</v>
      </c>
      <c r="J987">
        <v>5525</v>
      </c>
      <c r="K987" s="3" t="str">
        <f>VLOOKUP(Table2[[#This Row],[Konto]],Table5[[Konto]:[Konto nimetus]],2,FALSE)</f>
        <v>Kommunikatsiooni-, kultuuri- ja vaba aja sisustamise kulud</v>
      </c>
      <c r="L987">
        <v>55</v>
      </c>
      <c r="M987" t="str">
        <f t="shared" si="31"/>
        <v>55</v>
      </c>
      <c r="N987" s="3" t="str">
        <f>VLOOKUP(Table2[[#This Row],[Tulu/kulu liik2]],Table5[[Tulu/kulu liik]:[Kontode koondnimetus]],4,FALSE)</f>
        <v>Muud tegevuskulud</v>
      </c>
      <c r="O987" s="3" t="str">
        <f>VLOOKUP(Table2[[#This Row],[Tulu/kulu liik2]],Table5[],6,FALSE)</f>
        <v>Majandamiskulud</v>
      </c>
      <c r="P987" s="3" t="str">
        <f>VLOOKUP(Table2[[#This Row],[Tulu/kulu liik2]],Table5[],5,FALSE)</f>
        <v>Põhitegevuse kulu</v>
      </c>
    </row>
    <row r="988" spans="1:16" x14ac:dyDescent="0.25">
      <c r="A988" t="str">
        <f t="shared" si="30"/>
        <v>09</v>
      </c>
      <c r="B988" t="s">
        <v>345</v>
      </c>
      <c r="C988" s="3" t="str">
        <f>VLOOKUP(Table2[[#This Row],[Tegevusala]],Table4[],2,FALSE)</f>
        <v xml:space="preserve"> Vinni pajusti Gümnaasium</v>
      </c>
      <c r="D988" s="3" t="str">
        <f>VLOOKUP(Table2[[#This Row],[Tegevusala]],Table4[[Tegevusala kood]:[Tegevusala alanimetus]],4,FALSE)</f>
        <v>Põhihariduse otsekulud</v>
      </c>
      <c r="E988" s="3" t="str">
        <f>VLOOKUP(Table2[[#This Row],[Tegevusala nimetus2]],Table4[[Tegevusala nimetus]:[Tegevusala koondnimetus]],2,FALSE)</f>
        <v>Haridus</v>
      </c>
      <c r="F988" t="s">
        <v>1449</v>
      </c>
      <c r="G988" t="s">
        <v>1515</v>
      </c>
      <c r="H988" s="40">
        <v>3500</v>
      </c>
      <c r="J988">
        <v>5525</v>
      </c>
      <c r="K988" s="3" t="str">
        <f>VLOOKUP(Table2[[#This Row],[Konto]],Table5[[Konto]:[Konto nimetus]],2,FALSE)</f>
        <v>Kommunikatsiooni-, kultuuri- ja vaba aja sisustamise kulud</v>
      </c>
      <c r="L988">
        <v>55</v>
      </c>
      <c r="M988" t="str">
        <f t="shared" si="31"/>
        <v>55</v>
      </c>
      <c r="N988" s="3" t="str">
        <f>VLOOKUP(Table2[[#This Row],[Tulu/kulu liik2]],Table5[[Tulu/kulu liik]:[Kontode koondnimetus]],4,FALSE)</f>
        <v>Muud tegevuskulud</v>
      </c>
      <c r="O988" s="3" t="str">
        <f>VLOOKUP(Table2[[#This Row],[Tulu/kulu liik2]],Table5[],6,FALSE)</f>
        <v>Majandamiskulud</v>
      </c>
      <c r="P988" s="3" t="str">
        <f>VLOOKUP(Table2[[#This Row],[Tulu/kulu liik2]],Table5[],5,FALSE)</f>
        <v>Põhitegevuse kulu</v>
      </c>
    </row>
    <row r="989" spans="1:16" x14ac:dyDescent="0.25">
      <c r="A989" t="str">
        <f t="shared" si="30"/>
        <v>09</v>
      </c>
      <c r="B989" t="s">
        <v>345</v>
      </c>
      <c r="C989" s="3" t="str">
        <f>VLOOKUP(Table2[[#This Row],[Tegevusala]],Table4[],2,FALSE)</f>
        <v xml:space="preserve"> Vinni pajusti Gümnaasium</v>
      </c>
      <c r="D989" s="3" t="str">
        <f>VLOOKUP(Table2[[#This Row],[Tegevusala]],Table4[[Tegevusala kood]:[Tegevusala alanimetus]],4,FALSE)</f>
        <v>Põhihariduse otsekulud</v>
      </c>
      <c r="E989" s="3" t="str">
        <f>VLOOKUP(Table2[[#This Row],[Tegevusala nimetus2]],Table4[[Tegevusala nimetus]:[Tegevusala koondnimetus]],2,FALSE)</f>
        <v>Haridus</v>
      </c>
      <c r="F989" t="s">
        <v>1449</v>
      </c>
      <c r="G989" t="s">
        <v>177</v>
      </c>
      <c r="H989" s="40">
        <v>115000</v>
      </c>
      <c r="I989" s="2" t="s">
        <v>1490</v>
      </c>
      <c r="J989">
        <v>5511</v>
      </c>
      <c r="K989" s="3" t="str">
        <f>VLOOKUP(Table2[[#This Row],[Konto]],Table5[[Konto]:[Konto nimetus]],2,FALSE)</f>
        <v>Kinnistute, hoonete ja ruumide majandamiskulud</v>
      </c>
      <c r="L989">
        <v>55</v>
      </c>
      <c r="M989" t="str">
        <f t="shared" si="31"/>
        <v>55</v>
      </c>
      <c r="N989" s="3" t="str">
        <f>VLOOKUP(Table2[[#This Row],[Tulu/kulu liik2]],Table5[[Tulu/kulu liik]:[Kontode koondnimetus]],4,FALSE)</f>
        <v>Muud tegevuskulud</v>
      </c>
      <c r="O989" s="3" t="str">
        <f>VLOOKUP(Table2[[#This Row],[Tulu/kulu liik2]],Table5[],6,FALSE)</f>
        <v>Majandamiskulud</v>
      </c>
      <c r="P989" s="3" t="str">
        <f>VLOOKUP(Table2[[#This Row],[Tulu/kulu liik2]],Table5[],5,FALSE)</f>
        <v>Põhitegevuse kulu</v>
      </c>
    </row>
    <row r="990" spans="1:16" x14ac:dyDescent="0.25">
      <c r="A990" t="str">
        <f t="shared" si="30"/>
        <v>09</v>
      </c>
      <c r="B990" t="s">
        <v>345</v>
      </c>
      <c r="C990" s="3" t="str">
        <f>VLOOKUP(Table2[[#This Row],[Tegevusala]],Table4[],2,FALSE)</f>
        <v xml:space="preserve"> Vinni pajusti Gümnaasium</v>
      </c>
      <c r="D990" s="3" t="str">
        <f>VLOOKUP(Table2[[#This Row],[Tegevusala]],Table4[[Tegevusala kood]:[Tegevusala alanimetus]],4,FALSE)</f>
        <v>Põhihariduse otsekulud</v>
      </c>
      <c r="E990" s="3" t="str">
        <f>VLOOKUP(Table2[[#This Row],[Tegevusala nimetus2]],Table4[[Tegevusala nimetus]:[Tegevusala koondnimetus]],2,FALSE)</f>
        <v>Haridus</v>
      </c>
      <c r="F990" t="s">
        <v>1449</v>
      </c>
      <c r="G990" t="s">
        <v>178</v>
      </c>
      <c r="H990" s="40">
        <v>37894</v>
      </c>
      <c r="I990" s="2" t="s">
        <v>1491</v>
      </c>
      <c r="J990">
        <v>5511</v>
      </c>
      <c r="K990" s="3" t="str">
        <f>VLOOKUP(Table2[[#This Row],[Konto]],Table5[[Konto]:[Konto nimetus]],2,FALSE)</f>
        <v>Kinnistute, hoonete ja ruumide majandamiskulud</v>
      </c>
      <c r="L990">
        <v>55</v>
      </c>
      <c r="M990" t="str">
        <f t="shared" si="31"/>
        <v>55</v>
      </c>
      <c r="N990" s="3" t="str">
        <f>VLOOKUP(Table2[[#This Row],[Tulu/kulu liik2]],Table5[[Tulu/kulu liik]:[Kontode koondnimetus]],4,FALSE)</f>
        <v>Muud tegevuskulud</v>
      </c>
      <c r="O990" s="3" t="str">
        <f>VLOOKUP(Table2[[#This Row],[Tulu/kulu liik2]],Table5[],6,FALSE)</f>
        <v>Majandamiskulud</v>
      </c>
      <c r="P990" s="3" t="str">
        <f>VLOOKUP(Table2[[#This Row],[Tulu/kulu liik2]],Table5[],5,FALSE)</f>
        <v>Põhitegevuse kulu</v>
      </c>
    </row>
    <row r="991" spans="1:16" x14ac:dyDescent="0.25">
      <c r="A991" t="str">
        <f t="shared" si="30"/>
        <v>09</v>
      </c>
      <c r="B991" t="s">
        <v>345</v>
      </c>
      <c r="C991" s="3" t="str">
        <f>VLOOKUP(Table2[[#This Row],[Tegevusala]],Table4[],2,FALSE)</f>
        <v xml:space="preserve"> Vinni pajusti Gümnaasium</v>
      </c>
      <c r="D991" s="3" t="str">
        <f>VLOOKUP(Table2[[#This Row],[Tegevusala]],Table4[[Tegevusala kood]:[Tegevusala alanimetus]],4,FALSE)</f>
        <v>Põhihariduse otsekulud</v>
      </c>
      <c r="E991" s="3" t="str">
        <f>VLOOKUP(Table2[[#This Row],[Tegevusala nimetus2]],Table4[[Tegevusala nimetus]:[Tegevusala koondnimetus]],2,FALSE)</f>
        <v>Haridus</v>
      </c>
      <c r="F991" t="s">
        <v>1449</v>
      </c>
      <c r="G991" t="s">
        <v>1481</v>
      </c>
      <c r="H991" s="40">
        <v>11000</v>
      </c>
      <c r="I991" s="2" t="s">
        <v>1492</v>
      </c>
      <c r="J991">
        <v>5511</v>
      </c>
      <c r="K991" s="3" t="str">
        <f>VLOOKUP(Table2[[#This Row],[Konto]],Table5[[Konto]:[Konto nimetus]],2,FALSE)</f>
        <v>Kinnistute, hoonete ja ruumide majandamiskulud</v>
      </c>
      <c r="L991">
        <v>55</v>
      </c>
      <c r="M991" t="str">
        <f t="shared" si="31"/>
        <v>55</v>
      </c>
      <c r="N991" s="3" t="str">
        <f>VLOOKUP(Table2[[#This Row],[Tulu/kulu liik2]],Table5[[Tulu/kulu liik]:[Kontode koondnimetus]],4,FALSE)</f>
        <v>Muud tegevuskulud</v>
      </c>
      <c r="O991" s="3" t="str">
        <f>VLOOKUP(Table2[[#This Row],[Tulu/kulu liik2]],Table5[],6,FALSE)</f>
        <v>Majandamiskulud</v>
      </c>
      <c r="P991" s="3" t="str">
        <f>VLOOKUP(Table2[[#This Row],[Tulu/kulu liik2]],Table5[],5,FALSE)</f>
        <v>Põhitegevuse kulu</v>
      </c>
    </row>
    <row r="992" spans="1:16" x14ac:dyDescent="0.25">
      <c r="A992" t="str">
        <f t="shared" si="30"/>
        <v>09</v>
      </c>
      <c r="B992" t="s">
        <v>345</v>
      </c>
      <c r="C992" s="3" t="str">
        <f>VLOOKUP(Table2[[#This Row],[Tegevusala]],Table4[],2,FALSE)</f>
        <v xml:space="preserve"> Vinni pajusti Gümnaasium</v>
      </c>
      <c r="D992" s="3" t="str">
        <f>VLOOKUP(Table2[[#This Row],[Tegevusala]],Table4[[Tegevusala kood]:[Tegevusala alanimetus]],4,FALSE)</f>
        <v>Põhihariduse otsekulud</v>
      </c>
      <c r="E992" s="3" t="str">
        <f>VLOOKUP(Table2[[#This Row],[Tegevusala nimetus2]],Table4[[Tegevusala nimetus]:[Tegevusala koondnimetus]],2,FALSE)</f>
        <v>Haridus</v>
      </c>
      <c r="F992" t="s">
        <v>1449</v>
      </c>
      <c r="G992" t="s">
        <v>194</v>
      </c>
      <c r="H992" s="40">
        <v>10000</v>
      </c>
      <c r="I992" s="2" t="s">
        <v>1493</v>
      </c>
      <c r="J992">
        <v>5511</v>
      </c>
      <c r="K992" s="3" t="str">
        <f>VLOOKUP(Table2[[#This Row],[Konto]],Table5[[Konto]:[Konto nimetus]],2,FALSE)</f>
        <v>Kinnistute, hoonete ja ruumide majandamiskulud</v>
      </c>
      <c r="L992">
        <v>55</v>
      </c>
      <c r="M992" t="str">
        <f t="shared" si="31"/>
        <v>55</v>
      </c>
      <c r="N992" s="3" t="str">
        <f>VLOOKUP(Table2[[#This Row],[Tulu/kulu liik2]],Table5[[Tulu/kulu liik]:[Kontode koondnimetus]],4,FALSE)</f>
        <v>Muud tegevuskulud</v>
      </c>
      <c r="O992" s="3" t="str">
        <f>VLOOKUP(Table2[[#This Row],[Tulu/kulu liik2]],Table5[],6,FALSE)</f>
        <v>Majandamiskulud</v>
      </c>
      <c r="P992" s="3" t="str">
        <f>VLOOKUP(Table2[[#This Row],[Tulu/kulu liik2]],Table5[],5,FALSE)</f>
        <v>Põhitegevuse kulu</v>
      </c>
    </row>
    <row r="993" spans="1:16" x14ac:dyDescent="0.25">
      <c r="A993" t="str">
        <f t="shared" si="30"/>
        <v>09</v>
      </c>
      <c r="B993" t="s">
        <v>345</v>
      </c>
      <c r="C993" s="3" t="str">
        <f>VLOOKUP(Table2[[#This Row],[Tegevusala]],Table4[],2,FALSE)</f>
        <v xml:space="preserve"> Vinni pajusti Gümnaasium</v>
      </c>
      <c r="D993" s="3" t="str">
        <f>VLOOKUP(Table2[[#This Row],[Tegevusala]],Table4[[Tegevusala kood]:[Tegevusala alanimetus]],4,FALSE)</f>
        <v>Põhihariduse otsekulud</v>
      </c>
      <c r="E993" s="3" t="str">
        <f>VLOOKUP(Table2[[#This Row],[Tegevusala nimetus2]],Table4[[Tegevusala nimetus]:[Tegevusala koondnimetus]],2,FALSE)</f>
        <v>Haridus</v>
      </c>
      <c r="F993" t="s">
        <v>1449</v>
      </c>
      <c r="G993" t="s">
        <v>1482</v>
      </c>
      <c r="H993" s="40">
        <v>850</v>
      </c>
      <c r="J993">
        <v>5511</v>
      </c>
      <c r="K993" s="3" t="str">
        <f>VLOOKUP(Table2[[#This Row],[Konto]],Table5[[Konto]:[Konto nimetus]],2,FALSE)</f>
        <v>Kinnistute, hoonete ja ruumide majandamiskulud</v>
      </c>
      <c r="L993">
        <v>55</v>
      </c>
      <c r="M993" t="str">
        <f t="shared" si="31"/>
        <v>55</v>
      </c>
      <c r="N993" s="3" t="str">
        <f>VLOOKUP(Table2[[#This Row],[Tulu/kulu liik2]],Table5[[Tulu/kulu liik]:[Kontode koondnimetus]],4,FALSE)</f>
        <v>Muud tegevuskulud</v>
      </c>
      <c r="O993" s="3" t="str">
        <f>VLOOKUP(Table2[[#This Row],[Tulu/kulu liik2]],Table5[],6,FALSE)</f>
        <v>Majandamiskulud</v>
      </c>
      <c r="P993" s="3" t="str">
        <f>VLOOKUP(Table2[[#This Row],[Tulu/kulu liik2]],Table5[],5,FALSE)</f>
        <v>Põhitegevuse kulu</v>
      </c>
    </row>
    <row r="994" spans="1:16" x14ac:dyDescent="0.25">
      <c r="A994" t="str">
        <f t="shared" si="30"/>
        <v>09</v>
      </c>
      <c r="B994" t="s">
        <v>345</v>
      </c>
      <c r="C994" s="3" t="str">
        <f>VLOOKUP(Table2[[#This Row],[Tegevusala]],Table4[],2,FALSE)</f>
        <v xml:space="preserve"> Vinni pajusti Gümnaasium</v>
      </c>
      <c r="D994" s="3" t="str">
        <f>VLOOKUP(Table2[[#This Row],[Tegevusala]],Table4[[Tegevusala kood]:[Tegevusala alanimetus]],4,FALSE)</f>
        <v>Põhihariduse otsekulud</v>
      </c>
      <c r="E994" s="3" t="str">
        <f>VLOOKUP(Table2[[#This Row],[Tegevusala nimetus2]],Table4[[Tegevusala nimetus]:[Tegevusala koondnimetus]],2,FALSE)</f>
        <v>Haridus</v>
      </c>
      <c r="F994" t="s">
        <v>1449</v>
      </c>
      <c r="G994" t="s">
        <v>1483</v>
      </c>
      <c r="H994" s="40">
        <v>986</v>
      </c>
      <c r="J994">
        <v>5511</v>
      </c>
      <c r="K994" s="3" t="str">
        <f>VLOOKUP(Table2[[#This Row],[Konto]],Table5[[Konto]:[Konto nimetus]],2,FALSE)</f>
        <v>Kinnistute, hoonete ja ruumide majandamiskulud</v>
      </c>
      <c r="L994">
        <v>55</v>
      </c>
      <c r="M994" t="str">
        <f t="shared" si="31"/>
        <v>55</v>
      </c>
      <c r="N994" s="3" t="str">
        <f>VLOOKUP(Table2[[#This Row],[Tulu/kulu liik2]],Table5[[Tulu/kulu liik]:[Kontode koondnimetus]],4,FALSE)</f>
        <v>Muud tegevuskulud</v>
      </c>
      <c r="O994" s="3" t="str">
        <f>VLOOKUP(Table2[[#This Row],[Tulu/kulu liik2]],Table5[],6,FALSE)</f>
        <v>Majandamiskulud</v>
      </c>
      <c r="P994" s="3" t="str">
        <f>VLOOKUP(Table2[[#This Row],[Tulu/kulu liik2]],Table5[],5,FALSE)</f>
        <v>Põhitegevuse kulu</v>
      </c>
    </row>
    <row r="995" spans="1:16" x14ac:dyDescent="0.25">
      <c r="A995" t="str">
        <f t="shared" si="30"/>
        <v>09</v>
      </c>
      <c r="B995" t="s">
        <v>345</v>
      </c>
      <c r="C995" s="3" t="str">
        <f>VLOOKUP(Table2[[#This Row],[Tegevusala]],Table4[],2,FALSE)</f>
        <v xml:space="preserve"> Vinni pajusti Gümnaasium</v>
      </c>
      <c r="D995" s="3" t="str">
        <f>VLOOKUP(Table2[[#This Row],[Tegevusala]],Table4[[Tegevusala kood]:[Tegevusala alanimetus]],4,FALSE)</f>
        <v>Põhihariduse otsekulud</v>
      </c>
      <c r="E995" s="3" t="str">
        <f>VLOOKUP(Table2[[#This Row],[Tegevusala nimetus2]],Table4[[Tegevusala nimetus]:[Tegevusala koondnimetus]],2,FALSE)</f>
        <v>Haridus</v>
      </c>
      <c r="F995" t="s">
        <v>1449</v>
      </c>
      <c r="G995" t="s">
        <v>1289</v>
      </c>
      <c r="H995" s="40">
        <v>1420</v>
      </c>
      <c r="I995" s="2" t="s">
        <v>1494</v>
      </c>
      <c r="J995">
        <v>5511</v>
      </c>
      <c r="K995" s="3" t="str">
        <f>VLOOKUP(Table2[[#This Row],[Konto]],Table5[[Konto]:[Konto nimetus]],2,FALSE)</f>
        <v>Kinnistute, hoonete ja ruumide majandamiskulud</v>
      </c>
      <c r="L995">
        <v>55</v>
      </c>
      <c r="M995" t="str">
        <f t="shared" si="31"/>
        <v>55</v>
      </c>
      <c r="N995" s="3" t="str">
        <f>VLOOKUP(Table2[[#This Row],[Tulu/kulu liik2]],Table5[[Tulu/kulu liik]:[Kontode koondnimetus]],4,FALSE)</f>
        <v>Muud tegevuskulud</v>
      </c>
      <c r="O995" s="3" t="str">
        <f>VLOOKUP(Table2[[#This Row],[Tulu/kulu liik2]],Table5[],6,FALSE)</f>
        <v>Majandamiskulud</v>
      </c>
      <c r="P995" s="3" t="str">
        <f>VLOOKUP(Table2[[#This Row],[Tulu/kulu liik2]],Table5[],5,FALSE)</f>
        <v>Põhitegevuse kulu</v>
      </c>
    </row>
    <row r="996" spans="1:16" x14ac:dyDescent="0.25">
      <c r="A996" t="str">
        <f t="shared" si="30"/>
        <v>09</v>
      </c>
      <c r="B996" t="s">
        <v>345</v>
      </c>
      <c r="C996" s="3" t="str">
        <f>VLOOKUP(Table2[[#This Row],[Tegevusala]],Table4[],2,FALSE)</f>
        <v xml:space="preserve"> Vinni pajusti Gümnaasium</v>
      </c>
      <c r="D996" s="3" t="str">
        <f>VLOOKUP(Table2[[#This Row],[Tegevusala]],Table4[[Tegevusala kood]:[Tegevusala alanimetus]],4,FALSE)</f>
        <v>Põhihariduse otsekulud</v>
      </c>
      <c r="E996" s="3" t="str">
        <f>VLOOKUP(Table2[[#This Row],[Tegevusala nimetus2]],Table4[[Tegevusala nimetus]:[Tegevusala koondnimetus]],2,FALSE)</f>
        <v>Haridus</v>
      </c>
      <c r="F996" t="s">
        <v>1449</v>
      </c>
      <c r="G996" t="s">
        <v>1484</v>
      </c>
      <c r="H996" s="40">
        <v>922</v>
      </c>
      <c r="J996">
        <v>5511</v>
      </c>
      <c r="K996" s="3" t="str">
        <f>VLOOKUP(Table2[[#This Row],[Konto]],Table5[[Konto]:[Konto nimetus]],2,FALSE)</f>
        <v>Kinnistute, hoonete ja ruumide majandamiskulud</v>
      </c>
      <c r="L996">
        <v>55</v>
      </c>
      <c r="M996" t="str">
        <f t="shared" si="31"/>
        <v>55</v>
      </c>
      <c r="N996" s="3" t="str">
        <f>VLOOKUP(Table2[[#This Row],[Tulu/kulu liik2]],Table5[[Tulu/kulu liik]:[Kontode koondnimetus]],4,FALSE)</f>
        <v>Muud tegevuskulud</v>
      </c>
      <c r="O996" s="3" t="str">
        <f>VLOOKUP(Table2[[#This Row],[Tulu/kulu liik2]],Table5[],6,FALSE)</f>
        <v>Majandamiskulud</v>
      </c>
      <c r="P996" s="3" t="str">
        <f>VLOOKUP(Table2[[#This Row],[Tulu/kulu liik2]],Table5[],5,FALSE)</f>
        <v>Põhitegevuse kulu</v>
      </c>
    </row>
    <row r="997" spans="1:16" x14ac:dyDescent="0.25">
      <c r="A997" t="str">
        <f t="shared" si="30"/>
        <v>09</v>
      </c>
      <c r="B997" t="s">
        <v>345</v>
      </c>
      <c r="C997" s="3" t="str">
        <f>VLOOKUP(Table2[[#This Row],[Tegevusala]],Table4[],2,FALSE)</f>
        <v xml:space="preserve"> Vinni pajusti Gümnaasium</v>
      </c>
      <c r="D997" s="3" t="str">
        <f>VLOOKUP(Table2[[#This Row],[Tegevusala]],Table4[[Tegevusala kood]:[Tegevusala alanimetus]],4,FALSE)</f>
        <v>Põhihariduse otsekulud</v>
      </c>
      <c r="E997" s="3" t="str">
        <f>VLOOKUP(Table2[[#This Row],[Tegevusala nimetus2]],Table4[[Tegevusala nimetus]:[Tegevusala koondnimetus]],2,FALSE)</f>
        <v>Haridus</v>
      </c>
      <c r="F997" t="s">
        <v>1449</v>
      </c>
      <c r="G997" t="s">
        <v>1485</v>
      </c>
      <c r="H997" s="40">
        <v>940</v>
      </c>
      <c r="J997">
        <v>5511</v>
      </c>
      <c r="K997" s="3" t="str">
        <f>VLOOKUP(Table2[[#This Row],[Konto]],Table5[[Konto]:[Konto nimetus]],2,FALSE)</f>
        <v>Kinnistute, hoonete ja ruumide majandamiskulud</v>
      </c>
      <c r="L997">
        <v>55</v>
      </c>
      <c r="M997" t="str">
        <f t="shared" si="31"/>
        <v>55</v>
      </c>
      <c r="N997" s="3" t="str">
        <f>VLOOKUP(Table2[[#This Row],[Tulu/kulu liik2]],Table5[[Tulu/kulu liik]:[Kontode koondnimetus]],4,FALSE)</f>
        <v>Muud tegevuskulud</v>
      </c>
      <c r="O997" s="3" t="str">
        <f>VLOOKUP(Table2[[#This Row],[Tulu/kulu liik2]],Table5[],6,FALSE)</f>
        <v>Majandamiskulud</v>
      </c>
      <c r="P997" s="3" t="str">
        <f>VLOOKUP(Table2[[#This Row],[Tulu/kulu liik2]],Table5[],5,FALSE)</f>
        <v>Põhitegevuse kulu</v>
      </c>
    </row>
    <row r="998" spans="1:16" x14ac:dyDescent="0.25">
      <c r="A998" t="str">
        <f t="shared" si="30"/>
        <v>09</v>
      </c>
      <c r="B998" t="s">
        <v>345</v>
      </c>
      <c r="C998" s="3" t="str">
        <f>VLOOKUP(Table2[[#This Row],[Tegevusala]],Table4[],2,FALSE)</f>
        <v xml:space="preserve"> Vinni pajusti Gümnaasium</v>
      </c>
      <c r="D998" s="3" t="str">
        <f>VLOOKUP(Table2[[#This Row],[Tegevusala]],Table4[[Tegevusala kood]:[Tegevusala alanimetus]],4,FALSE)</f>
        <v>Põhihariduse otsekulud</v>
      </c>
      <c r="E998" s="3" t="str">
        <f>VLOOKUP(Table2[[#This Row],[Tegevusala nimetus2]],Table4[[Tegevusala nimetus]:[Tegevusala koondnimetus]],2,FALSE)</f>
        <v>Haridus</v>
      </c>
      <c r="F998" t="s">
        <v>1449</v>
      </c>
      <c r="G998" t="s">
        <v>1486</v>
      </c>
      <c r="H998" s="40">
        <v>385</v>
      </c>
      <c r="J998">
        <v>5511</v>
      </c>
      <c r="K998" s="3" t="str">
        <f>VLOOKUP(Table2[[#This Row],[Konto]],Table5[[Konto]:[Konto nimetus]],2,FALSE)</f>
        <v>Kinnistute, hoonete ja ruumide majandamiskulud</v>
      </c>
      <c r="L998">
        <v>55</v>
      </c>
      <c r="M998" t="str">
        <f t="shared" si="31"/>
        <v>55</v>
      </c>
      <c r="N998" s="3" t="str">
        <f>VLOOKUP(Table2[[#This Row],[Tulu/kulu liik2]],Table5[[Tulu/kulu liik]:[Kontode koondnimetus]],4,FALSE)</f>
        <v>Muud tegevuskulud</v>
      </c>
      <c r="O998" s="3" t="str">
        <f>VLOOKUP(Table2[[#This Row],[Tulu/kulu liik2]],Table5[],6,FALSE)</f>
        <v>Majandamiskulud</v>
      </c>
      <c r="P998" s="3" t="str">
        <f>VLOOKUP(Table2[[#This Row],[Tulu/kulu liik2]],Table5[],5,FALSE)</f>
        <v>Põhitegevuse kulu</v>
      </c>
    </row>
    <row r="999" spans="1:16" x14ac:dyDescent="0.25">
      <c r="A999" t="str">
        <f t="shared" si="30"/>
        <v>09</v>
      </c>
      <c r="B999" t="s">
        <v>345</v>
      </c>
      <c r="C999" s="3" t="str">
        <f>VLOOKUP(Table2[[#This Row],[Tegevusala]],Table4[],2,FALSE)</f>
        <v xml:space="preserve"> Vinni pajusti Gümnaasium</v>
      </c>
      <c r="D999" s="3" t="str">
        <f>VLOOKUP(Table2[[#This Row],[Tegevusala]],Table4[[Tegevusala kood]:[Tegevusala alanimetus]],4,FALSE)</f>
        <v>Põhihariduse otsekulud</v>
      </c>
      <c r="E999" s="3" t="str">
        <f>VLOOKUP(Table2[[#This Row],[Tegevusala nimetus2]],Table4[[Tegevusala nimetus]:[Tegevusala koondnimetus]],2,FALSE)</f>
        <v>Haridus</v>
      </c>
      <c r="F999" t="s">
        <v>1449</v>
      </c>
      <c r="G999" t="s">
        <v>1487</v>
      </c>
      <c r="H999" s="40">
        <v>260</v>
      </c>
      <c r="J999">
        <v>5511</v>
      </c>
      <c r="K999" s="3" t="str">
        <f>VLOOKUP(Table2[[#This Row],[Konto]],Table5[[Konto]:[Konto nimetus]],2,FALSE)</f>
        <v>Kinnistute, hoonete ja ruumide majandamiskulud</v>
      </c>
      <c r="L999">
        <v>55</v>
      </c>
      <c r="M999" t="str">
        <f t="shared" si="31"/>
        <v>55</v>
      </c>
      <c r="N999" s="3" t="str">
        <f>VLOOKUP(Table2[[#This Row],[Tulu/kulu liik2]],Table5[[Tulu/kulu liik]:[Kontode koondnimetus]],4,FALSE)</f>
        <v>Muud tegevuskulud</v>
      </c>
      <c r="O999" s="3" t="str">
        <f>VLOOKUP(Table2[[#This Row],[Tulu/kulu liik2]],Table5[],6,FALSE)</f>
        <v>Majandamiskulud</v>
      </c>
      <c r="P999" s="3" t="str">
        <f>VLOOKUP(Table2[[#This Row],[Tulu/kulu liik2]],Table5[],5,FALSE)</f>
        <v>Põhitegevuse kulu</v>
      </c>
    </row>
    <row r="1000" spans="1:16" x14ac:dyDescent="0.25">
      <c r="A1000" t="str">
        <f t="shared" si="30"/>
        <v>09</v>
      </c>
      <c r="B1000" t="s">
        <v>345</v>
      </c>
      <c r="C1000" s="3" t="str">
        <f>VLOOKUP(Table2[[#This Row],[Tegevusala]],Table4[],2,FALSE)</f>
        <v xml:space="preserve"> Vinni pajusti Gümnaasium</v>
      </c>
      <c r="D1000" s="3" t="str">
        <f>VLOOKUP(Table2[[#This Row],[Tegevusala]],Table4[[Tegevusala kood]:[Tegevusala alanimetus]],4,FALSE)</f>
        <v>Põhihariduse otsekulud</v>
      </c>
      <c r="E1000" s="3" t="str">
        <f>VLOOKUP(Table2[[#This Row],[Tegevusala nimetus2]],Table4[[Tegevusala nimetus]:[Tegevusala koondnimetus]],2,FALSE)</f>
        <v>Haridus</v>
      </c>
      <c r="F1000" t="s">
        <v>1449</v>
      </c>
      <c r="G1000" t="s">
        <v>1488</v>
      </c>
      <c r="H1000" s="40">
        <v>2500</v>
      </c>
      <c r="I1000" s="2" t="s">
        <v>1495</v>
      </c>
      <c r="J1000">
        <v>5511</v>
      </c>
      <c r="K1000" s="3" t="str">
        <f>VLOOKUP(Table2[[#This Row],[Konto]],Table5[[Konto]:[Konto nimetus]],2,FALSE)</f>
        <v>Kinnistute, hoonete ja ruumide majandamiskulud</v>
      </c>
      <c r="L1000">
        <v>55</v>
      </c>
      <c r="M1000" t="str">
        <f t="shared" si="31"/>
        <v>55</v>
      </c>
      <c r="N1000" s="3" t="str">
        <f>VLOOKUP(Table2[[#This Row],[Tulu/kulu liik2]],Table5[[Tulu/kulu liik]:[Kontode koondnimetus]],4,FALSE)</f>
        <v>Muud tegevuskulud</v>
      </c>
      <c r="O1000" s="3" t="str">
        <f>VLOOKUP(Table2[[#This Row],[Tulu/kulu liik2]],Table5[],6,FALSE)</f>
        <v>Majandamiskulud</v>
      </c>
      <c r="P1000" s="3" t="str">
        <f>VLOOKUP(Table2[[#This Row],[Tulu/kulu liik2]],Table5[],5,FALSE)</f>
        <v>Põhitegevuse kulu</v>
      </c>
    </row>
    <row r="1001" spans="1:16" x14ac:dyDescent="0.25">
      <c r="A1001" t="str">
        <f t="shared" si="30"/>
        <v>09</v>
      </c>
      <c r="B1001" t="s">
        <v>345</v>
      </c>
      <c r="C1001" s="3" t="str">
        <f>VLOOKUP(Table2[[#This Row],[Tegevusala]],Table4[],2,FALSE)</f>
        <v xml:space="preserve"> Vinni pajusti Gümnaasium</v>
      </c>
      <c r="D1001" s="3" t="str">
        <f>VLOOKUP(Table2[[#This Row],[Tegevusala]],Table4[[Tegevusala kood]:[Tegevusala alanimetus]],4,FALSE)</f>
        <v>Põhihariduse otsekulud</v>
      </c>
      <c r="E1001" s="3" t="str">
        <f>VLOOKUP(Table2[[#This Row],[Tegevusala nimetus2]],Table4[[Tegevusala nimetus]:[Tegevusala koondnimetus]],2,FALSE)</f>
        <v>Haridus</v>
      </c>
      <c r="F1001" t="s">
        <v>1449</v>
      </c>
      <c r="G1001" t="s">
        <v>1489</v>
      </c>
      <c r="H1001" s="40">
        <v>10000</v>
      </c>
      <c r="I1001" s="2" t="s">
        <v>1496</v>
      </c>
      <c r="J1001">
        <v>5511</v>
      </c>
      <c r="K1001" s="3" t="str">
        <f>VLOOKUP(Table2[[#This Row],[Konto]],Table5[[Konto]:[Konto nimetus]],2,FALSE)</f>
        <v>Kinnistute, hoonete ja ruumide majandamiskulud</v>
      </c>
      <c r="L1001">
        <v>55</v>
      </c>
      <c r="M1001" t="str">
        <f t="shared" si="31"/>
        <v>55</v>
      </c>
      <c r="N1001" s="3" t="str">
        <f>VLOOKUP(Table2[[#This Row],[Tulu/kulu liik2]],Table5[[Tulu/kulu liik]:[Kontode koondnimetus]],4,FALSE)</f>
        <v>Muud tegevuskulud</v>
      </c>
      <c r="O1001" s="3" t="str">
        <f>VLOOKUP(Table2[[#This Row],[Tulu/kulu liik2]],Table5[],6,FALSE)</f>
        <v>Majandamiskulud</v>
      </c>
      <c r="P1001" s="3" t="str">
        <f>VLOOKUP(Table2[[#This Row],[Tulu/kulu liik2]],Table5[],5,FALSE)</f>
        <v>Põhitegevuse kulu</v>
      </c>
    </row>
    <row r="1002" spans="1:16" x14ac:dyDescent="0.25">
      <c r="A1002" t="str">
        <f t="shared" si="30"/>
        <v>09</v>
      </c>
      <c r="B1002" t="s">
        <v>345</v>
      </c>
      <c r="C1002" s="3" t="str">
        <f>VLOOKUP(Table2[[#This Row],[Tegevusala]],Table4[],2,FALSE)</f>
        <v xml:space="preserve"> Vinni pajusti Gümnaasium</v>
      </c>
      <c r="D1002" s="3" t="str">
        <f>VLOOKUP(Table2[[#This Row],[Tegevusala]],Table4[[Tegevusala kood]:[Tegevusala alanimetus]],4,FALSE)</f>
        <v>Põhihariduse otsekulud</v>
      </c>
      <c r="E1002" s="3" t="str">
        <f>VLOOKUP(Table2[[#This Row],[Tegevusala nimetus2]],Table4[[Tegevusala nimetus]:[Tegevusala koondnimetus]],2,FALSE)</f>
        <v>Haridus</v>
      </c>
      <c r="F1002" t="s">
        <v>1449</v>
      </c>
      <c r="G1002" t="s">
        <v>1506</v>
      </c>
      <c r="H1002" s="40">
        <v>2000</v>
      </c>
      <c r="J1002">
        <v>5514</v>
      </c>
      <c r="K1002" s="3" t="str">
        <f>VLOOKUP(Table2[[#This Row],[Konto]],Table5[[Konto]:[Konto nimetus]],2,FALSE)</f>
        <v>Info- ja kommunikatsioonitehnoliigised kulud</v>
      </c>
      <c r="L1002">
        <v>55</v>
      </c>
      <c r="M1002" t="str">
        <f t="shared" si="31"/>
        <v>55</v>
      </c>
      <c r="N1002" s="3" t="str">
        <f>VLOOKUP(Table2[[#This Row],[Tulu/kulu liik2]],Table5[[Tulu/kulu liik]:[Kontode koondnimetus]],4,FALSE)</f>
        <v>Muud tegevuskulud</v>
      </c>
      <c r="O1002" s="3" t="str">
        <f>VLOOKUP(Table2[[#This Row],[Tulu/kulu liik2]],Table5[],6,FALSE)</f>
        <v>Majandamiskulud</v>
      </c>
      <c r="P1002" s="3" t="str">
        <f>VLOOKUP(Table2[[#This Row],[Tulu/kulu liik2]],Table5[],5,FALSE)</f>
        <v>Põhitegevuse kulu</v>
      </c>
    </row>
    <row r="1003" spans="1:16" x14ac:dyDescent="0.25">
      <c r="A1003" t="str">
        <f t="shared" si="30"/>
        <v>09</v>
      </c>
      <c r="B1003" t="s">
        <v>345</v>
      </c>
      <c r="C1003" s="3" t="str">
        <f>VLOOKUP(Table2[[#This Row],[Tegevusala]],Table4[],2,FALSE)</f>
        <v xml:space="preserve"> Vinni pajusti Gümnaasium</v>
      </c>
      <c r="D1003" s="3" t="str">
        <f>VLOOKUP(Table2[[#This Row],[Tegevusala]],Table4[[Tegevusala kood]:[Tegevusala alanimetus]],4,FALSE)</f>
        <v>Põhihariduse otsekulud</v>
      </c>
      <c r="E1003" s="3" t="str">
        <f>VLOOKUP(Table2[[#This Row],[Tegevusala nimetus2]],Table4[[Tegevusala nimetus]:[Tegevusala koondnimetus]],2,FALSE)</f>
        <v>Haridus</v>
      </c>
      <c r="F1003" t="s">
        <v>1449</v>
      </c>
      <c r="G1003" t="s">
        <v>1507</v>
      </c>
      <c r="H1003" s="40">
        <v>2500</v>
      </c>
      <c r="J1003">
        <v>5514</v>
      </c>
      <c r="K1003" s="3" t="str">
        <f>VLOOKUP(Table2[[#This Row],[Konto]],Table5[[Konto]:[Konto nimetus]],2,FALSE)</f>
        <v>Info- ja kommunikatsioonitehnoliigised kulud</v>
      </c>
      <c r="L1003">
        <v>55</v>
      </c>
      <c r="M1003" t="str">
        <f t="shared" si="31"/>
        <v>55</v>
      </c>
      <c r="N1003" s="3" t="str">
        <f>VLOOKUP(Table2[[#This Row],[Tulu/kulu liik2]],Table5[[Tulu/kulu liik]:[Kontode koondnimetus]],4,FALSE)</f>
        <v>Muud tegevuskulud</v>
      </c>
      <c r="O1003" s="3" t="str">
        <f>VLOOKUP(Table2[[#This Row],[Tulu/kulu liik2]],Table5[],6,FALSE)</f>
        <v>Majandamiskulud</v>
      </c>
      <c r="P1003" s="3" t="str">
        <f>VLOOKUP(Table2[[#This Row],[Tulu/kulu liik2]],Table5[],5,FALSE)</f>
        <v>Põhitegevuse kulu</v>
      </c>
    </row>
    <row r="1004" spans="1:16" hidden="1" x14ac:dyDescent="0.25">
      <c r="A1004" t="str">
        <f t="shared" si="30"/>
        <v>09</v>
      </c>
      <c r="B1004" t="s">
        <v>345</v>
      </c>
      <c r="C1004" s="3" t="str">
        <f>VLOOKUP(Table2[[#This Row],[Tegevusala]],Table4[],2,FALSE)</f>
        <v xml:space="preserve"> Vinni pajusti Gümnaasium</v>
      </c>
      <c r="D1004" s="3" t="str">
        <f>VLOOKUP(Table2[[#This Row],[Tegevusala]],Table4[[Tegevusala kood]:[Tegevusala alanimetus]],4,FALSE)</f>
        <v>Põhihariduse otsekulud</v>
      </c>
      <c r="E1004" s="3" t="str">
        <f>VLOOKUP(Table2[[#This Row],[Tegevusala nimetus2]],Table4[[Tegevusala nimetus]:[Tegevusala koondnimetus]],2,FALSE)</f>
        <v>Haridus</v>
      </c>
      <c r="F1004" t="s">
        <v>1449</v>
      </c>
      <c r="G1004" t="s">
        <v>2063</v>
      </c>
      <c r="H1004" s="40">
        <v>60000</v>
      </c>
      <c r="J1004">
        <v>1551</v>
      </c>
      <c r="K1004" s="3" t="str">
        <f>VLOOKUP(Table2[[#This Row],[Konto]],Table5[[Konto]:[Konto nimetus]],2,FALSE)</f>
        <v>Rajatiste ja hoonete soetamine ja renoveerimine</v>
      </c>
      <c r="L1004">
        <v>15</v>
      </c>
      <c r="M1004" t="str">
        <f t="shared" si="31"/>
        <v>15</v>
      </c>
      <c r="N1004" s="3" t="str">
        <f>VLOOKUP(Table2[[#This Row],[Tulu/kulu liik2]],Table5[[Tulu/kulu liik]:[Kontode koondnimetus]],4,FALSE)</f>
        <v>Põhivara soetus (-)</v>
      </c>
      <c r="O1004" s="34" t="str">
        <f>VLOOKUP(Table2[[#This Row],[Tulu/kulu liik2]],Table5[],6,FALSE)</f>
        <v>Põhivara soetus (-)</v>
      </c>
      <c r="P1004" s="3" t="str">
        <f>VLOOKUP(Table2[[#This Row],[Tulu/kulu liik2]],Table5[],5,FALSE)</f>
        <v>Investeerimistegevus</v>
      </c>
    </row>
    <row r="1005" spans="1:16" x14ac:dyDescent="0.25">
      <c r="A1005" s="8" t="str">
        <f t="shared" si="30"/>
        <v>09</v>
      </c>
      <c r="B1005" s="8" t="s">
        <v>345</v>
      </c>
      <c r="C1005" s="32" t="str">
        <f>VLOOKUP(Table2[[#This Row],[Tegevusala]],Table4[],2,FALSE)</f>
        <v xml:space="preserve"> Vinni pajusti Gümnaasium</v>
      </c>
      <c r="D1005" s="32" t="str">
        <f>VLOOKUP(Table2[[#This Row],[Tegevusala]],Table4[[Tegevusala kood]:[Tegevusala alanimetus]],4,FALSE)</f>
        <v>Põhihariduse otsekulud</v>
      </c>
      <c r="E1005" s="32" t="str">
        <f>VLOOKUP(Table2[[#This Row],[Tegevusala nimetus2]],Table4[[Tegevusala nimetus]:[Tegevusala koondnimetus]],2,FALSE)</f>
        <v>Haridus</v>
      </c>
      <c r="F1005" s="8" t="s">
        <v>1449</v>
      </c>
      <c r="G1005" s="8" t="s">
        <v>1138</v>
      </c>
      <c r="H1005" s="43">
        <v>70525</v>
      </c>
      <c r="I1005" s="9" t="s">
        <v>2203</v>
      </c>
      <c r="J1005" s="8">
        <v>5521</v>
      </c>
      <c r="K1005" s="32" t="str">
        <f>VLOOKUP(Table2[[#This Row],[Konto]],Table5[[Konto]:[Konto nimetus]],2,FALSE)</f>
        <v>Toiduained ja toitlustusteenused</v>
      </c>
      <c r="L1005" s="8">
        <v>55</v>
      </c>
      <c r="M1005" s="8" t="str">
        <f t="shared" si="31"/>
        <v>55</v>
      </c>
      <c r="N1005" s="32" t="str">
        <f>VLOOKUP(Table2[[#This Row],[Tulu/kulu liik2]],Table5[[Tulu/kulu liik]:[Kontode koondnimetus]],4,FALSE)</f>
        <v>Muud tegevuskulud</v>
      </c>
      <c r="O1005" s="32" t="str">
        <f>VLOOKUP(Table2[[#This Row],[Tulu/kulu liik2]],Table5[],6,FALSE)</f>
        <v>Majandamiskulud</v>
      </c>
      <c r="P1005" s="32" t="str">
        <f>VLOOKUP(Table2[[#This Row],[Tulu/kulu liik2]],Table5[],5,FALSE)</f>
        <v>Põhitegevuse kulu</v>
      </c>
    </row>
    <row r="1006" spans="1:16" x14ac:dyDescent="0.25">
      <c r="A1006" s="78" t="str">
        <f t="shared" si="30"/>
        <v>09</v>
      </c>
      <c r="B1006" s="78" t="s">
        <v>345</v>
      </c>
      <c r="C1006" s="80" t="str">
        <f>VLOOKUP(Table2[[#This Row],[Tegevusala]],Table4[],2,FALSE)</f>
        <v xml:space="preserve"> Vinni pajusti Gümnaasium</v>
      </c>
      <c r="D1006" s="80" t="str">
        <f>VLOOKUP(Table2[[#This Row],[Tegevusala]],Table4[[Tegevusala kood]:[Tegevusala alanimetus]],4,FALSE)</f>
        <v>Põhihariduse otsekulud</v>
      </c>
      <c r="E1006" s="80" t="str">
        <f>VLOOKUP(Table2[[#This Row],[Tegevusala nimetus2]],Table4[[Tegevusala nimetus]:[Tegevusala koondnimetus]],2,FALSE)</f>
        <v>Haridus</v>
      </c>
      <c r="F1006" s="78" t="s">
        <v>1449</v>
      </c>
      <c r="G1006" s="78" t="s">
        <v>1450</v>
      </c>
      <c r="H1006" s="79">
        <v>10000</v>
      </c>
      <c r="I1006" s="81" t="s">
        <v>1451</v>
      </c>
      <c r="J1006" s="78">
        <v>5515</v>
      </c>
      <c r="K1006" s="80" t="str">
        <f>VLOOKUP(Table2[[#This Row],[Konto]],Table5[[Konto]:[Konto nimetus]],2,FALSE)</f>
        <v>Inventari kulud, v.a infotehnoloogia ja kaitseotstarbelised kulud</v>
      </c>
      <c r="L1006" s="78">
        <v>55</v>
      </c>
      <c r="M1006" s="78" t="str">
        <f t="shared" si="31"/>
        <v>55</v>
      </c>
      <c r="N1006" s="80" t="str">
        <f>VLOOKUP(Table2[[#This Row],[Tulu/kulu liik2]],Table5[[Tulu/kulu liik]:[Kontode koondnimetus]],4,FALSE)</f>
        <v>Muud tegevuskulud</v>
      </c>
      <c r="O1006" s="80" t="str">
        <f>VLOOKUP(Table2[[#This Row],[Tulu/kulu liik2]],Table5[],6,FALSE)</f>
        <v>Majandamiskulud</v>
      </c>
      <c r="P1006" s="80" t="str">
        <f>VLOOKUP(Table2[[#This Row],[Tulu/kulu liik2]],Table5[],5,FALSE)</f>
        <v>Põhitegevuse kulu</v>
      </c>
    </row>
    <row r="1007" spans="1:16" x14ac:dyDescent="0.25">
      <c r="A1007" s="78" t="str">
        <f t="shared" si="30"/>
        <v>09</v>
      </c>
      <c r="B1007" s="78" t="s">
        <v>345</v>
      </c>
      <c r="C1007" s="80" t="str">
        <f>VLOOKUP(Table2[[#This Row],[Tegevusala]],Table4[],2,FALSE)</f>
        <v xml:space="preserve"> Vinni pajusti Gümnaasium</v>
      </c>
      <c r="D1007" s="80" t="str">
        <f>VLOOKUP(Table2[[#This Row],[Tegevusala]],Table4[[Tegevusala kood]:[Tegevusala alanimetus]],4,FALSE)</f>
        <v>Põhihariduse otsekulud</v>
      </c>
      <c r="E1007" s="80" t="str">
        <f>VLOOKUP(Table2[[#This Row],[Tegevusala nimetus2]],Table4[[Tegevusala nimetus]:[Tegevusala koondnimetus]],2,FALSE)</f>
        <v>Haridus</v>
      </c>
      <c r="F1007" s="78" t="s">
        <v>1449</v>
      </c>
      <c r="G1007" s="78" t="s">
        <v>1452</v>
      </c>
      <c r="H1007" s="79">
        <v>2500</v>
      </c>
      <c r="I1007" s="81" t="s">
        <v>1453</v>
      </c>
      <c r="J1007" s="78">
        <v>5515</v>
      </c>
      <c r="K1007" s="80" t="str">
        <f>VLOOKUP(Table2[[#This Row],[Konto]],Table5[[Konto]:[Konto nimetus]],2,FALSE)</f>
        <v>Inventari kulud, v.a infotehnoloogia ja kaitseotstarbelised kulud</v>
      </c>
      <c r="L1007" s="78">
        <v>55</v>
      </c>
      <c r="M1007" s="78" t="str">
        <f t="shared" si="31"/>
        <v>55</v>
      </c>
      <c r="N1007" s="80" t="str">
        <f>VLOOKUP(Table2[[#This Row],[Tulu/kulu liik2]],Table5[[Tulu/kulu liik]:[Kontode koondnimetus]],4,FALSE)</f>
        <v>Muud tegevuskulud</v>
      </c>
      <c r="O1007" s="80" t="str">
        <f>VLOOKUP(Table2[[#This Row],[Tulu/kulu liik2]],Table5[],6,FALSE)</f>
        <v>Majandamiskulud</v>
      </c>
      <c r="P1007" s="80" t="str">
        <f>VLOOKUP(Table2[[#This Row],[Tulu/kulu liik2]],Table5[],5,FALSE)</f>
        <v>Põhitegevuse kulu</v>
      </c>
    </row>
    <row r="1008" spans="1:16" x14ac:dyDescent="0.25">
      <c r="A1008" s="78" t="str">
        <f t="shared" si="30"/>
        <v>09</v>
      </c>
      <c r="B1008" s="78" t="s">
        <v>345</v>
      </c>
      <c r="C1008" s="80" t="str">
        <f>VLOOKUP(Table2[[#This Row],[Tegevusala]],Table4[],2,FALSE)</f>
        <v xml:space="preserve"> Vinni pajusti Gümnaasium</v>
      </c>
      <c r="D1008" s="80" t="str">
        <f>VLOOKUP(Table2[[#This Row],[Tegevusala]],Table4[[Tegevusala kood]:[Tegevusala alanimetus]],4,FALSE)</f>
        <v>Põhihariduse otsekulud</v>
      </c>
      <c r="E1008" s="80" t="str">
        <f>VLOOKUP(Table2[[#This Row],[Tegevusala nimetus2]],Table4[[Tegevusala nimetus]:[Tegevusala koondnimetus]],2,FALSE)</f>
        <v>Haridus</v>
      </c>
      <c r="F1008" s="78" t="s">
        <v>1449</v>
      </c>
      <c r="G1008" s="78" t="s">
        <v>1454</v>
      </c>
      <c r="H1008" s="79">
        <v>1000</v>
      </c>
      <c r="I1008" s="81" t="s">
        <v>1455</v>
      </c>
      <c r="J1008" s="78">
        <v>5514</v>
      </c>
      <c r="K1008" s="80" t="str">
        <f>VLOOKUP(Table2[[#This Row],[Konto]],Table5[[Konto]:[Konto nimetus]],2,FALSE)</f>
        <v>Info- ja kommunikatsioonitehnoliigised kulud</v>
      </c>
      <c r="L1008" s="78">
        <v>55</v>
      </c>
      <c r="M1008" s="78" t="str">
        <f t="shared" si="31"/>
        <v>55</v>
      </c>
      <c r="N1008" s="80" t="str">
        <f>VLOOKUP(Table2[[#This Row],[Tulu/kulu liik2]],Table5[[Tulu/kulu liik]:[Kontode koondnimetus]],4,FALSE)</f>
        <v>Muud tegevuskulud</v>
      </c>
      <c r="O1008" s="80" t="str">
        <f>VLOOKUP(Table2[[#This Row],[Tulu/kulu liik2]],Table5[],6,FALSE)</f>
        <v>Majandamiskulud</v>
      </c>
      <c r="P1008" s="80" t="str">
        <f>VLOOKUP(Table2[[#This Row],[Tulu/kulu liik2]],Table5[],5,FALSE)</f>
        <v>Põhitegevuse kulu</v>
      </c>
    </row>
    <row r="1009" spans="1:16" x14ac:dyDescent="0.25">
      <c r="A1009" s="78" t="str">
        <f t="shared" si="30"/>
        <v>09</v>
      </c>
      <c r="B1009" s="78" t="s">
        <v>345</v>
      </c>
      <c r="C1009" s="80" t="str">
        <f>VLOOKUP(Table2[[#This Row],[Tegevusala]],Table4[],2,FALSE)</f>
        <v xml:space="preserve"> Vinni pajusti Gümnaasium</v>
      </c>
      <c r="D1009" s="80" t="str">
        <f>VLOOKUP(Table2[[#This Row],[Tegevusala]],Table4[[Tegevusala kood]:[Tegevusala alanimetus]],4,FALSE)</f>
        <v>Põhihariduse otsekulud</v>
      </c>
      <c r="E1009" s="80" t="str">
        <f>VLOOKUP(Table2[[#This Row],[Tegevusala nimetus2]],Table4[[Tegevusala nimetus]:[Tegevusala koondnimetus]],2,FALSE)</f>
        <v>Haridus</v>
      </c>
      <c r="F1009" s="78" t="s">
        <v>1449</v>
      </c>
      <c r="G1009" s="78" t="s">
        <v>1456</v>
      </c>
      <c r="H1009" s="79">
        <v>8500</v>
      </c>
      <c r="I1009" s="81" t="s">
        <v>1457</v>
      </c>
      <c r="J1009" s="78">
        <v>5515</v>
      </c>
      <c r="K1009" s="80" t="str">
        <f>VLOOKUP(Table2[[#This Row],[Konto]],Table5[[Konto]:[Konto nimetus]],2,FALSE)</f>
        <v>Inventari kulud, v.a infotehnoloogia ja kaitseotstarbelised kulud</v>
      </c>
      <c r="L1009" s="78">
        <v>55</v>
      </c>
      <c r="M1009" s="78" t="str">
        <f t="shared" si="31"/>
        <v>55</v>
      </c>
      <c r="N1009" s="80" t="str">
        <f>VLOOKUP(Table2[[#This Row],[Tulu/kulu liik2]],Table5[[Tulu/kulu liik]:[Kontode koondnimetus]],4,FALSE)</f>
        <v>Muud tegevuskulud</v>
      </c>
      <c r="O1009" s="80" t="str">
        <f>VLOOKUP(Table2[[#This Row],[Tulu/kulu liik2]],Table5[],6,FALSE)</f>
        <v>Majandamiskulud</v>
      </c>
      <c r="P1009" s="80" t="str">
        <f>VLOOKUP(Table2[[#This Row],[Tulu/kulu liik2]],Table5[],5,FALSE)</f>
        <v>Põhitegevuse kulu</v>
      </c>
    </row>
    <row r="1010" spans="1:16" x14ac:dyDescent="0.25">
      <c r="A1010" s="78" t="str">
        <f t="shared" si="30"/>
        <v>09</v>
      </c>
      <c r="B1010" s="78" t="s">
        <v>345</v>
      </c>
      <c r="C1010" s="80" t="str">
        <f>VLOOKUP(Table2[[#This Row],[Tegevusala]],Table4[],2,FALSE)</f>
        <v xml:space="preserve"> Vinni pajusti Gümnaasium</v>
      </c>
      <c r="D1010" s="80" t="str">
        <f>VLOOKUP(Table2[[#This Row],[Tegevusala]],Table4[[Tegevusala kood]:[Tegevusala alanimetus]],4,FALSE)</f>
        <v>Põhihariduse otsekulud</v>
      </c>
      <c r="E1010" s="80" t="str">
        <f>VLOOKUP(Table2[[#This Row],[Tegevusala nimetus2]],Table4[[Tegevusala nimetus]:[Tegevusala koondnimetus]],2,FALSE)</f>
        <v>Haridus</v>
      </c>
      <c r="F1010" s="78" t="s">
        <v>1449</v>
      </c>
      <c r="G1010" s="78" t="s">
        <v>1458</v>
      </c>
      <c r="H1010" s="79">
        <v>2500</v>
      </c>
      <c r="I1010" s="81" t="s">
        <v>1459</v>
      </c>
      <c r="J1010" s="78">
        <v>5514</v>
      </c>
      <c r="K1010" s="80" t="str">
        <f>VLOOKUP(Table2[[#This Row],[Konto]],Table5[[Konto]:[Konto nimetus]],2,FALSE)</f>
        <v>Info- ja kommunikatsioonitehnoliigised kulud</v>
      </c>
      <c r="L1010" s="78">
        <v>55</v>
      </c>
      <c r="M1010" s="78" t="str">
        <f t="shared" si="31"/>
        <v>55</v>
      </c>
      <c r="N1010" s="80" t="str">
        <f>VLOOKUP(Table2[[#This Row],[Tulu/kulu liik2]],Table5[[Tulu/kulu liik]:[Kontode koondnimetus]],4,FALSE)</f>
        <v>Muud tegevuskulud</v>
      </c>
      <c r="O1010" s="80" t="str">
        <f>VLOOKUP(Table2[[#This Row],[Tulu/kulu liik2]],Table5[],6,FALSE)</f>
        <v>Majandamiskulud</v>
      </c>
      <c r="P1010" s="80" t="str">
        <f>VLOOKUP(Table2[[#This Row],[Tulu/kulu liik2]],Table5[],5,FALSE)</f>
        <v>Põhitegevuse kulu</v>
      </c>
    </row>
    <row r="1011" spans="1:16" x14ac:dyDescent="0.25">
      <c r="A1011" s="78" t="str">
        <f t="shared" si="30"/>
        <v>09</v>
      </c>
      <c r="B1011" s="78" t="s">
        <v>345</v>
      </c>
      <c r="C1011" s="80" t="str">
        <f>VLOOKUP(Table2[[#This Row],[Tegevusala]],Table4[],2,FALSE)</f>
        <v xml:space="preserve"> Vinni pajusti Gümnaasium</v>
      </c>
      <c r="D1011" s="80" t="str">
        <f>VLOOKUP(Table2[[#This Row],[Tegevusala]],Table4[[Tegevusala kood]:[Tegevusala alanimetus]],4,FALSE)</f>
        <v>Põhihariduse otsekulud</v>
      </c>
      <c r="E1011" s="80" t="str">
        <f>VLOOKUP(Table2[[#This Row],[Tegevusala nimetus2]],Table4[[Tegevusala nimetus]:[Tegevusala koondnimetus]],2,FALSE)</f>
        <v>Haridus</v>
      </c>
      <c r="F1011" s="78" t="s">
        <v>1449</v>
      </c>
      <c r="G1011" s="78" t="s">
        <v>1460</v>
      </c>
      <c r="H1011" s="79">
        <v>1000</v>
      </c>
      <c r="I1011" s="81" t="s">
        <v>1461</v>
      </c>
      <c r="J1011" s="78">
        <v>5511</v>
      </c>
      <c r="K1011" s="80" t="str">
        <f>VLOOKUP(Table2[[#This Row],[Konto]],Table5[[Konto]:[Konto nimetus]],2,FALSE)</f>
        <v>Kinnistute, hoonete ja ruumide majandamiskulud</v>
      </c>
      <c r="L1011" s="78">
        <v>55</v>
      </c>
      <c r="M1011" s="78" t="str">
        <f t="shared" si="31"/>
        <v>55</v>
      </c>
      <c r="N1011" s="80" t="str">
        <f>VLOOKUP(Table2[[#This Row],[Tulu/kulu liik2]],Table5[[Tulu/kulu liik]:[Kontode koondnimetus]],4,FALSE)</f>
        <v>Muud tegevuskulud</v>
      </c>
      <c r="O1011" s="80" t="str">
        <f>VLOOKUP(Table2[[#This Row],[Tulu/kulu liik2]],Table5[],6,FALSE)</f>
        <v>Majandamiskulud</v>
      </c>
      <c r="P1011" s="80" t="str">
        <f>VLOOKUP(Table2[[#This Row],[Tulu/kulu liik2]],Table5[],5,FALSE)</f>
        <v>Põhitegevuse kulu</v>
      </c>
    </row>
    <row r="1012" spans="1:16" x14ac:dyDescent="0.25">
      <c r="A1012" s="78" t="str">
        <f t="shared" si="30"/>
        <v>09</v>
      </c>
      <c r="B1012" s="78" t="s">
        <v>345</v>
      </c>
      <c r="C1012" s="80" t="str">
        <f>VLOOKUP(Table2[[#This Row],[Tegevusala]],Table4[],2,FALSE)</f>
        <v xml:space="preserve"> Vinni pajusti Gümnaasium</v>
      </c>
      <c r="D1012" s="80" t="str">
        <f>VLOOKUP(Table2[[#This Row],[Tegevusala]],Table4[[Tegevusala kood]:[Tegevusala alanimetus]],4,FALSE)</f>
        <v>Põhihariduse otsekulud</v>
      </c>
      <c r="E1012" s="80" t="str">
        <f>VLOOKUP(Table2[[#This Row],[Tegevusala nimetus2]],Table4[[Tegevusala nimetus]:[Tegevusala koondnimetus]],2,FALSE)</f>
        <v>Haridus</v>
      </c>
      <c r="F1012" s="78" t="s">
        <v>1449</v>
      </c>
      <c r="G1012" s="78" t="s">
        <v>1462</v>
      </c>
      <c r="H1012" s="79">
        <v>8000</v>
      </c>
      <c r="I1012" s="81" t="s">
        <v>1463</v>
      </c>
      <c r="J1012" s="78">
        <v>5515</v>
      </c>
      <c r="K1012" s="80" t="str">
        <f>VLOOKUP(Table2[[#This Row],[Konto]],Table5[[Konto]:[Konto nimetus]],2,FALSE)</f>
        <v>Inventari kulud, v.a infotehnoloogia ja kaitseotstarbelised kulud</v>
      </c>
      <c r="L1012" s="78">
        <v>55</v>
      </c>
      <c r="M1012" s="78" t="str">
        <f t="shared" si="31"/>
        <v>55</v>
      </c>
      <c r="N1012" s="80" t="str">
        <f>VLOOKUP(Table2[[#This Row],[Tulu/kulu liik2]],Table5[[Tulu/kulu liik]:[Kontode koondnimetus]],4,FALSE)</f>
        <v>Muud tegevuskulud</v>
      </c>
      <c r="O1012" s="80" t="str">
        <f>VLOOKUP(Table2[[#This Row],[Tulu/kulu liik2]],Table5[],6,FALSE)</f>
        <v>Majandamiskulud</v>
      </c>
      <c r="P1012" s="80" t="str">
        <f>VLOOKUP(Table2[[#This Row],[Tulu/kulu liik2]],Table5[],5,FALSE)</f>
        <v>Põhitegevuse kulu</v>
      </c>
    </row>
    <row r="1013" spans="1:16" x14ac:dyDescent="0.25">
      <c r="A1013" s="8" t="str">
        <f t="shared" si="30"/>
        <v>09</v>
      </c>
      <c r="B1013" s="8" t="s">
        <v>345</v>
      </c>
      <c r="C1013" s="32" t="str">
        <f>VLOOKUP(Table2[[#This Row],[Tegevusala]],Table4[],2,FALSE)</f>
        <v xml:space="preserve"> Vinni pajusti Gümnaasium</v>
      </c>
      <c r="D1013" s="32" t="str">
        <f>VLOOKUP(Table2[[#This Row],[Tegevusala]],Table4[[Tegevusala kood]:[Tegevusala alanimetus]],4,FALSE)</f>
        <v>Põhihariduse otsekulud</v>
      </c>
      <c r="E1013" s="32" t="str">
        <f>VLOOKUP(Table2[[#This Row],[Tegevusala nimetus2]],Table4[[Tegevusala nimetus]:[Tegevusala koondnimetus]],2,FALSE)</f>
        <v>Haridus</v>
      </c>
      <c r="F1013" s="8" t="s">
        <v>1449</v>
      </c>
      <c r="G1013" s="8" t="s">
        <v>2199</v>
      </c>
      <c r="H1013" s="43">
        <v>7036</v>
      </c>
      <c r="I1013" s="9" t="s">
        <v>2203</v>
      </c>
      <c r="J1013" s="8">
        <v>5504</v>
      </c>
      <c r="K1013" s="32" t="str">
        <f>VLOOKUP(Table2[[#This Row],[Konto]],Table5[[Konto]:[Konto nimetus]],2,FALSE)</f>
        <v>Koolituskulud</v>
      </c>
      <c r="L1013" s="8">
        <v>55</v>
      </c>
      <c r="M1013" s="8" t="str">
        <f t="shared" si="31"/>
        <v>55</v>
      </c>
      <c r="N1013" s="32" t="str">
        <f>VLOOKUP(Table2[[#This Row],[Tulu/kulu liik2]],Table5[[Tulu/kulu liik]:[Kontode koondnimetus]],4,FALSE)</f>
        <v>Muud tegevuskulud</v>
      </c>
      <c r="O1013" s="32" t="str">
        <f>VLOOKUP(Table2[[#This Row],[Tulu/kulu liik2]],Table5[],6,FALSE)</f>
        <v>Majandamiskulud</v>
      </c>
      <c r="P1013" s="32" t="str">
        <f>VLOOKUP(Table2[[#This Row],[Tulu/kulu liik2]],Table5[],5,FALSE)</f>
        <v>Põhitegevuse kulu</v>
      </c>
    </row>
    <row r="1014" spans="1:16" x14ac:dyDescent="0.25">
      <c r="A1014" s="8" t="str">
        <f t="shared" si="30"/>
        <v>09</v>
      </c>
      <c r="B1014" s="8" t="s">
        <v>345</v>
      </c>
      <c r="C1014" s="32" t="str">
        <f>VLOOKUP(Table2[[#This Row],[Tegevusala]],Table4[],2,FALSE)</f>
        <v xml:space="preserve"> Vinni pajusti Gümnaasium</v>
      </c>
      <c r="D1014" s="32" t="str">
        <f>VLOOKUP(Table2[[#This Row],[Tegevusala]],Table4[[Tegevusala kood]:[Tegevusala alanimetus]],4,FALSE)</f>
        <v>Põhihariduse otsekulud</v>
      </c>
      <c r="E1014" s="32" t="str">
        <f>VLOOKUP(Table2[[#This Row],[Tegevusala nimetus2]],Table4[[Tegevusala nimetus]:[Tegevusala koondnimetus]],2,FALSE)</f>
        <v>Haridus</v>
      </c>
      <c r="F1014" s="8" t="s">
        <v>1449</v>
      </c>
      <c r="G1014" s="8" t="s">
        <v>2200</v>
      </c>
      <c r="H1014" s="43">
        <v>22971</v>
      </c>
      <c r="I1014" s="9" t="s">
        <v>2203</v>
      </c>
      <c r="J1014" s="8">
        <v>5524</v>
      </c>
      <c r="K1014" s="32" t="str">
        <f>VLOOKUP(Table2[[#This Row],[Konto]],Table5[[Konto]:[Konto nimetus]],2,FALSE)</f>
        <v>Õppevahendid</v>
      </c>
      <c r="L1014" s="8">
        <v>55</v>
      </c>
      <c r="M1014" s="8" t="str">
        <f t="shared" si="31"/>
        <v>55</v>
      </c>
      <c r="N1014" s="32" t="str">
        <f>VLOOKUP(Table2[[#This Row],[Tulu/kulu liik2]],Table5[[Tulu/kulu liik]:[Kontode koondnimetus]],4,FALSE)</f>
        <v>Muud tegevuskulud</v>
      </c>
      <c r="O1014" s="32" t="str">
        <f>VLOOKUP(Table2[[#This Row],[Tulu/kulu liik2]],Table5[],6,FALSE)</f>
        <v>Majandamiskulud</v>
      </c>
      <c r="P1014" s="32" t="str">
        <f>VLOOKUP(Table2[[#This Row],[Tulu/kulu liik2]],Table5[],5,FALSE)</f>
        <v>Põhitegevuse kulu</v>
      </c>
    </row>
    <row r="1015" spans="1:16" x14ac:dyDescent="0.25">
      <c r="A1015" t="str">
        <f t="shared" si="30"/>
        <v>09</v>
      </c>
      <c r="B1015" t="s">
        <v>347</v>
      </c>
      <c r="C1015" s="3" t="str">
        <f>VLOOKUP(Table2[[#This Row],[Tegevusala]],Table4[],2,FALSE)</f>
        <v xml:space="preserve"> Kohatasud</v>
      </c>
      <c r="D1015" s="3" t="str">
        <f>VLOOKUP(Table2[[#This Row],[Tegevusala]],Table4[[Tegevusala kood]:[Tegevusala alanimetus]],4,FALSE)</f>
        <v>Põhihariduse otsekulud</v>
      </c>
      <c r="E1015" s="3" t="str">
        <f>VLOOKUP(Table2[[#This Row],[Tegevusala nimetus2]],Table4[[Tegevusala nimetus]:[Tegevusala koondnimetus]],2,FALSE)</f>
        <v>Haridus</v>
      </c>
      <c r="F1015" t="s">
        <v>1548</v>
      </c>
      <c r="G1015" t="s">
        <v>1554</v>
      </c>
      <c r="H1015" s="40">
        <v>87579</v>
      </c>
      <c r="I1015" s="2" t="s">
        <v>1555</v>
      </c>
      <c r="J1015">
        <v>5524</v>
      </c>
      <c r="K1015" s="3" t="str">
        <f>VLOOKUP(Table2[[#This Row],[Konto]],Table5[[Konto]:[Konto nimetus]],2,FALSE)</f>
        <v>Õppevahendid</v>
      </c>
      <c r="L1015">
        <v>55</v>
      </c>
      <c r="M1015" t="str">
        <f t="shared" si="31"/>
        <v>55</v>
      </c>
      <c r="N1015" s="3" t="str">
        <f>VLOOKUP(Table2[[#This Row],[Tulu/kulu liik2]],Table5[[Tulu/kulu liik]:[Kontode koondnimetus]],4,FALSE)</f>
        <v>Muud tegevuskulud</v>
      </c>
      <c r="O1015" s="3" t="str">
        <f>VLOOKUP(Table2[[#This Row],[Tulu/kulu liik2]],Table5[],6,FALSE)</f>
        <v>Majandamiskulud</v>
      </c>
      <c r="P1015" s="3" t="str">
        <f>VLOOKUP(Table2[[#This Row],[Tulu/kulu liik2]],Table5[],5,FALSE)</f>
        <v>Põhitegevuse kulu</v>
      </c>
    </row>
    <row r="1016" spans="1:16" hidden="1" x14ac:dyDescent="0.25">
      <c r="A1016" s="8" t="str">
        <f t="shared" si="30"/>
        <v>09</v>
      </c>
      <c r="B1016" s="8" t="s">
        <v>347</v>
      </c>
      <c r="C1016" s="32" t="str">
        <f>VLOOKUP(Table2[[#This Row],[Tegevusala]],Table4[],2,FALSE)</f>
        <v xml:space="preserve"> Kohatasud</v>
      </c>
      <c r="D1016" s="32" t="str">
        <f>VLOOKUP(Table2[[#This Row],[Tegevusala]],Table4[[Tegevusala kood]:[Tegevusala alanimetus]],4,FALSE)</f>
        <v>Põhihariduse otsekulud</v>
      </c>
      <c r="E1016" s="32" t="str">
        <f>VLOOKUP(Table2[[#This Row],[Tegevusala nimetus2]],Table4[[Tegevusala nimetus]:[Tegevusala koondnimetus]],2,FALSE)</f>
        <v>Haridus</v>
      </c>
      <c r="F1016" s="8" t="s">
        <v>1548</v>
      </c>
      <c r="G1016" s="8" t="s">
        <v>1549</v>
      </c>
      <c r="H1016" s="43">
        <v>-48048</v>
      </c>
      <c r="I1016" s="9" t="s">
        <v>1550</v>
      </c>
      <c r="J1016" s="8">
        <v>32202</v>
      </c>
      <c r="K1016" s="32" t="str">
        <f>VLOOKUP(Table2[[#This Row],[Konto]],Table5[[Konto]:[Konto nimetus]],2,FALSE)</f>
        <v>Õpilaskoht</v>
      </c>
      <c r="L1016" s="8">
        <v>32</v>
      </c>
      <c r="M1016" s="8" t="str">
        <f t="shared" si="31"/>
        <v>32</v>
      </c>
      <c r="N1016" s="32" t="str">
        <f>VLOOKUP(Table2[[#This Row],[Tulu/kulu liik2]],Table5[[Tulu/kulu liik]:[Kontode koondnimetus]],4,FALSE)</f>
        <v>Tulud kaupade ja teenuste müügist</v>
      </c>
      <c r="O1016" s="32" t="str">
        <f>VLOOKUP(Table2[[#This Row],[Tulu/kulu liik2]],Table5[],6,FALSE)</f>
        <v>Tulud kaupade ja teenuste müügist</v>
      </c>
      <c r="P1016" s="32" t="str">
        <f>VLOOKUP(Table2[[#This Row],[Tulu/kulu liik2]],Table5[],5,FALSE)</f>
        <v>Põhitegevuse tulu</v>
      </c>
    </row>
    <row r="1017" spans="1:16" hidden="1" x14ac:dyDescent="0.25">
      <c r="A1017" s="8" t="str">
        <f t="shared" si="30"/>
        <v>09</v>
      </c>
      <c r="B1017" s="8" t="s">
        <v>347</v>
      </c>
      <c r="C1017" s="32" t="str">
        <f>VLOOKUP(Table2[[#This Row],[Tegevusala]],Table4[],2,FALSE)</f>
        <v xml:space="preserve"> Kohatasud</v>
      </c>
      <c r="D1017" s="32" t="str">
        <f>VLOOKUP(Table2[[#This Row],[Tegevusala]],Table4[[Tegevusala kood]:[Tegevusala alanimetus]],4,FALSE)</f>
        <v>Põhihariduse otsekulud</v>
      </c>
      <c r="E1017" s="32" t="str">
        <f>VLOOKUP(Table2[[#This Row],[Tegevusala nimetus2]],Table4[[Tegevusala nimetus]:[Tegevusala koondnimetus]],2,FALSE)</f>
        <v>Haridus</v>
      </c>
      <c r="F1017" s="8" t="s">
        <v>1548</v>
      </c>
      <c r="G1017" s="8" t="s">
        <v>1549</v>
      </c>
      <c r="H1017" s="43">
        <v>-2940</v>
      </c>
      <c r="I1017" s="8" t="s">
        <v>1553</v>
      </c>
      <c r="J1017" s="8">
        <v>32202</v>
      </c>
      <c r="K1017" s="32" t="str">
        <f>VLOOKUP(Table2[[#This Row],[Konto]],Table5[[Konto]:[Konto nimetus]],2,FALSE)</f>
        <v>Õpilaskoht</v>
      </c>
      <c r="L1017" s="8">
        <v>32</v>
      </c>
      <c r="M1017" s="8" t="str">
        <f t="shared" si="31"/>
        <v>32</v>
      </c>
      <c r="N1017" s="32" t="str">
        <f>VLOOKUP(Table2[[#This Row],[Tulu/kulu liik2]],Table5[[Tulu/kulu liik]:[Kontode koondnimetus]],4,FALSE)</f>
        <v>Tulud kaupade ja teenuste müügist</v>
      </c>
      <c r="O1017" s="32" t="str">
        <f>VLOOKUP(Table2[[#This Row],[Tulu/kulu liik2]],Table5[],6,FALSE)</f>
        <v>Tulud kaupade ja teenuste müügist</v>
      </c>
      <c r="P1017" s="32" t="str">
        <f>VLOOKUP(Table2[[#This Row],[Tulu/kulu liik2]],Table5[],5,FALSE)</f>
        <v>Põhitegevuse tulu</v>
      </c>
    </row>
    <row r="1018" spans="1:16" x14ac:dyDescent="0.25">
      <c r="A1018" t="str">
        <f t="shared" si="30"/>
        <v>09</v>
      </c>
      <c r="B1018" t="s">
        <v>348</v>
      </c>
      <c r="C1018" s="3" t="str">
        <f>VLOOKUP(Table2[[#This Row],[Tegevusala]],Table4[],2,FALSE)</f>
        <v xml:space="preserve"> Põlula kool</v>
      </c>
      <c r="D1018" s="3" t="str">
        <f>VLOOKUP(Table2[[#This Row],[Tegevusala]],Table4[[Tegevusala kood]:[Tegevusala alanimetus]],4,FALSE)</f>
        <v>Põhihariduse otsekulud</v>
      </c>
      <c r="E1018" s="3" t="str">
        <f>VLOOKUP(Table2[[#This Row],[Tegevusala nimetus2]],Table4[[Tegevusala nimetus]:[Tegevusala koondnimetus]],2,FALSE)</f>
        <v>Haridus</v>
      </c>
      <c r="F1018" t="s">
        <v>1518</v>
      </c>
      <c r="G1018" t="s">
        <v>1520</v>
      </c>
      <c r="H1018" s="40">
        <v>500</v>
      </c>
      <c r="J1018">
        <v>5500</v>
      </c>
      <c r="K1018" s="3" t="str">
        <f>VLOOKUP(Table2[[#This Row],[Konto]],Table5[[Konto]:[Konto nimetus]],2,FALSE)</f>
        <v>Administreerimiskulud</v>
      </c>
      <c r="L1018">
        <v>55</v>
      </c>
      <c r="M1018" t="str">
        <f t="shared" si="31"/>
        <v>55</v>
      </c>
      <c r="N1018" s="3" t="str">
        <f>VLOOKUP(Table2[[#This Row],[Tulu/kulu liik2]],Table5[[Tulu/kulu liik]:[Kontode koondnimetus]],4,FALSE)</f>
        <v>Muud tegevuskulud</v>
      </c>
      <c r="O1018" s="3" t="str">
        <f>VLOOKUP(Table2[[#This Row],[Tulu/kulu liik2]],Table5[],6,FALSE)</f>
        <v>Majandamiskulud</v>
      </c>
      <c r="P1018" s="3" t="str">
        <f>VLOOKUP(Table2[[#This Row],[Tulu/kulu liik2]],Table5[],5,FALSE)</f>
        <v>Põhitegevuse kulu</v>
      </c>
    </row>
    <row r="1019" spans="1:16" x14ac:dyDescent="0.25">
      <c r="A1019" t="str">
        <f t="shared" si="30"/>
        <v>09</v>
      </c>
      <c r="B1019" t="s">
        <v>348</v>
      </c>
      <c r="C1019" s="3" t="str">
        <f>VLOOKUP(Table2[[#This Row],[Tegevusala]],Table4[],2,FALSE)</f>
        <v xml:space="preserve"> Põlula kool</v>
      </c>
      <c r="D1019" s="3" t="str">
        <f>VLOOKUP(Table2[[#This Row],[Tegevusala]],Table4[[Tegevusala kood]:[Tegevusala alanimetus]],4,FALSE)</f>
        <v>Põhihariduse otsekulud</v>
      </c>
      <c r="E1019" s="3" t="str">
        <f>VLOOKUP(Table2[[#This Row],[Tegevusala nimetus2]],Table4[[Tegevusala nimetus]:[Tegevusala koondnimetus]],2,FALSE)</f>
        <v>Haridus</v>
      </c>
      <c r="F1019" t="s">
        <v>1518</v>
      </c>
      <c r="G1019" t="s">
        <v>1521</v>
      </c>
      <c r="H1019" s="40">
        <f>1500-200</f>
        <v>1300</v>
      </c>
      <c r="J1019">
        <v>5504</v>
      </c>
      <c r="K1019" s="3" t="str">
        <f>VLOOKUP(Table2[[#This Row],[Konto]],Table5[[Konto]:[Konto nimetus]],2,FALSE)</f>
        <v>Koolituskulud</v>
      </c>
      <c r="L1019">
        <v>55</v>
      </c>
      <c r="M1019" t="str">
        <f t="shared" si="31"/>
        <v>55</v>
      </c>
      <c r="N1019" s="3" t="str">
        <f>VLOOKUP(Table2[[#This Row],[Tulu/kulu liik2]],Table5[[Tulu/kulu liik]:[Kontode koondnimetus]],4,FALSE)</f>
        <v>Muud tegevuskulud</v>
      </c>
      <c r="O1019" s="3" t="str">
        <f>VLOOKUP(Table2[[#This Row],[Tulu/kulu liik2]],Table5[],6,FALSE)</f>
        <v>Majandamiskulud</v>
      </c>
      <c r="P1019" s="3" t="str">
        <f>VLOOKUP(Table2[[#This Row],[Tulu/kulu liik2]],Table5[],5,FALSE)</f>
        <v>Põhitegevuse kulu</v>
      </c>
    </row>
    <row r="1020" spans="1:16" x14ac:dyDescent="0.25">
      <c r="A1020" t="str">
        <f t="shared" si="30"/>
        <v>09</v>
      </c>
      <c r="B1020" t="s">
        <v>348</v>
      </c>
      <c r="C1020" s="3" t="str">
        <f>VLOOKUP(Table2[[#This Row],[Tegevusala]],Table4[],2,FALSE)</f>
        <v xml:space="preserve"> Põlula kool</v>
      </c>
      <c r="D1020" s="3" t="str">
        <f>VLOOKUP(Table2[[#This Row],[Tegevusala]],Table4[[Tegevusala kood]:[Tegevusala alanimetus]],4,FALSE)</f>
        <v>Põhihariduse otsekulud</v>
      </c>
      <c r="E1020" s="3" t="str">
        <f>VLOOKUP(Table2[[#This Row],[Tegevusala nimetus2]],Table4[[Tegevusala nimetus]:[Tegevusala koondnimetus]],2,FALSE)</f>
        <v>Haridus</v>
      </c>
      <c r="F1020" t="s">
        <v>1518</v>
      </c>
      <c r="G1020" t="s">
        <v>2199</v>
      </c>
      <c r="H1020" s="40">
        <v>200</v>
      </c>
      <c r="I1020" s="2" t="s">
        <v>2203</v>
      </c>
      <c r="J1020">
        <v>5504</v>
      </c>
      <c r="K1020" s="3" t="str">
        <f>VLOOKUP(Table2[[#This Row],[Konto]],Table5[[Konto]:[Konto nimetus]],2,FALSE)</f>
        <v>Koolituskulud</v>
      </c>
      <c r="L1020">
        <v>55</v>
      </c>
      <c r="M1020" t="str">
        <f t="shared" si="31"/>
        <v>55</v>
      </c>
      <c r="N1020" s="3" t="str">
        <f>VLOOKUP(Table2[[#This Row],[Tulu/kulu liik2]],Table5[[Tulu/kulu liik]:[Kontode koondnimetus]],4,FALSE)</f>
        <v>Muud tegevuskulud</v>
      </c>
      <c r="O1020" s="34" t="str">
        <f>VLOOKUP(Table2[[#This Row],[Tulu/kulu liik2]],Table5[],6,FALSE)</f>
        <v>Majandamiskulud</v>
      </c>
      <c r="P1020" s="3" t="str">
        <f>VLOOKUP(Table2[[#This Row],[Tulu/kulu liik2]],Table5[],5,FALSE)</f>
        <v>Põhitegevuse kulu</v>
      </c>
    </row>
    <row r="1021" spans="1:16" x14ac:dyDescent="0.25">
      <c r="A1021" t="str">
        <f t="shared" si="30"/>
        <v>09</v>
      </c>
      <c r="B1021" t="s">
        <v>348</v>
      </c>
      <c r="C1021" s="3" t="str">
        <f>VLOOKUP(Table2[[#This Row],[Tegevusala]],Table4[],2,FALSE)</f>
        <v xml:space="preserve"> Põlula kool</v>
      </c>
      <c r="D1021" s="3" t="str">
        <f>VLOOKUP(Table2[[#This Row],[Tegevusala]],Table4[[Tegevusala kood]:[Tegevusala alanimetus]],4,FALSE)</f>
        <v>Põhihariduse otsekulud</v>
      </c>
      <c r="E1021" s="3" t="str">
        <f>VLOOKUP(Table2[[#This Row],[Tegevusala nimetus2]],Table4[[Tegevusala nimetus]:[Tegevusala koondnimetus]],2,FALSE)</f>
        <v>Haridus</v>
      </c>
      <c r="F1021" t="s">
        <v>1518</v>
      </c>
      <c r="G1021" t="s">
        <v>947</v>
      </c>
      <c r="H1021" s="40">
        <v>2750</v>
      </c>
      <c r="J1021">
        <v>5513</v>
      </c>
      <c r="K1021" s="3" t="str">
        <f>VLOOKUP(Table2[[#This Row],[Konto]],Table5[[Konto]:[Konto nimetus]],2,FALSE)</f>
        <v>Sõidukite ülalpidamise kulud</v>
      </c>
      <c r="L1021">
        <v>55</v>
      </c>
      <c r="M1021" t="str">
        <f t="shared" si="31"/>
        <v>55</v>
      </c>
      <c r="N1021" s="3" t="str">
        <f>VLOOKUP(Table2[[#This Row],[Tulu/kulu liik2]],Table5[[Tulu/kulu liik]:[Kontode koondnimetus]],4,FALSE)</f>
        <v>Muud tegevuskulud</v>
      </c>
      <c r="O1021" s="3" t="str">
        <f>VLOOKUP(Table2[[#This Row],[Tulu/kulu liik2]],Table5[],6,FALSE)</f>
        <v>Majandamiskulud</v>
      </c>
      <c r="P1021" s="3" t="str">
        <f>VLOOKUP(Table2[[#This Row],[Tulu/kulu liik2]],Table5[],5,FALSE)</f>
        <v>Põhitegevuse kulu</v>
      </c>
    </row>
    <row r="1022" spans="1:16" x14ac:dyDescent="0.25">
      <c r="A1022" t="str">
        <f t="shared" si="30"/>
        <v>09</v>
      </c>
      <c r="B1022" t="s">
        <v>348</v>
      </c>
      <c r="C1022" s="3" t="str">
        <f>VLOOKUP(Table2[[#This Row],[Tegevusala]],Table4[],2,FALSE)</f>
        <v xml:space="preserve"> Põlula kool</v>
      </c>
      <c r="D1022" s="3" t="str">
        <f>VLOOKUP(Table2[[#This Row],[Tegevusala]],Table4[[Tegevusala kood]:[Tegevusala alanimetus]],4,FALSE)</f>
        <v>Põhihariduse otsekulud</v>
      </c>
      <c r="E1022" s="3" t="str">
        <f>VLOOKUP(Table2[[#This Row],[Tegevusala nimetus2]],Table4[[Tegevusala nimetus]:[Tegevusala koondnimetus]],2,FALSE)</f>
        <v>Haridus</v>
      </c>
      <c r="F1022" t="s">
        <v>1518</v>
      </c>
      <c r="G1022" t="s">
        <v>1527</v>
      </c>
      <c r="H1022" s="40">
        <v>100</v>
      </c>
      <c r="J1022">
        <v>5513</v>
      </c>
      <c r="K1022" s="3" t="str">
        <f>VLOOKUP(Table2[[#This Row],[Konto]],Table5[[Konto]:[Konto nimetus]],2,FALSE)</f>
        <v>Sõidukite ülalpidamise kulud</v>
      </c>
      <c r="L1022">
        <v>55</v>
      </c>
      <c r="M1022" t="str">
        <f t="shared" si="31"/>
        <v>55</v>
      </c>
      <c r="N1022" s="3" t="str">
        <f>VLOOKUP(Table2[[#This Row],[Tulu/kulu liik2]],Table5[[Tulu/kulu liik]:[Kontode koondnimetus]],4,FALSE)</f>
        <v>Muud tegevuskulud</v>
      </c>
      <c r="O1022" s="3" t="str">
        <f>VLOOKUP(Table2[[#This Row],[Tulu/kulu liik2]],Table5[],6,FALSE)</f>
        <v>Majandamiskulud</v>
      </c>
      <c r="P1022" s="3" t="str">
        <f>VLOOKUP(Table2[[#This Row],[Tulu/kulu liik2]],Table5[],5,FALSE)</f>
        <v>Põhitegevuse kulu</v>
      </c>
    </row>
    <row r="1023" spans="1:16" x14ac:dyDescent="0.25">
      <c r="A1023" t="str">
        <f t="shared" si="30"/>
        <v>09</v>
      </c>
      <c r="B1023" t="s">
        <v>348</v>
      </c>
      <c r="C1023" s="3" t="str">
        <f>VLOOKUP(Table2[[#This Row],[Tegevusala]],Table4[],2,FALSE)</f>
        <v xml:space="preserve"> Põlula kool</v>
      </c>
      <c r="D1023" s="3" t="str">
        <f>VLOOKUP(Table2[[#This Row],[Tegevusala]],Table4[[Tegevusala kood]:[Tegevusala alanimetus]],4,FALSE)</f>
        <v>Põhihariduse otsekulud</v>
      </c>
      <c r="E1023" s="3" t="str">
        <f>VLOOKUP(Table2[[#This Row],[Tegevusala nimetus2]],Table4[[Tegevusala nimetus]:[Tegevusala koondnimetus]],2,FALSE)</f>
        <v>Haridus</v>
      </c>
      <c r="F1023" t="s">
        <v>1518</v>
      </c>
      <c r="G1023" t="s">
        <v>1529</v>
      </c>
      <c r="H1023" s="40">
        <v>200</v>
      </c>
      <c r="J1023">
        <v>5515</v>
      </c>
      <c r="K1023" s="3" t="str">
        <f>VLOOKUP(Table2[[#This Row],[Konto]],Table5[[Konto]:[Konto nimetus]],2,FALSE)</f>
        <v>Inventari kulud, v.a infotehnoloogia ja kaitseotstarbelised kulud</v>
      </c>
      <c r="L1023">
        <v>55</v>
      </c>
      <c r="M1023" t="str">
        <f t="shared" si="31"/>
        <v>55</v>
      </c>
      <c r="N1023" s="3" t="str">
        <f>VLOOKUP(Table2[[#This Row],[Tulu/kulu liik2]],Table5[[Tulu/kulu liik]:[Kontode koondnimetus]],4,FALSE)</f>
        <v>Muud tegevuskulud</v>
      </c>
      <c r="O1023" s="3" t="str">
        <f>VLOOKUP(Table2[[#This Row],[Tulu/kulu liik2]],Table5[],6,FALSE)</f>
        <v>Majandamiskulud</v>
      </c>
      <c r="P1023" s="3" t="str">
        <f>VLOOKUP(Table2[[#This Row],[Tulu/kulu liik2]],Table5[],5,FALSE)</f>
        <v>Põhitegevuse kulu</v>
      </c>
    </row>
    <row r="1024" spans="1:16" x14ac:dyDescent="0.25">
      <c r="A1024" t="str">
        <f t="shared" si="30"/>
        <v>09</v>
      </c>
      <c r="B1024" t="s">
        <v>348</v>
      </c>
      <c r="C1024" s="3" t="str">
        <f>VLOOKUP(Table2[[#This Row],[Tegevusala]],Table4[],2,FALSE)</f>
        <v xml:space="preserve"> Põlula kool</v>
      </c>
      <c r="D1024" s="3" t="str">
        <f>VLOOKUP(Table2[[#This Row],[Tegevusala]],Table4[[Tegevusala kood]:[Tegevusala alanimetus]],4,FALSE)</f>
        <v>Põhihariduse otsekulud</v>
      </c>
      <c r="E1024" s="3" t="str">
        <f>VLOOKUP(Table2[[#This Row],[Tegevusala nimetus2]],Table4[[Tegevusala nimetus]:[Tegevusala koondnimetus]],2,FALSE)</f>
        <v>Haridus</v>
      </c>
      <c r="F1024" t="s">
        <v>1518</v>
      </c>
      <c r="G1024" t="s">
        <v>1530</v>
      </c>
      <c r="H1024" s="40">
        <v>200</v>
      </c>
      <c r="J1024">
        <v>5515</v>
      </c>
      <c r="K1024" s="3" t="str">
        <f>VLOOKUP(Table2[[#This Row],[Konto]],Table5[[Konto]:[Konto nimetus]],2,FALSE)</f>
        <v>Inventari kulud, v.a infotehnoloogia ja kaitseotstarbelised kulud</v>
      </c>
      <c r="L1024">
        <v>55</v>
      </c>
      <c r="M1024" t="str">
        <f t="shared" si="31"/>
        <v>55</v>
      </c>
      <c r="N1024" s="3" t="str">
        <f>VLOOKUP(Table2[[#This Row],[Tulu/kulu liik2]],Table5[[Tulu/kulu liik]:[Kontode koondnimetus]],4,FALSE)</f>
        <v>Muud tegevuskulud</v>
      </c>
      <c r="O1024" s="3" t="str">
        <f>VLOOKUP(Table2[[#This Row],[Tulu/kulu liik2]],Table5[],6,FALSE)</f>
        <v>Majandamiskulud</v>
      </c>
      <c r="P1024" s="3" t="str">
        <f>VLOOKUP(Table2[[#This Row],[Tulu/kulu liik2]],Table5[],5,FALSE)</f>
        <v>Põhitegevuse kulu</v>
      </c>
    </row>
    <row r="1025" spans="1:16" x14ac:dyDescent="0.25">
      <c r="A1025" t="str">
        <f t="shared" si="30"/>
        <v>09</v>
      </c>
      <c r="B1025" t="s">
        <v>348</v>
      </c>
      <c r="C1025" s="3" t="str">
        <f>VLOOKUP(Table2[[#This Row],[Tegevusala]],Table4[],2,FALSE)</f>
        <v xml:space="preserve"> Põlula kool</v>
      </c>
      <c r="D1025" s="3" t="str">
        <f>VLOOKUP(Table2[[#This Row],[Tegevusala]],Table4[[Tegevusala kood]:[Tegevusala alanimetus]],4,FALSE)</f>
        <v>Põhihariduse otsekulud</v>
      </c>
      <c r="E1025" s="3" t="str">
        <f>VLOOKUP(Table2[[#This Row],[Tegevusala nimetus2]],Table4[[Tegevusala nimetus]:[Tegevusala koondnimetus]],2,FALSE)</f>
        <v>Haridus</v>
      </c>
      <c r="F1025" t="s">
        <v>1518</v>
      </c>
      <c r="G1025" t="s">
        <v>1531</v>
      </c>
      <c r="H1025" s="40">
        <v>100</v>
      </c>
      <c r="J1025">
        <v>5515</v>
      </c>
      <c r="K1025" s="3" t="str">
        <f>VLOOKUP(Table2[[#This Row],[Konto]],Table5[[Konto]:[Konto nimetus]],2,FALSE)</f>
        <v>Inventari kulud, v.a infotehnoloogia ja kaitseotstarbelised kulud</v>
      </c>
      <c r="L1025">
        <v>55</v>
      </c>
      <c r="M1025" t="str">
        <f t="shared" si="31"/>
        <v>55</v>
      </c>
      <c r="N1025" s="3" t="str">
        <f>VLOOKUP(Table2[[#This Row],[Tulu/kulu liik2]],Table5[[Tulu/kulu liik]:[Kontode koondnimetus]],4,FALSE)</f>
        <v>Muud tegevuskulud</v>
      </c>
      <c r="O1025" s="3" t="str">
        <f>VLOOKUP(Table2[[#This Row],[Tulu/kulu liik2]],Table5[],6,FALSE)</f>
        <v>Majandamiskulud</v>
      </c>
      <c r="P1025" s="3" t="str">
        <f>VLOOKUP(Table2[[#This Row],[Tulu/kulu liik2]],Table5[],5,FALSE)</f>
        <v>Põhitegevuse kulu</v>
      </c>
    </row>
    <row r="1026" spans="1:16" x14ac:dyDescent="0.25">
      <c r="A1026" t="str">
        <f t="shared" ref="A1026:A1089" si="32">LEFT(B1026,2)</f>
        <v>09</v>
      </c>
      <c r="B1026" t="s">
        <v>348</v>
      </c>
      <c r="C1026" s="3" t="str">
        <f>VLOOKUP(Table2[[#This Row],[Tegevusala]],Table4[],2,FALSE)</f>
        <v xml:space="preserve"> Põlula kool</v>
      </c>
      <c r="D1026" s="3" t="str">
        <f>VLOOKUP(Table2[[#This Row],[Tegevusala]],Table4[[Tegevusala kood]:[Tegevusala alanimetus]],4,FALSE)</f>
        <v>Põhihariduse otsekulud</v>
      </c>
      <c r="E1026" s="3" t="str">
        <f>VLOOKUP(Table2[[#This Row],[Tegevusala nimetus2]],Table4[[Tegevusala nimetus]:[Tegevusala koondnimetus]],2,FALSE)</f>
        <v>Haridus</v>
      </c>
      <c r="F1026" t="s">
        <v>1518</v>
      </c>
      <c r="G1026" t="s">
        <v>1532</v>
      </c>
      <c r="H1026" s="40">
        <v>100</v>
      </c>
      <c r="J1026">
        <v>5515</v>
      </c>
      <c r="K1026" s="3" t="str">
        <f>VLOOKUP(Table2[[#This Row],[Konto]],Table5[[Konto]:[Konto nimetus]],2,FALSE)</f>
        <v>Inventari kulud, v.a infotehnoloogia ja kaitseotstarbelised kulud</v>
      </c>
      <c r="L1026">
        <v>55</v>
      </c>
      <c r="M1026" t="str">
        <f t="shared" ref="M1026:M1089" si="33">LEFT(J1026,2)</f>
        <v>55</v>
      </c>
      <c r="N1026" s="3" t="str">
        <f>VLOOKUP(Table2[[#This Row],[Tulu/kulu liik2]],Table5[[Tulu/kulu liik]:[Kontode koondnimetus]],4,FALSE)</f>
        <v>Muud tegevuskulud</v>
      </c>
      <c r="O1026" s="3" t="str">
        <f>VLOOKUP(Table2[[#This Row],[Tulu/kulu liik2]],Table5[],6,FALSE)</f>
        <v>Majandamiskulud</v>
      </c>
      <c r="P1026" s="3" t="str">
        <f>VLOOKUP(Table2[[#This Row],[Tulu/kulu liik2]],Table5[],5,FALSE)</f>
        <v>Põhitegevuse kulu</v>
      </c>
    </row>
    <row r="1027" spans="1:16" x14ac:dyDescent="0.25">
      <c r="A1027" t="str">
        <f t="shared" si="32"/>
        <v>09</v>
      </c>
      <c r="B1027" t="s">
        <v>348</v>
      </c>
      <c r="C1027" s="3" t="str">
        <f>VLOOKUP(Table2[[#This Row],[Tegevusala]],Table4[],2,FALSE)</f>
        <v xml:space="preserve"> Põlula kool</v>
      </c>
      <c r="D1027" s="3" t="str">
        <f>VLOOKUP(Table2[[#This Row],[Tegevusala]],Table4[[Tegevusala kood]:[Tegevusala alanimetus]],4,FALSE)</f>
        <v>Põhihariduse otsekulud</v>
      </c>
      <c r="E1027" s="3" t="str">
        <f>VLOOKUP(Table2[[#This Row],[Tegevusala nimetus2]],Table4[[Tegevusala nimetus]:[Tegevusala koondnimetus]],2,FALSE)</f>
        <v>Haridus</v>
      </c>
      <c r="F1027" t="s">
        <v>1518</v>
      </c>
      <c r="G1027" t="s">
        <v>1138</v>
      </c>
      <c r="H1027" s="40">
        <f>5000-1925</f>
        <v>3075</v>
      </c>
      <c r="J1027">
        <v>5521</v>
      </c>
      <c r="K1027" s="3" t="str">
        <f>VLOOKUP(Table2[[#This Row],[Konto]],Table5[[Konto]:[Konto nimetus]],2,FALSE)</f>
        <v>Toiduained ja toitlustusteenused</v>
      </c>
      <c r="L1027">
        <v>55</v>
      </c>
      <c r="M1027" t="str">
        <f t="shared" si="33"/>
        <v>55</v>
      </c>
      <c r="N1027" s="3" t="str">
        <f>VLOOKUP(Table2[[#This Row],[Tulu/kulu liik2]],Table5[[Tulu/kulu liik]:[Kontode koondnimetus]],4,FALSE)</f>
        <v>Muud tegevuskulud</v>
      </c>
      <c r="O1027" s="3" t="str">
        <f>VLOOKUP(Table2[[#This Row],[Tulu/kulu liik2]],Table5[],6,FALSE)</f>
        <v>Majandamiskulud</v>
      </c>
      <c r="P1027" s="3" t="str">
        <f>VLOOKUP(Table2[[#This Row],[Tulu/kulu liik2]],Table5[],5,FALSE)</f>
        <v>Põhitegevuse kulu</v>
      </c>
    </row>
    <row r="1028" spans="1:16" x14ac:dyDescent="0.25">
      <c r="A1028" t="str">
        <f t="shared" si="32"/>
        <v>09</v>
      </c>
      <c r="B1028" t="s">
        <v>348</v>
      </c>
      <c r="C1028" s="3" t="str">
        <f>VLOOKUP(Table2[[#This Row],[Tegevusala]],Table4[],2,FALSE)</f>
        <v xml:space="preserve"> Põlula kool</v>
      </c>
      <c r="D1028" s="3" t="str">
        <f>VLOOKUP(Table2[[#This Row],[Tegevusala]],Table4[[Tegevusala kood]:[Tegevusala alanimetus]],4,FALSE)</f>
        <v>Põhihariduse otsekulud</v>
      </c>
      <c r="E1028" s="3" t="str">
        <f>VLOOKUP(Table2[[#This Row],[Tegevusala nimetus2]],Table4[[Tegevusala nimetus]:[Tegevusala koondnimetus]],2,FALSE)</f>
        <v>Haridus</v>
      </c>
      <c r="F1028" t="s">
        <v>1518</v>
      </c>
      <c r="G1028" t="s">
        <v>1138</v>
      </c>
      <c r="H1028" s="40">
        <v>1925</v>
      </c>
      <c r="I1028" s="2" t="s">
        <v>2203</v>
      </c>
      <c r="J1028">
        <v>5521</v>
      </c>
      <c r="K1028" s="3" t="str">
        <f>VLOOKUP(Table2[[#This Row],[Konto]],Table5[[Konto]:[Konto nimetus]],2,FALSE)</f>
        <v>Toiduained ja toitlustusteenused</v>
      </c>
      <c r="L1028">
        <v>55</v>
      </c>
      <c r="M1028" t="str">
        <f t="shared" si="33"/>
        <v>55</v>
      </c>
      <c r="N1028" s="3" t="str">
        <f>VLOOKUP(Table2[[#This Row],[Tulu/kulu liik2]],Table5[[Tulu/kulu liik]:[Kontode koondnimetus]],4,FALSE)</f>
        <v>Muud tegevuskulud</v>
      </c>
      <c r="O1028" s="34" t="str">
        <f>VLOOKUP(Table2[[#This Row],[Tulu/kulu liik2]],Table5[],6,FALSE)</f>
        <v>Majandamiskulud</v>
      </c>
      <c r="P1028" s="3" t="str">
        <f>VLOOKUP(Table2[[#This Row],[Tulu/kulu liik2]],Table5[],5,FALSE)</f>
        <v>Põhitegevuse kulu</v>
      </c>
    </row>
    <row r="1029" spans="1:16" x14ac:dyDescent="0.25">
      <c r="A1029" t="str">
        <f t="shared" si="32"/>
        <v>09</v>
      </c>
      <c r="B1029" t="s">
        <v>348</v>
      </c>
      <c r="C1029" s="3" t="str">
        <f>VLOOKUP(Table2[[#This Row],[Tegevusala]],Table4[],2,FALSE)</f>
        <v xml:space="preserve"> Põlula kool</v>
      </c>
      <c r="D1029" s="3" t="str">
        <f>VLOOKUP(Table2[[#This Row],[Tegevusala]],Table4[[Tegevusala kood]:[Tegevusala alanimetus]],4,FALSE)</f>
        <v>Põhihariduse otsekulud</v>
      </c>
      <c r="E1029" s="3" t="str">
        <f>VLOOKUP(Table2[[#This Row],[Tegevusala nimetus2]],Table4[[Tegevusala nimetus]:[Tegevusala koondnimetus]],2,FALSE)</f>
        <v>Haridus</v>
      </c>
      <c r="F1029" t="s">
        <v>1518</v>
      </c>
      <c r="G1029" t="s">
        <v>1533</v>
      </c>
      <c r="H1029" s="40">
        <v>100</v>
      </c>
      <c r="J1029">
        <v>5522</v>
      </c>
      <c r="K1029" s="3" t="str">
        <f>VLOOKUP(Table2[[#This Row],[Konto]],Table5[[Konto]:[Konto nimetus]],2,FALSE)</f>
        <v>Meditsiinikulud ja hügieenitarbed</v>
      </c>
      <c r="L1029">
        <v>55</v>
      </c>
      <c r="M1029" t="str">
        <f t="shared" si="33"/>
        <v>55</v>
      </c>
      <c r="N1029" s="3" t="str">
        <f>VLOOKUP(Table2[[#This Row],[Tulu/kulu liik2]],Table5[[Tulu/kulu liik]:[Kontode koondnimetus]],4,FALSE)</f>
        <v>Muud tegevuskulud</v>
      </c>
      <c r="O1029" s="3" t="str">
        <f>VLOOKUP(Table2[[#This Row],[Tulu/kulu liik2]],Table5[],6,FALSE)</f>
        <v>Majandamiskulud</v>
      </c>
      <c r="P1029" s="3" t="str">
        <f>VLOOKUP(Table2[[#This Row],[Tulu/kulu liik2]],Table5[],5,FALSE)</f>
        <v>Põhitegevuse kulu</v>
      </c>
    </row>
    <row r="1030" spans="1:16" x14ac:dyDescent="0.25">
      <c r="A1030" t="str">
        <f t="shared" si="32"/>
        <v>09</v>
      </c>
      <c r="B1030" t="s">
        <v>348</v>
      </c>
      <c r="C1030" s="3" t="str">
        <f>VLOOKUP(Table2[[#This Row],[Tegevusala]],Table4[],2,FALSE)</f>
        <v xml:space="preserve"> Põlula kool</v>
      </c>
      <c r="D1030" s="3" t="str">
        <f>VLOOKUP(Table2[[#This Row],[Tegevusala]],Table4[[Tegevusala kood]:[Tegevusala alanimetus]],4,FALSE)</f>
        <v>Põhihariduse otsekulud</v>
      </c>
      <c r="E1030" s="3" t="str">
        <f>VLOOKUP(Table2[[#This Row],[Tegevusala nimetus2]],Table4[[Tegevusala nimetus]:[Tegevusala koondnimetus]],2,FALSE)</f>
        <v>Haridus</v>
      </c>
      <c r="F1030" t="s">
        <v>1518</v>
      </c>
      <c r="G1030" t="s">
        <v>1534</v>
      </c>
      <c r="H1030" s="40">
        <v>300</v>
      </c>
      <c r="J1030">
        <v>5524</v>
      </c>
      <c r="K1030" s="3" t="str">
        <f>VLOOKUP(Table2[[#This Row],[Konto]],Table5[[Konto]:[Konto nimetus]],2,FALSE)</f>
        <v>Õppevahendid</v>
      </c>
      <c r="L1030">
        <v>55</v>
      </c>
      <c r="M1030" t="str">
        <f t="shared" si="33"/>
        <v>55</v>
      </c>
      <c r="N1030" s="3" t="str">
        <f>VLOOKUP(Table2[[#This Row],[Tulu/kulu liik2]],Table5[[Tulu/kulu liik]:[Kontode koondnimetus]],4,FALSE)</f>
        <v>Muud tegevuskulud</v>
      </c>
      <c r="O1030" s="3" t="str">
        <f>VLOOKUP(Table2[[#This Row],[Tulu/kulu liik2]],Table5[],6,FALSE)</f>
        <v>Majandamiskulud</v>
      </c>
      <c r="P1030" s="3" t="str">
        <f>VLOOKUP(Table2[[#This Row],[Tulu/kulu liik2]],Table5[],5,FALSE)</f>
        <v>Põhitegevuse kulu</v>
      </c>
    </row>
    <row r="1031" spans="1:16" x14ac:dyDescent="0.25">
      <c r="A1031" t="str">
        <f t="shared" si="32"/>
        <v>09</v>
      </c>
      <c r="B1031" t="s">
        <v>348</v>
      </c>
      <c r="C1031" s="3" t="str">
        <f>VLOOKUP(Table2[[#This Row],[Tegevusala]],Table4[],2,FALSE)</f>
        <v xml:space="preserve"> Põlula kool</v>
      </c>
      <c r="D1031" s="3" t="str">
        <f>VLOOKUP(Table2[[#This Row],[Tegevusala]],Table4[[Tegevusala kood]:[Tegevusala alanimetus]],4,FALSE)</f>
        <v>Põhihariduse otsekulud</v>
      </c>
      <c r="E1031" s="3" t="str">
        <f>VLOOKUP(Table2[[#This Row],[Tegevusala nimetus2]],Table4[[Tegevusala nimetus]:[Tegevusala koondnimetus]],2,FALSE)</f>
        <v>Haridus</v>
      </c>
      <c r="F1031" t="s">
        <v>1518</v>
      </c>
      <c r="G1031" t="s">
        <v>1535</v>
      </c>
      <c r="H1031" s="40">
        <v>300</v>
      </c>
      <c r="J1031">
        <v>5500</v>
      </c>
      <c r="K1031" s="3" t="str">
        <f>VLOOKUP(Table2[[#This Row],[Konto]],Table5[[Konto]:[Konto nimetus]],2,FALSE)</f>
        <v>Administreerimiskulud</v>
      </c>
      <c r="L1031">
        <v>55</v>
      </c>
      <c r="M1031" t="str">
        <f t="shared" si="33"/>
        <v>55</v>
      </c>
      <c r="N1031" s="3" t="str">
        <f>VLOOKUP(Table2[[#This Row],[Tulu/kulu liik2]],Table5[[Tulu/kulu liik]:[Kontode koondnimetus]],4,FALSE)</f>
        <v>Muud tegevuskulud</v>
      </c>
      <c r="O1031" s="3" t="str">
        <f>VLOOKUP(Table2[[#This Row],[Tulu/kulu liik2]],Table5[],6,FALSE)</f>
        <v>Majandamiskulud</v>
      </c>
      <c r="P1031" s="3" t="str">
        <f>VLOOKUP(Table2[[#This Row],[Tulu/kulu liik2]],Table5[],5,FALSE)</f>
        <v>Põhitegevuse kulu</v>
      </c>
    </row>
    <row r="1032" spans="1:16" x14ac:dyDescent="0.25">
      <c r="A1032" t="str">
        <f t="shared" si="32"/>
        <v>09</v>
      </c>
      <c r="B1032" t="s">
        <v>348</v>
      </c>
      <c r="C1032" s="3" t="str">
        <f>VLOOKUP(Table2[[#This Row],[Tegevusala]],Table4[],2,FALSE)</f>
        <v xml:space="preserve"> Põlula kool</v>
      </c>
      <c r="D1032" s="3" t="str">
        <f>VLOOKUP(Table2[[#This Row],[Tegevusala]],Table4[[Tegevusala kood]:[Tegevusala alanimetus]],4,FALSE)</f>
        <v>Põhihariduse otsekulud</v>
      </c>
      <c r="E1032" s="3" t="str">
        <f>VLOOKUP(Table2[[#This Row],[Tegevusala nimetus2]],Table4[[Tegevusala nimetus]:[Tegevusala koondnimetus]],2,FALSE)</f>
        <v>Haridus</v>
      </c>
      <c r="F1032" t="s">
        <v>1518</v>
      </c>
      <c r="G1032" t="s">
        <v>1536</v>
      </c>
      <c r="H1032" s="40">
        <v>400</v>
      </c>
      <c r="J1032">
        <v>5500</v>
      </c>
      <c r="K1032" s="3" t="str">
        <f>VLOOKUP(Table2[[#This Row],[Konto]],Table5[[Konto]:[Konto nimetus]],2,FALSE)</f>
        <v>Administreerimiskulud</v>
      </c>
      <c r="L1032">
        <v>55</v>
      </c>
      <c r="M1032" t="str">
        <f t="shared" si="33"/>
        <v>55</v>
      </c>
      <c r="N1032" s="3" t="str">
        <f>VLOOKUP(Table2[[#This Row],[Tulu/kulu liik2]],Table5[[Tulu/kulu liik]:[Kontode koondnimetus]],4,FALSE)</f>
        <v>Muud tegevuskulud</v>
      </c>
      <c r="O1032" s="3" t="str">
        <f>VLOOKUP(Table2[[#This Row],[Tulu/kulu liik2]],Table5[],6,FALSE)</f>
        <v>Majandamiskulud</v>
      </c>
      <c r="P1032" s="3" t="str">
        <f>VLOOKUP(Table2[[#This Row],[Tulu/kulu liik2]],Table5[],5,FALSE)</f>
        <v>Põhitegevuse kulu</v>
      </c>
    </row>
    <row r="1033" spans="1:16" x14ac:dyDescent="0.25">
      <c r="A1033" t="str">
        <f t="shared" si="32"/>
        <v>09</v>
      </c>
      <c r="B1033" t="s">
        <v>348</v>
      </c>
      <c r="C1033" s="3" t="str">
        <f>VLOOKUP(Table2[[#This Row],[Tegevusala]],Table4[],2,FALSE)</f>
        <v xml:space="preserve"> Põlula kool</v>
      </c>
      <c r="D1033" s="3" t="str">
        <f>VLOOKUP(Table2[[#This Row],[Tegevusala]],Table4[[Tegevusala kood]:[Tegevusala alanimetus]],4,FALSE)</f>
        <v>Põhihariduse otsekulud</v>
      </c>
      <c r="E1033" s="3" t="str">
        <f>VLOOKUP(Table2[[#This Row],[Tegevusala nimetus2]],Table4[[Tegevusala nimetus]:[Tegevusala koondnimetus]],2,FALSE)</f>
        <v>Haridus</v>
      </c>
      <c r="F1033" t="s">
        <v>1518</v>
      </c>
      <c r="G1033" t="s">
        <v>1537</v>
      </c>
      <c r="H1033" s="40">
        <v>500</v>
      </c>
      <c r="J1033">
        <v>5524</v>
      </c>
      <c r="K1033" s="3" t="str">
        <f>VLOOKUP(Table2[[#This Row],[Konto]],Table5[[Konto]:[Konto nimetus]],2,FALSE)</f>
        <v>Õppevahendid</v>
      </c>
      <c r="L1033">
        <v>55</v>
      </c>
      <c r="M1033" t="str">
        <f t="shared" si="33"/>
        <v>55</v>
      </c>
      <c r="N1033" s="3" t="str">
        <f>VLOOKUP(Table2[[#This Row],[Tulu/kulu liik2]],Table5[[Tulu/kulu liik]:[Kontode koondnimetus]],4,FALSE)</f>
        <v>Muud tegevuskulud</v>
      </c>
      <c r="O1033" s="3" t="str">
        <f>VLOOKUP(Table2[[#This Row],[Tulu/kulu liik2]],Table5[],6,FALSE)</f>
        <v>Majandamiskulud</v>
      </c>
      <c r="P1033" s="3" t="str">
        <f>VLOOKUP(Table2[[#This Row],[Tulu/kulu liik2]],Table5[],5,FALSE)</f>
        <v>Põhitegevuse kulu</v>
      </c>
    </row>
    <row r="1034" spans="1:16" x14ac:dyDescent="0.25">
      <c r="A1034" t="str">
        <f t="shared" si="32"/>
        <v>09</v>
      </c>
      <c r="B1034" t="s">
        <v>348</v>
      </c>
      <c r="C1034" s="3" t="str">
        <f>VLOOKUP(Table2[[#This Row],[Tegevusala]],Table4[],2,FALSE)</f>
        <v xml:space="preserve"> Põlula kool</v>
      </c>
      <c r="D1034" s="3" t="str">
        <f>VLOOKUP(Table2[[#This Row],[Tegevusala]],Table4[[Tegevusala kood]:[Tegevusala alanimetus]],4,FALSE)</f>
        <v>Põhihariduse otsekulud</v>
      </c>
      <c r="E1034" s="3" t="str">
        <f>VLOOKUP(Table2[[#This Row],[Tegevusala nimetus2]],Table4[[Tegevusala nimetus]:[Tegevusala koondnimetus]],2,FALSE)</f>
        <v>Haridus</v>
      </c>
      <c r="F1034" t="s">
        <v>1518</v>
      </c>
      <c r="G1034" t="s">
        <v>1538</v>
      </c>
      <c r="H1034" s="40">
        <v>300</v>
      </c>
      <c r="J1034">
        <v>5524</v>
      </c>
      <c r="K1034" s="3" t="str">
        <f>VLOOKUP(Table2[[#This Row],[Konto]],Table5[[Konto]:[Konto nimetus]],2,FALSE)</f>
        <v>Õppevahendid</v>
      </c>
      <c r="L1034">
        <v>55</v>
      </c>
      <c r="M1034" t="str">
        <f t="shared" si="33"/>
        <v>55</v>
      </c>
      <c r="N1034" s="3" t="str">
        <f>VLOOKUP(Table2[[#This Row],[Tulu/kulu liik2]],Table5[[Tulu/kulu liik]:[Kontode koondnimetus]],4,FALSE)</f>
        <v>Muud tegevuskulud</v>
      </c>
      <c r="O1034" s="3" t="str">
        <f>VLOOKUP(Table2[[#This Row],[Tulu/kulu liik2]],Table5[],6,FALSE)</f>
        <v>Majandamiskulud</v>
      </c>
      <c r="P1034" s="3" t="str">
        <f>VLOOKUP(Table2[[#This Row],[Tulu/kulu liik2]],Table5[],5,FALSE)</f>
        <v>Põhitegevuse kulu</v>
      </c>
    </row>
    <row r="1035" spans="1:16" x14ac:dyDescent="0.25">
      <c r="A1035" t="str">
        <f t="shared" si="32"/>
        <v>09</v>
      </c>
      <c r="B1035" t="s">
        <v>348</v>
      </c>
      <c r="C1035" s="3" t="str">
        <f>VLOOKUP(Table2[[#This Row],[Tegevusala]],Table4[],2,FALSE)</f>
        <v xml:space="preserve"> Põlula kool</v>
      </c>
      <c r="D1035" s="3" t="str">
        <f>VLOOKUP(Table2[[#This Row],[Tegevusala]],Table4[[Tegevusala kood]:[Tegevusala alanimetus]],4,FALSE)</f>
        <v>Põhihariduse otsekulud</v>
      </c>
      <c r="E1035" s="3" t="str">
        <f>VLOOKUP(Table2[[#This Row],[Tegevusala nimetus2]],Table4[[Tegevusala nimetus]:[Tegevusala koondnimetus]],2,FALSE)</f>
        <v>Haridus</v>
      </c>
      <c r="F1035" t="s">
        <v>1518</v>
      </c>
      <c r="G1035" t="s">
        <v>1539</v>
      </c>
      <c r="H1035" s="40">
        <v>800</v>
      </c>
      <c r="J1035">
        <v>5524</v>
      </c>
      <c r="K1035" s="3" t="str">
        <f>VLOOKUP(Table2[[#This Row],[Konto]],Table5[[Konto]:[Konto nimetus]],2,FALSE)</f>
        <v>Õppevahendid</v>
      </c>
      <c r="L1035">
        <v>55</v>
      </c>
      <c r="M1035" t="str">
        <f t="shared" si="33"/>
        <v>55</v>
      </c>
      <c r="N1035" s="3" t="str">
        <f>VLOOKUP(Table2[[#This Row],[Tulu/kulu liik2]],Table5[[Tulu/kulu liik]:[Kontode koondnimetus]],4,FALSE)</f>
        <v>Muud tegevuskulud</v>
      </c>
      <c r="O1035" s="3" t="str">
        <f>VLOOKUP(Table2[[#This Row],[Tulu/kulu liik2]],Table5[],6,FALSE)</f>
        <v>Majandamiskulud</v>
      </c>
      <c r="P1035" s="3" t="str">
        <f>VLOOKUP(Table2[[#This Row],[Tulu/kulu liik2]],Table5[],5,FALSE)</f>
        <v>Põhitegevuse kulu</v>
      </c>
    </row>
    <row r="1036" spans="1:16" x14ac:dyDescent="0.25">
      <c r="A1036" t="str">
        <f t="shared" si="32"/>
        <v>09</v>
      </c>
      <c r="B1036" t="s">
        <v>348</v>
      </c>
      <c r="C1036" s="3" t="str">
        <f>VLOOKUP(Table2[[#This Row],[Tegevusala]],Table4[],2,FALSE)</f>
        <v xml:space="preserve"> Põlula kool</v>
      </c>
      <c r="D1036" s="3" t="str">
        <f>VLOOKUP(Table2[[#This Row],[Tegevusala]],Table4[[Tegevusala kood]:[Tegevusala alanimetus]],4,FALSE)</f>
        <v>Põhihariduse otsekulud</v>
      </c>
      <c r="E1036" s="3" t="str">
        <f>VLOOKUP(Table2[[#This Row],[Tegevusala nimetus2]],Table4[[Tegevusala nimetus]:[Tegevusala koondnimetus]],2,FALSE)</f>
        <v>Haridus</v>
      </c>
      <c r="F1036" t="s">
        <v>1518</v>
      </c>
      <c r="G1036" t="s">
        <v>1394</v>
      </c>
      <c r="H1036" s="40">
        <v>1000</v>
      </c>
      <c r="J1036">
        <v>5525</v>
      </c>
      <c r="K1036" s="3" t="str">
        <f>VLOOKUP(Table2[[#This Row],[Konto]],Table5[[Konto]:[Konto nimetus]],2,FALSE)</f>
        <v>Kommunikatsiooni-, kultuuri- ja vaba aja sisustamise kulud</v>
      </c>
      <c r="L1036">
        <v>55</v>
      </c>
      <c r="M1036" t="str">
        <f t="shared" si="33"/>
        <v>55</v>
      </c>
      <c r="N1036" s="3" t="str">
        <f>VLOOKUP(Table2[[#This Row],[Tulu/kulu liik2]],Table5[[Tulu/kulu liik]:[Kontode koondnimetus]],4,FALSE)</f>
        <v>Muud tegevuskulud</v>
      </c>
      <c r="O1036" s="3" t="str">
        <f>VLOOKUP(Table2[[#This Row],[Tulu/kulu liik2]],Table5[],6,FALSE)</f>
        <v>Majandamiskulud</v>
      </c>
      <c r="P1036" s="3" t="str">
        <f>VLOOKUP(Table2[[#This Row],[Tulu/kulu liik2]],Table5[],5,FALSE)</f>
        <v>Põhitegevuse kulu</v>
      </c>
    </row>
    <row r="1037" spans="1:16" x14ac:dyDescent="0.25">
      <c r="A1037" t="str">
        <f t="shared" si="32"/>
        <v>09</v>
      </c>
      <c r="B1037" t="s">
        <v>348</v>
      </c>
      <c r="C1037" s="3" t="str">
        <f>VLOOKUP(Table2[[#This Row],[Tegevusala]],Table4[],2,FALSE)</f>
        <v xml:space="preserve"> Põlula kool</v>
      </c>
      <c r="D1037" s="3" t="str">
        <f>VLOOKUP(Table2[[#This Row],[Tegevusala]],Table4[[Tegevusala kood]:[Tegevusala alanimetus]],4,FALSE)</f>
        <v>Põhihariduse otsekulud</v>
      </c>
      <c r="E1037" s="3" t="str">
        <f>VLOOKUP(Table2[[#This Row],[Tegevusala nimetus2]],Table4[[Tegevusala nimetus]:[Tegevusala koondnimetus]],2,FALSE)</f>
        <v>Haridus</v>
      </c>
      <c r="F1037" t="s">
        <v>1518</v>
      </c>
      <c r="G1037" t="s">
        <v>1522</v>
      </c>
      <c r="H1037" s="40">
        <v>600</v>
      </c>
      <c r="J1037">
        <v>5511</v>
      </c>
      <c r="K1037" s="3" t="str">
        <f>VLOOKUP(Table2[[#This Row],[Konto]],Table5[[Konto]:[Konto nimetus]],2,FALSE)</f>
        <v>Kinnistute, hoonete ja ruumide majandamiskulud</v>
      </c>
      <c r="L1037">
        <v>55</v>
      </c>
      <c r="M1037" t="str">
        <f t="shared" si="33"/>
        <v>55</v>
      </c>
      <c r="N1037" s="3" t="str">
        <f>VLOOKUP(Table2[[#This Row],[Tulu/kulu liik2]],Table5[[Tulu/kulu liik]:[Kontode koondnimetus]],4,FALSE)</f>
        <v>Muud tegevuskulud</v>
      </c>
      <c r="O1037" s="3" t="str">
        <f>VLOOKUP(Table2[[#This Row],[Tulu/kulu liik2]],Table5[],6,FALSE)</f>
        <v>Majandamiskulud</v>
      </c>
      <c r="P1037" s="3" t="str">
        <f>VLOOKUP(Table2[[#This Row],[Tulu/kulu liik2]],Table5[],5,FALSE)</f>
        <v>Põhitegevuse kulu</v>
      </c>
    </row>
    <row r="1038" spans="1:16" x14ac:dyDescent="0.25">
      <c r="A1038" t="str">
        <f t="shared" si="32"/>
        <v>09</v>
      </c>
      <c r="B1038" t="s">
        <v>348</v>
      </c>
      <c r="C1038" s="3" t="str">
        <f>VLOOKUP(Table2[[#This Row],[Tegevusala]],Table4[],2,FALSE)</f>
        <v xml:space="preserve"> Põlula kool</v>
      </c>
      <c r="D1038" s="3" t="str">
        <f>VLOOKUP(Table2[[#This Row],[Tegevusala]],Table4[[Tegevusala kood]:[Tegevusala alanimetus]],4,FALSE)</f>
        <v>Põhihariduse otsekulud</v>
      </c>
      <c r="E1038" s="3" t="str">
        <f>VLOOKUP(Table2[[#This Row],[Tegevusala nimetus2]],Table4[[Tegevusala nimetus]:[Tegevusala koondnimetus]],2,FALSE)</f>
        <v>Haridus</v>
      </c>
      <c r="F1038" t="s">
        <v>1518</v>
      </c>
      <c r="G1038" t="s">
        <v>1523</v>
      </c>
      <c r="H1038" s="40">
        <v>3000</v>
      </c>
      <c r="J1038">
        <v>5511</v>
      </c>
      <c r="K1038" s="3" t="str">
        <f>VLOOKUP(Table2[[#This Row],[Konto]],Table5[[Konto]:[Konto nimetus]],2,FALSE)</f>
        <v>Kinnistute, hoonete ja ruumide majandamiskulud</v>
      </c>
      <c r="L1038">
        <v>55</v>
      </c>
      <c r="M1038" t="str">
        <f t="shared" si="33"/>
        <v>55</v>
      </c>
      <c r="N1038" s="3" t="str">
        <f>VLOOKUP(Table2[[#This Row],[Tulu/kulu liik2]],Table5[[Tulu/kulu liik]:[Kontode koondnimetus]],4,FALSE)</f>
        <v>Muud tegevuskulud</v>
      </c>
      <c r="O1038" s="3" t="str">
        <f>VLOOKUP(Table2[[#This Row],[Tulu/kulu liik2]],Table5[],6,FALSE)</f>
        <v>Majandamiskulud</v>
      </c>
      <c r="P1038" s="3" t="str">
        <f>VLOOKUP(Table2[[#This Row],[Tulu/kulu liik2]],Table5[],5,FALSE)</f>
        <v>Põhitegevuse kulu</v>
      </c>
    </row>
    <row r="1039" spans="1:16" x14ac:dyDescent="0.25">
      <c r="A1039" t="str">
        <f t="shared" si="32"/>
        <v>09</v>
      </c>
      <c r="B1039" t="s">
        <v>348</v>
      </c>
      <c r="C1039" s="3" t="str">
        <f>VLOOKUP(Table2[[#This Row],[Tegevusala]],Table4[],2,FALSE)</f>
        <v xml:space="preserve"> Põlula kool</v>
      </c>
      <c r="D1039" s="3" t="str">
        <f>VLOOKUP(Table2[[#This Row],[Tegevusala]],Table4[[Tegevusala kood]:[Tegevusala alanimetus]],4,FALSE)</f>
        <v>Põhihariduse otsekulud</v>
      </c>
      <c r="E1039" s="3" t="str">
        <f>VLOOKUP(Table2[[#This Row],[Tegevusala nimetus2]],Table4[[Tegevusala nimetus]:[Tegevusala koondnimetus]],2,FALSE)</f>
        <v>Haridus</v>
      </c>
      <c r="F1039" t="s">
        <v>1518</v>
      </c>
      <c r="G1039" t="s">
        <v>178</v>
      </c>
      <c r="H1039" s="40">
        <v>17000</v>
      </c>
      <c r="J1039">
        <v>5511</v>
      </c>
      <c r="K1039" s="3" t="str">
        <f>VLOOKUP(Table2[[#This Row],[Konto]],Table5[[Konto]:[Konto nimetus]],2,FALSE)</f>
        <v>Kinnistute, hoonete ja ruumide majandamiskulud</v>
      </c>
      <c r="L1039">
        <v>55</v>
      </c>
      <c r="M1039" t="str">
        <f t="shared" si="33"/>
        <v>55</v>
      </c>
      <c r="N1039" s="3" t="str">
        <f>VLOOKUP(Table2[[#This Row],[Tulu/kulu liik2]],Table5[[Tulu/kulu liik]:[Kontode koondnimetus]],4,FALSE)</f>
        <v>Muud tegevuskulud</v>
      </c>
      <c r="O1039" s="3" t="str">
        <f>VLOOKUP(Table2[[#This Row],[Tulu/kulu liik2]],Table5[],6,FALSE)</f>
        <v>Majandamiskulud</v>
      </c>
      <c r="P1039" s="3" t="str">
        <f>VLOOKUP(Table2[[#This Row],[Tulu/kulu liik2]],Table5[],5,FALSE)</f>
        <v>Põhitegevuse kulu</v>
      </c>
    </row>
    <row r="1040" spans="1:16" x14ac:dyDescent="0.25">
      <c r="A1040" t="str">
        <f t="shared" si="32"/>
        <v>09</v>
      </c>
      <c r="B1040" t="s">
        <v>348</v>
      </c>
      <c r="C1040" s="3" t="str">
        <f>VLOOKUP(Table2[[#This Row],[Tegevusala]],Table4[],2,FALSE)</f>
        <v xml:space="preserve"> Põlula kool</v>
      </c>
      <c r="D1040" s="3" t="str">
        <f>VLOOKUP(Table2[[#This Row],[Tegevusala]],Table4[[Tegevusala kood]:[Tegevusala alanimetus]],4,FALSE)</f>
        <v>Põhihariduse otsekulud</v>
      </c>
      <c r="E1040" s="3" t="str">
        <f>VLOOKUP(Table2[[#This Row],[Tegevusala nimetus2]],Table4[[Tegevusala nimetus]:[Tegevusala koondnimetus]],2,FALSE)</f>
        <v>Haridus</v>
      </c>
      <c r="F1040" t="s">
        <v>1518</v>
      </c>
      <c r="G1040" t="s">
        <v>182</v>
      </c>
      <c r="H1040" s="40">
        <v>1500</v>
      </c>
      <c r="J1040">
        <v>5511</v>
      </c>
      <c r="K1040" s="3" t="str">
        <f>VLOOKUP(Table2[[#This Row],[Konto]],Table5[[Konto]:[Konto nimetus]],2,FALSE)</f>
        <v>Kinnistute, hoonete ja ruumide majandamiskulud</v>
      </c>
      <c r="L1040">
        <v>55</v>
      </c>
      <c r="M1040" t="str">
        <f t="shared" si="33"/>
        <v>55</v>
      </c>
      <c r="N1040" s="3" t="str">
        <f>VLOOKUP(Table2[[#This Row],[Tulu/kulu liik2]],Table5[[Tulu/kulu liik]:[Kontode koondnimetus]],4,FALSE)</f>
        <v>Muud tegevuskulud</v>
      </c>
      <c r="O1040" s="3" t="str">
        <f>VLOOKUP(Table2[[#This Row],[Tulu/kulu liik2]],Table5[],6,FALSE)</f>
        <v>Majandamiskulud</v>
      </c>
      <c r="P1040" s="3" t="str">
        <f>VLOOKUP(Table2[[#This Row],[Tulu/kulu liik2]],Table5[],5,FALSE)</f>
        <v>Põhitegevuse kulu</v>
      </c>
    </row>
    <row r="1041" spans="1:16" x14ac:dyDescent="0.25">
      <c r="A1041" t="str">
        <f t="shared" si="32"/>
        <v>09</v>
      </c>
      <c r="B1041" t="s">
        <v>348</v>
      </c>
      <c r="C1041" s="3" t="str">
        <f>VLOOKUP(Table2[[#This Row],[Tegevusala]],Table4[],2,FALSE)</f>
        <v xml:space="preserve"> Põlula kool</v>
      </c>
      <c r="D1041" s="3" t="str">
        <f>VLOOKUP(Table2[[#This Row],[Tegevusala]],Table4[[Tegevusala kood]:[Tegevusala alanimetus]],4,FALSE)</f>
        <v>Põhihariduse otsekulud</v>
      </c>
      <c r="E1041" s="3" t="str">
        <f>VLOOKUP(Table2[[#This Row],[Tegevusala nimetus2]],Table4[[Tegevusala nimetus]:[Tegevusala koondnimetus]],2,FALSE)</f>
        <v>Haridus</v>
      </c>
      <c r="F1041" t="s">
        <v>1518</v>
      </c>
      <c r="G1041" t="s">
        <v>1524</v>
      </c>
      <c r="H1041" s="40">
        <v>600</v>
      </c>
      <c r="J1041">
        <v>5511</v>
      </c>
      <c r="K1041" s="3" t="str">
        <f>VLOOKUP(Table2[[#This Row],[Konto]],Table5[[Konto]:[Konto nimetus]],2,FALSE)</f>
        <v>Kinnistute, hoonete ja ruumide majandamiskulud</v>
      </c>
      <c r="L1041">
        <v>55</v>
      </c>
      <c r="M1041" t="str">
        <f t="shared" si="33"/>
        <v>55</v>
      </c>
      <c r="N1041" s="3" t="str">
        <f>VLOOKUP(Table2[[#This Row],[Tulu/kulu liik2]],Table5[[Tulu/kulu liik]:[Kontode koondnimetus]],4,FALSE)</f>
        <v>Muud tegevuskulud</v>
      </c>
      <c r="O1041" s="3" t="str">
        <f>VLOOKUP(Table2[[#This Row],[Tulu/kulu liik2]],Table5[],6,FALSE)</f>
        <v>Majandamiskulud</v>
      </c>
      <c r="P1041" s="3" t="str">
        <f>VLOOKUP(Table2[[#This Row],[Tulu/kulu liik2]],Table5[],5,FALSE)</f>
        <v>Põhitegevuse kulu</v>
      </c>
    </row>
    <row r="1042" spans="1:16" x14ac:dyDescent="0.25">
      <c r="A1042" t="str">
        <f t="shared" si="32"/>
        <v>09</v>
      </c>
      <c r="B1042" t="s">
        <v>348</v>
      </c>
      <c r="C1042" s="3" t="str">
        <f>VLOOKUP(Table2[[#This Row],[Tegevusala]],Table4[],2,FALSE)</f>
        <v xml:space="preserve"> Põlula kool</v>
      </c>
      <c r="D1042" s="3" t="str">
        <f>VLOOKUP(Table2[[#This Row],[Tegevusala]],Table4[[Tegevusala kood]:[Tegevusala alanimetus]],4,FALSE)</f>
        <v>Põhihariduse otsekulud</v>
      </c>
      <c r="E1042" s="3" t="str">
        <f>VLOOKUP(Table2[[#This Row],[Tegevusala nimetus2]],Table4[[Tegevusala nimetus]:[Tegevusala koondnimetus]],2,FALSE)</f>
        <v>Haridus</v>
      </c>
      <c r="F1042" t="s">
        <v>1518</v>
      </c>
      <c r="G1042" t="s">
        <v>1525</v>
      </c>
      <c r="H1042" s="40">
        <v>500</v>
      </c>
      <c r="J1042">
        <v>5511</v>
      </c>
      <c r="K1042" s="3" t="str">
        <f>VLOOKUP(Table2[[#This Row],[Konto]],Table5[[Konto]:[Konto nimetus]],2,FALSE)</f>
        <v>Kinnistute, hoonete ja ruumide majandamiskulud</v>
      </c>
      <c r="L1042">
        <v>55</v>
      </c>
      <c r="M1042" t="str">
        <f t="shared" si="33"/>
        <v>55</v>
      </c>
      <c r="N1042" s="3" t="str">
        <f>VLOOKUP(Table2[[#This Row],[Tulu/kulu liik2]],Table5[[Tulu/kulu liik]:[Kontode koondnimetus]],4,FALSE)</f>
        <v>Muud tegevuskulud</v>
      </c>
      <c r="O1042" s="3" t="str">
        <f>VLOOKUP(Table2[[#This Row],[Tulu/kulu liik2]],Table5[],6,FALSE)</f>
        <v>Majandamiskulud</v>
      </c>
      <c r="P1042" s="3" t="str">
        <f>VLOOKUP(Table2[[#This Row],[Tulu/kulu liik2]],Table5[],5,FALSE)</f>
        <v>Põhitegevuse kulu</v>
      </c>
    </row>
    <row r="1043" spans="1:16" x14ac:dyDescent="0.25">
      <c r="A1043" t="str">
        <f t="shared" si="32"/>
        <v>09</v>
      </c>
      <c r="B1043" t="s">
        <v>348</v>
      </c>
      <c r="C1043" s="3" t="str">
        <f>VLOOKUP(Table2[[#This Row],[Tegevusala]],Table4[],2,FALSE)</f>
        <v xml:space="preserve"> Põlula kool</v>
      </c>
      <c r="D1043" s="3" t="str">
        <f>VLOOKUP(Table2[[#This Row],[Tegevusala]],Table4[[Tegevusala kood]:[Tegevusala alanimetus]],4,FALSE)</f>
        <v>Põhihariduse otsekulud</v>
      </c>
      <c r="E1043" s="3" t="str">
        <f>VLOOKUP(Table2[[#This Row],[Tegevusala nimetus2]],Table4[[Tegevusala nimetus]:[Tegevusala koondnimetus]],2,FALSE)</f>
        <v>Haridus</v>
      </c>
      <c r="F1043" t="s">
        <v>1518</v>
      </c>
      <c r="G1043" t="s">
        <v>1526</v>
      </c>
      <c r="H1043" s="40">
        <v>500</v>
      </c>
      <c r="J1043">
        <v>5511</v>
      </c>
      <c r="K1043" s="3" t="str">
        <f>VLOOKUP(Table2[[#This Row],[Konto]],Table5[[Konto]:[Konto nimetus]],2,FALSE)</f>
        <v>Kinnistute, hoonete ja ruumide majandamiskulud</v>
      </c>
      <c r="L1043">
        <v>55</v>
      </c>
      <c r="M1043" t="str">
        <f t="shared" si="33"/>
        <v>55</v>
      </c>
      <c r="N1043" s="3" t="str">
        <f>VLOOKUP(Table2[[#This Row],[Tulu/kulu liik2]],Table5[[Tulu/kulu liik]:[Kontode koondnimetus]],4,FALSE)</f>
        <v>Muud tegevuskulud</v>
      </c>
      <c r="O1043" s="3" t="str">
        <f>VLOOKUP(Table2[[#This Row],[Tulu/kulu liik2]],Table5[],6,FALSE)</f>
        <v>Majandamiskulud</v>
      </c>
      <c r="P1043" s="3" t="str">
        <f>VLOOKUP(Table2[[#This Row],[Tulu/kulu liik2]],Table5[],5,FALSE)</f>
        <v>Põhitegevuse kulu</v>
      </c>
    </row>
    <row r="1044" spans="1:16" x14ac:dyDescent="0.25">
      <c r="A1044" t="str">
        <f t="shared" si="32"/>
        <v>09</v>
      </c>
      <c r="B1044" t="s">
        <v>348</v>
      </c>
      <c r="C1044" s="3" t="str">
        <f>VLOOKUP(Table2[[#This Row],[Tegevusala]],Table4[],2,FALSE)</f>
        <v xml:space="preserve"> Põlula kool</v>
      </c>
      <c r="D1044" s="3" t="str">
        <f>VLOOKUP(Table2[[#This Row],[Tegevusala]],Table4[[Tegevusala kood]:[Tegevusala alanimetus]],4,FALSE)</f>
        <v>Põhihariduse otsekulud</v>
      </c>
      <c r="E1044" s="3" t="str">
        <f>VLOOKUP(Table2[[#This Row],[Tegevusala nimetus2]],Table4[[Tegevusala nimetus]:[Tegevusala koondnimetus]],2,FALSE)</f>
        <v>Haridus</v>
      </c>
      <c r="F1044" t="s">
        <v>1518</v>
      </c>
      <c r="G1044" t="s">
        <v>1528</v>
      </c>
      <c r="H1044" s="40">
        <v>2500</v>
      </c>
      <c r="J1044">
        <v>5514</v>
      </c>
      <c r="K1044" s="3" t="str">
        <f>VLOOKUP(Table2[[#This Row],[Konto]],Table5[[Konto]:[Konto nimetus]],2,FALSE)</f>
        <v>Info- ja kommunikatsioonitehnoliigised kulud</v>
      </c>
      <c r="L1044">
        <v>55</v>
      </c>
      <c r="M1044" t="str">
        <f t="shared" si="33"/>
        <v>55</v>
      </c>
      <c r="N1044" s="3" t="str">
        <f>VLOOKUP(Table2[[#This Row],[Tulu/kulu liik2]],Table5[[Tulu/kulu liik]:[Kontode koondnimetus]],4,FALSE)</f>
        <v>Muud tegevuskulud</v>
      </c>
      <c r="O1044" s="3" t="str">
        <f>VLOOKUP(Table2[[#This Row],[Tulu/kulu liik2]],Table5[],6,FALSE)</f>
        <v>Majandamiskulud</v>
      </c>
      <c r="P1044" s="3" t="str">
        <f>VLOOKUP(Table2[[#This Row],[Tulu/kulu liik2]],Table5[],5,FALSE)</f>
        <v>Põhitegevuse kulu</v>
      </c>
    </row>
    <row r="1045" spans="1:16" x14ac:dyDescent="0.25">
      <c r="A1045" t="str">
        <f t="shared" si="32"/>
        <v>09</v>
      </c>
      <c r="B1045" t="s">
        <v>348</v>
      </c>
      <c r="C1045" s="3" t="str">
        <f>VLOOKUP(Table2[[#This Row],[Tegevusala]],Table4[],2,FALSE)</f>
        <v xml:space="preserve"> Põlula kool</v>
      </c>
      <c r="D1045" s="3" t="str">
        <f>VLOOKUP(Table2[[#This Row],[Tegevusala]],Table4[[Tegevusala kood]:[Tegevusala alanimetus]],4,FALSE)</f>
        <v>Põhihariduse otsekulud</v>
      </c>
      <c r="E1045" s="3" t="str">
        <f>VLOOKUP(Table2[[#This Row],[Tegevusala nimetus2]],Table4[[Tegevusala nimetus]:[Tegevusala koondnimetus]],2,FALSE)</f>
        <v>Haridus</v>
      </c>
      <c r="F1045" t="s">
        <v>1518</v>
      </c>
      <c r="G1045" t="s">
        <v>2200</v>
      </c>
      <c r="H1045" s="40">
        <v>627</v>
      </c>
      <c r="I1045" s="2" t="s">
        <v>2203</v>
      </c>
      <c r="J1045">
        <v>5524</v>
      </c>
      <c r="K1045" s="3" t="str">
        <f>VLOOKUP(Table2[[#This Row],[Konto]],Table5[[Konto]:[Konto nimetus]],2,FALSE)</f>
        <v>Õppevahendid</v>
      </c>
      <c r="L1045">
        <v>55</v>
      </c>
      <c r="M1045" t="str">
        <f t="shared" si="33"/>
        <v>55</v>
      </c>
      <c r="N1045" s="3" t="str">
        <f>VLOOKUP(Table2[[#This Row],[Tulu/kulu liik2]],Table5[[Tulu/kulu liik]:[Kontode koondnimetus]],4,FALSE)</f>
        <v>Muud tegevuskulud</v>
      </c>
      <c r="O1045" s="34" t="str">
        <f>VLOOKUP(Table2[[#This Row],[Tulu/kulu liik2]],Table5[],6,FALSE)</f>
        <v>Majandamiskulud</v>
      </c>
      <c r="P1045" s="3" t="str">
        <f>VLOOKUP(Table2[[#This Row],[Tulu/kulu liik2]],Table5[],5,FALSE)</f>
        <v>Põhitegevuse kulu</v>
      </c>
    </row>
    <row r="1046" spans="1:16" x14ac:dyDescent="0.25">
      <c r="A1046" t="str">
        <f t="shared" si="32"/>
        <v>09</v>
      </c>
      <c r="B1046" t="s">
        <v>351</v>
      </c>
      <c r="C1046" s="3" t="str">
        <f>VLOOKUP(Table2[[#This Row],[Tegevusala]],Table4[],2,FALSE)</f>
        <v xml:space="preserve"> Kohatasud</v>
      </c>
      <c r="D1046" s="3" t="str">
        <f>VLOOKUP(Table2[[#This Row],[Tegevusala]],Table4[[Tegevusala kood]:[Tegevusala alanimetus]],4,FALSE)</f>
        <v>Üldkeskhariduse otsekulud</v>
      </c>
      <c r="E1046" s="3" t="str">
        <f>VLOOKUP(Table2[[#This Row],[Tegevusala nimetus2]],Table4[[Tegevusala nimetus]:[Tegevusala koondnimetus]],2,FALSE)</f>
        <v>Haridus</v>
      </c>
      <c r="F1046" t="s">
        <v>1548</v>
      </c>
      <c r="G1046" t="s">
        <v>1554</v>
      </c>
      <c r="H1046" s="40">
        <v>64104.399999999994</v>
      </c>
      <c r="I1046" s="2" t="s">
        <v>1556</v>
      </c>
      <c r="J1046">
        <v>5524</v>
      </c>
      <c r="K1046" s="3" t="str">
        <f>VLOOKUP(Table2[[#This Row],[Konto]],Table5[[Konto]:[Konto nimetus]],2,FALSE)</f>
        <v>Õppevahendid</v>
      </c>
      <c r="L1046">
        <v>55</v>
      </c>
      <c r="M1046" t="str">
        <f t="shared" si="33"/>
        <v>55</v>
      </c>
      <c r="N1046" s="3" t="str">
        <f>VLOOKUP(Table2[[#This Row],[Tulu/kulu liik2]],Table5[[Tulu/kulu liik]:[Kontode koondnimetus]],4,FALSE)</f>
        <v>Muud tegevuskulud</v>
      </c>
      <c r="O1046" s="3" t="str">
        <f>VLOOKUP(Table2[[#This Row],[Tulu/kulu liik2]],Table5[],6,FALSE)</f>
        <v>Majandamiskulud</v>
      </c>
      <c r="P1046" s="3" t="str">
        <f>VLOOKUP(Table2[[#This Row],[Tulu/kulu liik2]],Table5[],5,FALSE)</f>
        <v>Põhitegevuse kulu</v>
      </c>
    </row>
    <row r="1047" spans="1:16" hidden="1" x14ac:dyDescent="0.25">
      <c r="A1047" s="8" t="str">
        <f t="shared" si="32"/>
        <v>09</v>
      </c>
      <c r="B1047" s="8" t="s">
        <v>351</v>
      </c>
      <c r="C1047" s="32" t="str">
        <f>VLOOKUP(Table2[[#This Row],[Tegevusala]],Table4[],2,FALSE)</f>
        <v xml:space="preserve"> Kohatasud</v>
      </c>
      <c r="D1047" s="32" t="str">
        <f>VLOOKUP(Table2[[#This Row],[Tegevusala]],Table4[[Tegevusala kood]:[Tegevusala alanimetus]],4,FALSE)</f>
        <v>Üldkeskhariduse otsekulud</v>
      </c>
      <c r="E1047" s="32" t="str">
        <f>VLOOKUP(Table2[[#This Row],[Tegevusala nimetus2]],Table4[[Tegevusala nimetus]:[Tegevusala koondnimetus]],2,FALSE)</f>
        <v>Haridus</v>
      </c>
      <c r="F1047" s="8" t="s">
        <v>1548</v>
      </c>
      <c r="G1047" s="8" t="s">
        <v>1549</v>
      </c>
      <c r="H1047" s="43">
        <v>-13104</v>
      </c>
      <c r="I1047" s="9" t="s">
        <v>1551</v>
      </c>
      <c r="J1047" s="8">
        <v>32202</v>
      </c>
      <c r="K1047" s="32" t="str">
        <f>VLOOKUP(Table2[[#This Row],[Konto]],Table5[[Konto]:[Konto nimetus]],2,FALSE)</f>
        <v>Õpilaskoht</v>
      </c>
      <c r="L1047" s="8">
        <v>32</v>
      </c>
      <c r="M1047" s="8" t="str">
        <f t="shared" si="33"/>
        <v>32</v>
      </c>
      <c r="N1047" s="32" t="str">
        <f>VLOOKUP(Table2[[#This Row],[Tulu/kulu liik2]],Table5[[Tulu/kulu liik]:[Kontode koondnimetus]],4,FALSE)</f>
        <v>Tulud kaupade ja teenuste müügist</v>
      </c>
      <c r="O1047" s="32" t="str">
        <f>VLOOKUP(Table2[[#This Row],[Tulu/kulu liik2]],Table5[],6,FALSE)</f>
        <v>Tulud kaupade ja teenuste müügist</v>
      </c>
      <c r="P1047" s="32" t="str">
        <f>VLOOKUP(Table2[[#This Row],[Tulu/kulu liik2]],Table5[],5,FALSE)</f>
        <v>Põhitegevuse tulu</v>
      </c>
    </row>
    <row r="1048" spans="1:16" x14ac:dyDescent="0.25">
      <c r="A1048" t="str">
        <f t="shared" si="32"/>
        <v>09</v>
      </c>
      <c r="B1048" t="s">
        <v>51</v>
      </c>
      <c r="C1048" s="3" t="str">
        <f>VLOOKUP(Table2[[#This Row],[Tegevusala]],Table4[],2,FALSE)</f>
        <v xml:space="preserve"> Noorte huviharidus ja huvitegevus</v>
      </c>
      <c r="D1048" s="3" t="str">
        <f>VLOOKUP(Table2[[#This Row],[Tegevusala]],Table4[[Tegevusala kood]:[Tegevusala alanimetus]],4,FALSE)</f>
        <v>Noorte huviharidus ja huvitegevus</v>
      </c>
      <c r="E1048" s="3" t="str">
        <f>VLOOKUP(Table2[[#This Row],[Tegevusala nimetus2]],Table4[[Tegevusala nimetus]:[Tegevusala koondnimetus]],2,FALSE)</f>
        <v>Haridus</v>
      </c>
      <c r="F1048" t="s">
        <v>1548</v>
      </c>
      <c r="G1048" t="s">
        <v>2111</v>
      </c>
      <c r="H1048" s="40">
        <v>0</v>
      </c>
      <c r="J1048">
        <v>5524</v>
      </c>
      <c r="K1048" s="3" t="str">
        <f>VLOOKUP(Table2[[#This Row],[Konto]],Table5[[Konto]:[Konto nimetus]],2,FALSE)</f>
        <v>Õppevahendid</v>
      </c>
      <c r="L1048">
        <v>55</v>
      </c>
      <c r="M1048" t="str">
        <f t="shared" si="33"/>
        <v>55</v>
      </c>
      <c r="N1048" s="3" t="str">
        <f>VLOOKUP(Table2[[#This Row],[Tulu/kulu liik2]],Table5[[Tulu/kulu liik]:[Kontode koondnimetus]],4,FALSE)</f>
        <v>Muud tegevuskulud</v>
      </c>
      <c r="O1048" s="3" t="str">
        <f>VLOOKUP(Table2[[#This Row],[Tulu/kulu liik2]],Table5[],6,FALSE)</f>
        <v>Majandamiskulud</v>
      </c>
      <c r="P1048" s="3" t="str">
        <f>VLOOKUP(Table2[[#This Row],[Tulu/kulu liik2]],Table5[],5,FALSE)</f>
        <v>Põhitegevuse kulu</v>
      </c>
    </row>
    <row r="1049" spans="1:16" x14ac:dyDescent="0.25">
      <c r="A1049" t="str">
        <f t="shared" si="32"/>
        <v>09</v>
      </c>
      <c r="B1049" t="s">
        <v>51</v>
      </c>
      <c r="C1049" s="3" t="str">
        <f>VLOOKUP(Table2[[#This Row],[Tegevusala]],Table4[],2,FALSE)</f>
        <v xml:space="preserve"> Noorte huviharidus ja huvitegevus</v>
      </c>
      <c r="D1049" s="3" t="str">
        <f>VLOOKUP(Table2[[#This Row],[Tegevusala]],Table4[[Tegevusala kood]:[Tegevusala alanimetus]],4,FALSE)</f>
        <v>Noorte huviharidus ja huvitegevus</v>
      </c>
      <c r="E1049" s="3" t="str">
        <f>VLOOKUP(Table2[[#This Row],[Tegevusala nimetus2]],Table4[[Tegevusala nimetus]:[Tegevusala koondnimetus]],2,FALSE)</f>
        <v>Haridus</v>
      </c>
      <c r="F1049" t="s">
        <v>1548</v>
      </c>
      <c r="G1049" t="s">
        <v>1558</v>
      </c>
      <c r="H1049" s="40">
        <v>35000</v>
      </c>
      <c r="J1049">
        <v>5524</v>
      </c>
      <c r="K1049" s="3" t="str">
        <f>VLOOKUP(Table2[[#This Row],[Konto]],Table5[[Konto]:[Konto nimetus]],2,FALSE)</f>
        <v>Õppevahendid</v>
      </c>
      <c r="L1049">
        <v>55</v>
      </c>
      <c r="M1049" t="str">
        <f t="shared" si="33"/>
        <v>55</v>
      </c>
      <c r="N1049" s="3" t="str">
        <f>VLOOKUP(Table2[[#This Row],[Tulu/kulu liik2]],Table5[[Tulu/kulu liik]:[Kontode koondnimetus]],4,FALSE)</f>
        <v>Muud tegevuskulud</v>
      </c>
      <c r="O1049" s="3" t="str">
        <f>VLOOKUP(Table2[[#This Row],[Tulu/kulu liik2]],Table5[],6,FALSE)</f>
        <v>Majandamiskulud</v>
      </c>
      <c r="P1049" s="3" t="str">
        <f>VLOOKUP(Table2[[#This Row],[Tulu/kulu liik2]],Table5[],5,FALSE)</f>
        <v>Põhitegevuse kulu</v>
      </c>
    </row>
    <row r="1050" spans="1:16" x14ac:dyDescent="0.25">
      <c r="A1050" t="str">
        <f t="shared" si="32"/>
        <v>09</v>
      </c>
      <c r="B1050" t="s">
        <v>51</v>
      </c>
      <c r="C1050" s="3" t="str">
        <f>VLOOKUP(Table2[[#This Row],[Tegevusala]],Table4[],2,FALSE)</f>
        <v xml:space="preserve"> Noorte huviharidus ja huvitegevus</v>
      </c>
      <c r="D1050" s="3" t="str">
        <f>VLOOKUP(Table2[[#This Row],[Tegevusala]],Table4[[Tegevusala kood]:[Tegevusala alanimetus]],4,FALSE)</f>
        <v>Noorte huviharidus ja huvitegevus</v>
      </c>
      <c r="E1050" s="3" t="str">
        <f>VLOOKUP(Table2[[#This Row],[Tegevusala nimetus2]],Table4[[Tegevusala nimetus]:[Tegevusala koondnimetus]],2,FALSE)</f>
        <v>Haridus</v>
      </c>
      <c r="F1050" t="s">
        <v>1548</v>
      </c>
      <c r="G1050" t="s">
        <v>1559</v>
      </c>
      <c r="H1050" s="40">
        <v>20000</v>
      </c>
      <c r="J1050">
        <v>5540</v>
      </c>
      <c r="K1050" s="3" t="str">
        <f>VLOOKUP(Table2[[#This Row],[Konto]],Table5[[Konto]:[Konto nimetus]],2,FALSE)</f>
        <v>Mitmesugused majanduskulud</v>
      </c>
      <c r="L1050">
        <v>55</v>
      </c>
      <c r="M1050" t="str">
        <f t="shared" si="33"/>
        <v>55</v>
      </c>
      <c r="N1050" s="3" t="str">
        <f>VLOOKUP(Table2[[#This Row],[Tulu/kulu liik2]],Table5[[Tulu/kulu liik]:[Kontode koondnimetus]],4,FALSE)</f>
        <v>Muud tegevuskulud</v>
      </c>
      <c r="O1050" s="3" t="str">
        <f>VLOOKUP(Table2[[#This Row],[Tulu/kulu liik2]],Table5[],6,FALSE)</f>
        <v>Majandamiskulud</v>
      </c>
      <c r="P1050" s="3" t="str">
        <f>VLOOKUP(Table2[[#This Row],[Tulu/kulu liik2]],Table5[],5,FALSE)</f>
        <v>Põhitegevuse kulu</v>
      </c>
    </row>
    <row r="1051" spans="1:16" hidden="1" x14ac:dyDescent="0.25">
      <c r="A1051" s="8" t="str">
        <f t="shared" si="32"/>
        <v>09</v>
      </c>
      <c r="B1051" s="8" t="s">
        <v>51</v>
      </c>
      <c r="C1051" s="32" t="str">
        <f>VLOOKUP(Table2[[#This Row],[Tegevusala]],Table4[],2,FALSE)</f>
        <v xml:space="preserve"> Noorte huviharidus ja huvitegevus</v>
      </c>
      <c r="D1051" s="32" t="str">
        <f>VLOOKUP(Table2[[#This Row],[Tegevusala]],Table4[[Tegevusala kood]:[Tegevusala alanimetus]],4,FALSE)</f>
        <v>Noorte huviharidus ja huvitegevus</v>
      </c>
      <c r="E1051" s="32" t="str">
        <f>VLOOKUP(Table2[[#This Row],[Tegevusala nimetus2]],Table4[[Tegevusala nimetus]:[Tegevusala koondnimetus]],2,FALSE)</f>
        <v>Haridus</v>
      </c>
      <c r="F1051" s="8" t="s">
        <v>1548</v>
      </c>
      <c r="G1051" s="8" t="s">
        <v>1561</v>
      </c>
      <c r="H1051" s="43">
        <v>-190183</v>
      </c>
      <c r="I1051" s="9" t="s">
        <v>1562</v>
      </c>
      <c r="J1051" s="8">
        <v>35201</v>
      </c>
      <c r="K1051" s="32" t="str">
        <f>VLOOKUP(Table2[[#This Row],[Konto]],Table5[[Konto]:[Konto nimetus]],2,FALSE)</f>
        <v>Toetusfond</v>
      </c>
      <c r="L1051" s="8">
        <v>35201</v>
      </c>
      <c r="M1051" s="8" t="str">
        <f t="shared" si="33"/>
        <v>35</v>
      </c>
      <c r="N1051" s="32" t="str">
        <f>VLOOKUP(Table2[[#This Row],[Tulu/kulu liik2]],Table5[[Tulu/kulu liik]:[Kontode koondnimetus]],4,FALSE)</f>
        <v>Saadavad toetused tegevuskuludeks</v>
      </c>
      <c r="O1051" s="32" t="str">
        <f>VLOOKUP(Table2[[#This Row],[Tulu/kulu liik2]],Table5[],6,FALSE)</f>
        <v>Toetusfond</v>
      </c>
      <c r="P1051" s="32" t="str">
        <f>VLOOKUP(Table2[[#This Row],[Tulu/kulu liik2]],Table5[],5,FALSE)</f>
        <v>Põhitegevuse tulu</v>
      </c>
    </row>
    <row r="1052" spans="1:16" hidden="1" x14ac:dyDescent="0.25">
      <c r="A1052" t="str">
        <f t="shared" si="32"/>
        <v>09</v>
      </c>
      <c r="B1052" t="s">
        <v>51</v>
      </c>
      <c r="C1052" s="3" t="str">
        <f>VLOOKUP(Table2[[#This Row],[Tegevusala]],Table4[],2,FALSE)</f>
        <v xml:space="preserve"> Noorte huviharidus ja huvitegevus</v>
      </c>
      <c r="D1052" s="3" t="str">
        <f>VLOOKUP(Table2[[#This Row],[Tegevusala]],Table4[[Tegevusala kood]:[Tegevusala alanimetus]],4,FALSE)</f>
        <v>Noorte huviharidus ja huvitegevus</v>
      </c>
      <c r="E1052" s="3" t="str">
        <f>VLOOKUP(Table2[[#This Row],[Tegevusala nimetus2]],Table4[[Tegevusala nimetus]:[Tegevusala koondnimetus]],2,FALSE)</f>
        <v>Haridus</v>
      </c>
      <c r="F1052" t="s">
        <v>624</v>
      </c>
      <c r="G1052" t="s">
        <v>2060</v>
      </c>
      <c r="H1052" s="40">
        <v>10000</v>
      </c>
      <c r="J1052">
        <v>1551</v>
      </c>
      <c r="K1052" s="3" t="str">
        <f>VLOOKUP(Table2[[#This Row],[Konto]],Table5[[Konto]:[Konto nimetus]],2,FALSE)</f>
        <v>Rajatiste ja hoonete soetamine ja renoveerimine</v>
      </c>
      <c r="L1052">
        <v>15</v>
      </c>
      <c r="M1052" t="str">
        <f t="shared" si="33"/>
        <v>15</v>
      </c>
      <c r="N1052" s="3" t="str">
        <f>VLOOKUP(Table2[[#This Row],[Tulu/kulu liik2]],Table5[[Tulu/kulu liik]:[Kontode koondnimetus]],4,FALSE)</f>
        <v>Põhivara soetus (-)</v>
      </c>
      <c r="O1052" s="34" t="str">
        <f>VLOOKUP(Table2[[#This Row],[Tulu/kulu liik2]],Table5[],6,FALSE)</f>
        <v>Põhivara soetus (-)</v>
      </c>
      <c r="P1052" s="3" t="str">
        <f>VLOOKUP(Table2[[#This Row],[Tulu/kulu liik2]],Table5[],5,FALSE)</f>
        <v>Investeerimistegevus</v>
      </c>
    </row>
    <row r="1053" spans="1:16" x14ac:dyDescent="0.25">
      <c r="A1053" t="str">
        <f t="shared" si="32"/>
        <v>09</v>
      </c>
      <c r="B1053" t="s">
        <v>51</v>
      </c>
      <c r="C1053" s="3" t="str">
        <f>VLOOKUP(Table2[[#This Row],[Tegevusala]],Table4[],2,FALSE)</f>
        <v xml:space="preserve"> Noorte huviharidus ja huvitegevus</v>
      </c>
      <c r="D1053" s="3" t="str">
        <f>VLOOKUP(Table2[[#This Row],[Tegevusala]],Table4[[Tegevusala kood]:[Tegevusala alanimetus]],4,FALSE)</f>
        <v>Noorte huviharidus ja huvitegevus</v>
      </c>
      <c r="E1053" s="3" t="str">
        <f>VLOOKUP(Table2[[#This Row],[Tegevusala nimetus2]],Table4[[Tegevusala nimetus]:[Tegevusala koondnimetus]],2,FALSE)</f>
        <v>Haridus</v>
      </c>
      <c r="F1053" t="s">
        <v>770</v>
      </c>
      <c r="G1053" t="s">
        <v>2163</v>
      </c>
      <c r="H1053" s="40">
        <v>4020</v>
      </c>
      <c r="I1053" s="2" t="s">
        <v>2162</v>
      </c>
      <c r="J1053">
        <v>5540</v>
      </c>
      <c r="K1053" s="3" t="str">
        <f>VLOOKUP(Table2[[#This Row],[Konto]],Table5[[Konto]:[Konto nimetus]],2,FALSE)</f>
        <v>Mitmesugused majanduskulud</v>
      </c>
      <c r="L1053">
        <v>55</v>
      </c>
      <c r="M1053" t="str">
        <f t="shared" si="33"/>
        <v>55</v>
      </c>
      <c r="N1053" s="3" t="str">
        <f>VLOOKUP(Table2[[#This Row],[Tulu/kulu liik2]],Table5[[Tulu/kulu liik]:[Kontode koondnimetus]],4,FALSE)</f>
        <v>Muud tegevuskulud</v>
      </c>
      <c r="O1053" s="34" t="str">
        <f>VLOOKUP(Table2[[#This Row],[Tulu/kulu liik2]],Table5[],6,FALSE)</f>
        <v>Majandamiskulud</v>
      </c>
      <c r="P1053" s="3" t="str">
        <f>VLOOKUP(Table2[[#This Row],[Tulu/kulu liik2]],Table5[],5,FALSE)</f>
        <v>Põhitegevuse kulu</v>
      </c>
    </row>
    <row r="1054" spans="1:16" x14ac:dyDescent="0.25">
      <c r="A1054" t="str">
        <f t="shared" si="32"/>
        <v>09</v>
      </c>
      <c r="B1054" t="s">
        <v>51</v>
      </c>
      <c r="C1054" s="3" t="str">
        <f>VLOOKUP(Table2[[#This Row],[Tegevusala]],Table4[],2,FALSE)</f>
        <v xml:space="preserve"> Noorte huviharidus ja huvitegevus</v>
      </c>
      <c r="D1054" s="3" t="str">
        <f>VLOOKUP(Table2[[#This Row],[Tegevusala]],Table4[[Tegevusala kood]:[Tegevusala alanimetus]],4,FALSE)</f>
        <v>Noorte huviharidus ja huvitegevus</v>
      </c>
      <c r="E1054" s="3" t="str">
        <f>VLOOKUP(Table2[[#This Row],[Tegevusala nimetus2]],Table4[[Tegevusala nimetus]:[Tegevusala koondnimetus]],2,FALSE)</f>
        <v>Haridus</v>
      </c>
      <c r="F1054" t="s">
        <v>770</v>
      </c>
      <c r="G1054" t="s">
        <v>2164</v>
      </c>
      <c r="H1054" s="40">
        <v>4540</v>
      </c>
      <c r="I1054" s="2" t="s">
        <v>2162</v>
      </c>
      <c r="J1054">
        <v>5540</v>
      </c>
      <c r="K1054" s="3" t="str">
        <f>VLOOKUP(Table2[[#This Row],[Konto]],Table5[[Konto]:[Konto nimetus]],2,FALSE)</f>
        <v>Mitmesugused majanduskulud</v>
      </c>
      <c r="L1054">
        <v>55</v>
      </c>
      <c r="M1054" t="str">
        <f t="shared" si="33"/>
        <v>55</v>
      </c>
      <c r="N1054" s="3" t="str">
        <f>VLOOKUP(Table2[[#This Row],[Tulu/kulu liik2]],Table5[[Tulu/kulu liik]:[Kontode koondnimetus]],4,FALSE)</f>
        <v>Muud tegevuskulud</v>
      </c>
      <c r="O1054" s="34" t="str">
        <f>VLOOKUP(Table2[[#This Row],[Tulu/kulu liik2]],Table5[],6,FALSE)</f>
        <v>Majandamiskulud</v>
      </c>
      <c r="P1054" s="3" t="str">
        <f>VLOOKUP(Table2[[#This Row],[Tulu/kulu liik2]],Table5[],5,FALSE)</f>
        <v>Põhitegevuse kulu</v>
      </c>
    </row>
    <row r="1055" spans="1:16" x14ac:dyDescent="0.25">
      <c r="A1055" t="str">
        <f t="shared" si="32"/>
        <v>09</v>
      </c>
      <c r="B1055" t="s">
        <v>51</v>
      </c>
      <c r="C1055" s="3" t="str">
        <f>VLOOKUP(Table2[[#This Row],[Tegevusala]],Table4[],2,FALSE)</f>
        <v xml:space="preserve"> Noorte huviharidus ja huvitegevus</v>
      </c>
      <c r="D1055" s="3" t="str">
        <f>VLOOKUP(Table2[[#This Row],[Tegevusala]],Table4[[Tegevusala kood]:[Tegevusala alanimetus]],4,FALSE)</f>
        <v>Noorte huviharidus ja huvitegevus</v>
      </c>
      <c r="E1055" s="3" t="str">
        <f>VLOOKUP(Table2[[#This Row],[Tegevusala nimetus2]],Table4[[Tegevusala nimetus]:[Tegevusala koondnimetus]],2,FALSE)</f>
        <v>Haridus</v>
      </c>
      <c r="F1055" t="s">
        <v>770</v>
      </c>
      <c r="G1055" t="s">
        <v>2163</v>
      </c>
      <c r="H1055" s="40">
        <v>2450</v>
      </c>
      <c r="I1055" s="2" t="s">
        <v>2165</v>
      </c>
      <c r="J1055">
        <v>5540</v>
      </c>
      <c r="K1055" s="3" t="str">
        <f>VLOOKUP(Table2[[#This Row],[Konto]],Table5[[Konto]:[Konto nimetus]],2,FALSE)</f>
        <v>Mitmesugused majanduskulud</v>
      </c>
      <c r="L1055">
        <v>55</v>
      </c>
      <c r="M1055" t="str">
        <f t="shared" si="33"/>
        <v>55</v>
      </c>
      <c r="N1055" s="3" t="str">
        <f>VLOOKUP(Table2[[#This Row],[Tulu/kulu liik2]],Table5[[Tulu/kulu liik]:[Kontode koondnimetus]],4,FALSE)</f>
        <v>Muud tegevuskulud</v>
      </c>
      <c r="O1055" s="34" t="str">
        <f>VLOOKUP(Table2[[#This Row],[Tulu/kulu liik2]],Table5[],6,FALSE)</f>
        <v>Majandamiskulud</v>
      </c>
      <c r="P1055" s="3" t="str">
        <f>VLOOKUP(Table2[[#This Row],[Tulu/kulu liik2]],Table5[],5,FALSE)</f>
        <v>Põhitegevuse kulu</v>
      </c>
    </row>
    <row r="1056" spans="1:16" x14ac:dyDescent="0.25">
      <c r="A1056" t="str">
        <f t="shared" si="32"/>
        <v>09</v>
      </c>
      <c r="B1056" t="s">
        <v>51</v>
      </c>
      <c r="C1056" s="3" t="str">
        <f>VLOOKUP(Table2[[#This Row],[Tegevusala]],Table4[],2,FALSE)</f>
        <v xml:space="preserve"> Noorte huviharidus ja huvitegevus</v>
      </c>
      <c r="D1056" s="3" t="str">
        <f>VLOOKUP(Table2[[#This Row],[Tegevusala]],Table4[[Tegevusala kood]:[Tegevusala alanimetus]],4,FALSE)</f>
        <v>Noorte huviharidus ja huvitegevus</v>
      </c>
      <c r="E1056" s="3" t="str">
        <f>VLOOKUP(Table2[[#This Row],[Tegevusala nimetus2]],Table4[[Tegevusala nimetus]:[Tegevusala koondnimetus]],2,FALSE)</f>
        <v>Haridus</v>
      </c>
      <c r="F1056" t="s">
        <v>770</v>
      </c>
      <c r="G1056" t="s">
        <v>2164</v>
      </c>
      <c r="H1056" s="40">
        <v>2110</v>
      </c>
      <c r="I1056" s="2" t="s">
        <v>2165</v>
      </c>
      <c r="J1056">
        <v>5540</v>
      </c>
      <c r="K1056" s="3" t="str">
        <f>VLOOKUP(Table2[[#This Row],[Konto]],Table5[[Konto]:[Konto nimetus]],2,FALSE)</f>
        <v>Mitmesugused majanduskulud</v>
      </c>
      <c r="L1056">
        <v>55</v>
      </c>
      <c r="M1056" t="str">
        <f t="shared" si="33"/>
        <v>55</v>
      </c>
      <c r="N1056" s="3" t="str">
        <f>VLOOKUP(Table2[[#This Row],[Tulu/kulu liik2]],Table5[[Tulu/kulu liik]:[Kontode koondnimetus]],4,FALSE)</f>
        <v>Muud tegevuskulud</v>
      </c>
      <c r="O1056" s="34" t="str">
        <f>VLOOKUP(Table2[[#This Row],[Tulu/kulu liik2]],Table5[],6,FALSE)</f>
        <v>Majandamiskulud</v>
      </c>
      <c r="P1056" s="3" t="str">
        <f>VLOOKUP(Table2[[#This Row],[Tulu/kulu liik2]],Table5[],5,FALSE)</f>
        <v>Põhitegevuse kulu</v>
      </c>
    </row>
    <row r="1057" spans="1:16" x14ac:dyDescent="0.25">
      <c r="A1057" t="str">
        <f t="shared" si="32"/>
        <v>09</v>
      </c>
      <c r="B1057" t="s">
        <v>53</v>
      </c>
      <c r="C1057" s="3" t="str">
        <f>VLOOKUP(Table2[[#This Row],[Tegevusala]],Table4[],2,FALSE)</f>
        <v xml:space="preserve"> Koolitransport</v>
      </c>
      <c r="D1057" s="3" t="str">
        <f>VLOOKUP(Table2[[#This Row],[Tegevusala]],Table4[[Tegevusala kood]:[Tegevusala alanimetus]],4,FALSE)</f>
        <v>Koolitransport</v>
      </c>
      <c r="E1057" s="3" t="str">
        <f>VLOOKUP(Table2[[#This Row],[Tegevusala nimetus2]],Table4[[Tegevusala nimetus]:[Tegevusala koondnimetus]],2,FALSE)</f>
        <v>Haridus</v>
      </c>
      <c r="F1057" t="s">
        <v>805</v>
      </c>
      <c r="G1057" t="s">
        <v>809</v>
      </c>
      <c r="H1057" s="40">
        <v>37152</v>
      </c>
      <c r="I1057" s="2" t="s">
        <v>810</v>
      </c>
      <c r="J1057">
        <v>5513</v>
      </c>
      <c r="K1057" s="3" t="str">
        <f>VLOOKUP(Table2[[#This Row],[Konto]],Table5[[Konto]:[Konto nimetus]],2,FALSE)</f>
        <v>Sõidukite ülalpidamise kulud</v>
      </c>
      <c r="L1057">
        <v>55</v>
      </c>
      <c r="M1057" t="str">
        <f t="shared" si="33"/>
        <v>55</v>
      </c>
      <c r="N1057" s="3" t="str">
        <f>VLOOKUP(Table2[[#This Row],[Tulu/kulu liik2]],Table5[[Tulu/kulu liik]:[Kontode koondnimetus]],4,FALSE)</f>
        <v>Muud tegevuskulud</v>
      </c>
      <c r="O1057" s="3" t="str">
        <f>VLOOKUP(Table2[[#This Row],[Tulu/kulu liik2]],Table5[],6,FALSE)</f>
        <v>Majandamiskulud</v>
      </c>
      <c r="P1057" s="3" t="str">
        <f>VLOOKUP(Table2[[#This Row],[Tulu/kulu liik2]],Table5[],5,FALSE)</f>
        <v>Põhitegevuse kulu</v>
      </c>
    </row>
    <row r="1058" spans="1:16" x14ac:dyDescent="0.25">
      <c r="A1058" t="str">
        <f t="shared" si="32"/>
        <v>09</v>
      </c>
      <c r="B1058" t="s">
        <v>53</v>
      </c>
      <c r="C1058" s="3" t="str">
        <f>VLOOKUP(Table2[[#This Row],[Tegevusala]],Table4[],2,FALSE)</f>
        <v xml:space="preserve"> Koolitransport</v>
      </c>
      <c r="D1058" s="3" t="str">
        <f>VLOOKUP(Table2[[#This Row],[Tegevusala]],Table4[[Tegevusala kood]:[Tegevusala alanimetus]],4,FALSE)</f>
        <v>Koolitransport</v>
      </c>
      <c r="E1058" s="3" t="str">
        <f>VLOOKUP(Table2[[#This Row],[Tegevusala nimetus2]],Table4[[Tegevusala nimetus]:[Tegevusala koondnimetus]],2,FALSE)</f>
        <v>Haridus</v>
      </c>
      <c r="F1058" t="s">
        <v>805</v>
      </c>
      <c r="G1058" t="s">
        <v>811</v>
      </c>
      <c r="H1058" s="40">
        <v>3100</v>
      </c>
      <c r="I1058" s="2" t="s">
        <v>812</v>
      </c>
      <c r="J1058">
        <v>5513</v>
      </c>
      <c r="K1058" s="3" t="str">
        <f>VLOOKUP(Table2[[#This Row],[Konto]],Table5[[Konto]:[Konto nimetus]],2,FALSE)</f>
        <v>Sõidukite ülalpidamise kulud</v>
      </c>
      <c r="L1058">
        <v>55</v>
      </c>
      <c r="M1058" t="str">
        <f t="shared" si="33"/>
        <v>55</v>
      </c>
      <c r="N1058" s="3" t="str">
        <f>VLOOKUP(Table2[[#This Row],[Tulu/kulu liik2]],Table5[[Tulu/kulu liik]:[Kontode koondnimetus]],4,FALSE)</f>
        <v>Muud tegevuskulud</v>
      </c>
      <c r="O1058" s="3" t="str">
        <f>VLOOKUP(Table2[[#This Row],[Tulu/kulu liik2]],Table5[],6,FALSE)</f>
        <v>Majandamiskulud</v>
      </c>
      <c r="P1058" s="3" t="str">
        <f>VLOOKUP(Table2[[#This Row],[Tulu/kulu liik2]],Table5[],5,FALSE)</f>
        <v>Põhitegevuse kulu</v>
      </c>
    </row>
    <row r="1059" spans="1:16" x14ac:dyDescent="0.25">
      <c r="A1059" t="str">
        <f t="shared" si="32"/>
        <v>09</v>
      </c>
      <c r="B1059" t="s">
        <v>53</v>
      </c>
      <c r="C1059" s="3" t="str">
        <f>VLOOKUP(Table2[[#This Row],[Tegevusala]],Table4[],2,FALSE)</f>
        <v xml:space="preserve"> Koolitransport</v>
      </c>
      <c r="D1059" s="3" t="str">
        <f>VLOOKUP(Table2[[#This Row],[Tegevusala]],Table4[[Tegevusala kood]:[Tegevusala alanimetus]],4,FALSE)</f>
        <v>Koolitransport</v>
      </c>
      <c r="E1059" s="3" t="str">
        <f>VLOOKUP(Table2[[#This Row],[Tegevusala nimetus2]],Table4[[Tegevusala nimetus]:[Tegevusala koondnimetus]],2,FALSE)</f>
        <v>Haridus</v>
      </c>
      <c r="F1059" t="s">
        <v>805</v>
      </c>
      <c r="G1059" t="s">
        <v>813</v>
      </c>
      <c r="H1059" s="40">
        <v>3000</v>
      </c>
      <c r="J1059">
        <v>5513</v>
      </c>
      <c r="K1059" s="3" t="str">
        <f>VLOOKUP(Table2[[#This Row],[Konto]],Table5[[Konto]:[Konto nimetus]],2,FALSE)</f>
        <v>Sõidukite ülalpidamise kulud</v>
      </c>
      <c r="L1059">
        <v>55</v>
      </c>
      <c r="M1059" t="str">
        <f t="shared" si="33"/>
        <v>55</v>
      </c>
      <c r="N1059" s="3" t="str">
        <f>VLOOKUP(Table2[[#This Row],[Tulu/kulu liik2]],Table5[[Tulu/kulu liik]:[Kontode koondnimetus]],4,FALSE)</f>
        <v>Muud tegevuskulud</v>
      </c>
      <c r="O1059" s="3" t="str">
        <f>VLOOKUP(Table2[[#This Row],[Tulu/kulu liik2]],Table5[],6,FALSE)</f>
        <v>Majandamiskulud</v>
      </c>
      <c r="P1059" s="3" t="str">
        <f>VLOOKUP(Table2[[#This Row],[Tulu/kulu liik2]],Table5[],5,FALSE)</f>
        <v>Põhitegevuse kulu</v>
      </c>
    </row>
    <row r="1060" spans="1:16" x14ac:dyDescent="0.25">
      <c r="A1060" t="str">
        <f t="shared" si="32"/>
        <v>09</v>
      </c>
      <c r="B1060" t="s">
        <v>53</v>
      </c>
      <c r="C1060" s="3" t="str">
        <f>VLOOKUP(Table2[[#This Row],[Tegevusala]],Table4[],2,FALSE)</f>
        <v xml:space="preserve"> Koolitransport</v>
      </c>
      <c r="D1060" s="3" t="str">
        <f>VLOOKUP(Table2[[#This Row],[Tegevusala]],Table4[[Tegevusala kood]:[Tegevusala alanimetus]],4,FALSE)</f>
        <v>Koolitransport</v>
      </c>
      <c r="E1060" s="3" t="str">
        <f>VLOOKUP(Table2[[#This Row],[Tegevusala nimetus2]],Table4[[Tegevusala nimetus]:[Tegevusala koondnimetus]],2,FALSE)</f>
        <v>Haridus</v>
      </c>
      <c r="F1060" t="s">
        <v>805</v>
      </c>
      <c r="G1060" t="s">
        <v>814</v>
      </c>
      <c r="H1060" s="40">
        <v>300</v>
      </c>
      <c r="I1060" s="2" t="s">
        <v>815</v>
      </c>
      <c r="J1060">
        <v>5515</v>
      </c>
      <c r="K1060" s="3" t="str">
        <f>VLOOKUP(Table2[[#This Row],[Konto]],Table5[[Konto]:[Konto nimetus]],2,FALSE)</f>
        <v>Inventari kulud, v.a infotehnoloogia ja kaitseotstarbelised kulud</v>
      </c>
      <c r="L1060">
        <v>55</v>
      </c>
      <c r="M1060" t="str">
        <f t="shared" si="33"/>
        <v>55</v>
      </c>
      <c r="N1060" s="3" t="str">
        <f>VLOOKUP(Table2[[#This Row],[Tulu/kulu liik2]],Table5[[Tulu/kulu liik]:[Kontode koondnimetus]],4,FALSE)</f>
        <v>Muud tegevuskulud</v>
      </c>
      <c r="O1060" s="3" t="str">
        <f>VLOOKUP(Table2[[#This Row],[Tulu/kulu liik2]],Table5[],6,FALSE)</f>
        <v>Majandamiskulud</v>
      </c>
      <c r="P1060" s="3" t="str">
        <f>VLOOKUP(Table2[[#This Row],[Tulu/kulu liik2]],Table5[],5,FALSE)</f>
        <v>Põhitegevuse kulu</v>
      </c>
    </row>
    <row r="1061" spans="1:16" x14ac:dyDescent="0.25">
      <c r="A1061" t="str">
        <f t="shared" si="32"/>
        <v>09</v>
      </c>
      <c r="B1061" t="s">
        <v>53</v>
      </c>
      <c r="C1061" s="3" t="str">
        <f>VLOOKUP(Table2[[#This Row],[Tegevusala]],Table4[],2,FALSE)</f>
        <v xml:space="preserve"> Koolitransport</v>
      </c>
      <c r="D1061" s="3" t="str">
        <f>VLOOKUP(Table2[[#This Row],[Tegevusala]],Table4[[Tegevusala kood]:[Tegevusala alanimetus]],4,FALSE)</f>
        <v>Koolitransport</v>
      </c>
      <c r="E1061" s="3" t="str">
        <f>VLOOKUP(Table2[[#This Row],[Tegevusala nimetus2]],Table4[[Tegevusala nimetus]:[Tegevusala koondnimetus]],2,FALSE)</f>
        <v>Haridus</v>
      </c>
      <c r="F1061" t="s">
        <v>805</v>
      </c>
      <c r="G1061" t="s">
        <v>816</v>
      </c>
      <c r="H1061" s="40">
        <v>400</v>
      </c>
      <c r="J1061">
        <v>5540</v>
      </c>
      <c r="K1061" s="3" t="str">
        <f>VLOOKUP(Table2[[#This Row],[Konto]],Table5[[Konto]:[Konto nimetus]],2,FALSE)</f>
        <v>Mitmesugused majanduskulud</v>
      </c>
      <c r="L1061">
        <v>55</v>
      </c>
      <c r="M1061" t="str">
        <f t="shared" si="33"/>
        <v>55</v>
      </c>
      <c r="N1061" s="3" t="str">
        <f>VLOOKUP(Table2[[#This Row],[Tulu/kulu liik2]],Table5[[Tulu/kulu liik]:[Kontode koondnimetus]],4,FALSE)</f>
        <v>Muud tegevuskulud</v>
      </c>
      <c r="O1061" s="3" t="str">
        <f>VLOOKUP(Table2[[#This Row],[Tulu/kulu liik2]],Table5[],6,FALSE)</f>
        <v>Majandamiskulud</v>
      </c>
      <c r="P1061" s="3" t="str">
        <f>VLOOKUP(Table2[[#This Row],[Tulu/kulu liik2]],Table5[],5,FALSE)</f>
        <v>Põhitegevuse kulu</v>
      </c>
    </row>
    <row r="1062" spans="1:16" x14ac:dyDescent="0.25">
      <c r="A1062" t="str">
        <f t="shared" si="32"/>
        <v>09</v>
      </c>
      <c r="B1062" t="s">
        <v>53</v>
      </c>
      <c r="C1062" s="3" t="str">
        <f>VLOOKUP(Table2[[#This Row],[Tegevusala]],Table4[],2,FALSE)</f>
        <v xml:space="preserve"> Koolitransport</v>
      </c>
      <c r="D1062" s="3" t="str">
        <f>VLOOKUP(Table2[[#This Row],[Tegevusala]],Table4[[Tegevusala kood]:[Tegevusala alanimetus]],4,FALSE)</f>
        <v>Koolitransport</v>
      </c>
      <c r="E1062" s="3" t="str">
        <f>VLOOKUP(Table2[[#This Row],[Tegevusala nimetus2]],Table4[[Tegevusala nimetus]:[Tegevusala koondnimetus]],2,FALSE)</f>
        <v>Haridus</v>
      </c>
      <c r="F1062" t="s">
        <v>805</v>
      </c>
      <c r="G1062" t="s">
        <v>794</v>
      </c>
      <c r="H1062" s="40">
        <v>120</v>
      </c>
      <c r="I1062" s="2" t="s">
        <v>817</v>
      </c>
      <c r="J1062">
        <v>5500</v>
      </c>
      <c r="K1062" s="3" t="str">
        <f>VLOOKUP(Table2[[#This Row],[Konto]],Table5[[Konto]:[Konto nimetus]],2,FALSE)</f>
        <v>Administreerimiskulud</v>
      </c>
      <c r="L1062">
        <v>55</v>
      </c>
      <c r="M1062" t="str">
        <f t="shared" si="33"/>
        <v>55</v>
      </c>
      <c r="N1062" s="3" t="str">
        <f>VLOOKUP(Table2[[#This Row],[Tulu/kulu liik2]],Table5[[Tulu/kulu liik]:[Kontode koondnimetus]],4,FALSE)</f>
        <v>Muud tegevuskulud</v>
      </c>
      <c r="O1062" s="3" t="str">
        <f>VLOOKUP(Table2[[#This Row],[Tulu/kulu liik2]],Table5[],6,FALSE)</f>
        <v>Majandamiskulud</v>
      </c>
      <c r="P1062" s="3" t="str">
        <f>VLOOKUP(Table2[[#This Row],[Tulu/kulu liik2]],Table5[],5,FALSE)</f>
        <v>Põhitegevuse kulu</v>
      </c>
    </row>
    <row r="1063" spans="1:16" x14ac:dyDescent="0.25">
      <c r="A1063" t="str">
        <f t="shared" si="32"/>
        <v>09</v>
      </c>
      <c r="B1063" t="s">
        <v>53</v>
      </c>
      <c r="C1063" s="3" t="str">
        <f>VLOOKUP(Table2[[#This Row],[Tegevusala]],Table4[],2,FALSE)</f>
        <v xml:space="preserve"> Koolitransport</v>
      </c>
      <c r="D1063" s="3" t="str">
        <f>VLOOKUP(Table2[[#This Row],[Tegevusala]],Table4[[Tegevusala kood]:[Tegevusala alanimetus]],4,FALSE)</f>
        <v>Koolitransport</v>
      </c>
      <c r="E1063" s="3" t="str">
        <f>VLOOKUP(Table2[[#This Row],[Tegevusala nimetus2]],Table4[[Tegevusala nimetus]:[Tegevusala koondnimetus]],2,FALSE)</f>
        <v>Haridus</v>
      </c>
      <c r="F1063" t="s">
        <v>805</v>
      </c>
      <c r="G1063" t="s">
        <v>825</v>
      </c>
      <c r="H1063" s="40">
        <v>25000</v>
      </c>
      <c r="J1063">
        <v>4134</v>
      </c>
      <c r="K1063" s="3" t="str">
        <f>VLOOKUP(Table2[[#This Row],[Konto]],Table5[[Konto]:[Konto nimetus]],2,FALSE)</f>
        <v>Õppetoetused</v>
      </c>
      <c r="L1063">
        <v>413</v>
      </c>
      <c r="M1063" t="str">
        <f t="shared" si="33"/>
        <v>41</v>
      </c>
      <c r="N1063" s="3" t="str">
        <f>VLOOKUP(Table2[[#This Row],[Tulu/kulu liik2]],Table5[[Tulu/kulu liik]:[Kontode koondnimetus]],4,FALSE)</f>
        <v>Antavad toetused tegevuskuludeks</v>
      </c>
      <c r="O1063" s="3" t="str">
        <f>VLOOKUP(Table2[[#This Row],[Tulu/kulu liik2]],Table5[],6,FALSE)</f>
        <v>Sotsiaalabitoetused ja muud toetused füüsilistele isikutele</v>
      </c>
      <c r="P1063" s="3" t="str">
        <f>VLOOKUP(Table2[[#This Row],[Tulu/kulu liik2]],Table5[],5,FALSE)</f>
        <v>Põhitegevuse kulu</v>
      </c>
    </row>
    <row r="1064" spans="1:16" x14ac:dyDescent="0.25">
      <c r="A1064" t="str">
        <f t="shared" si="32"/>
        <v>09</v>
      </c>
      <c r="B1064" t="s">
        <v>53</v>
      </c>
      <c r="C1064" s="3" t="str">
        <f>VLOOKUP(Table2[[#This Row],[Tegevusala]],Table4[],2,FALSE)</f>
        <v xml:space="preserve"> Koolitransport</v>
      </c>
      <c r="D1064" s="3" t="str">
        <f>VLOOKUP(Table2[[#This Row],[Tegevusala]],Table4[[Tegevusala kood]:[Tegevusala alanimetus]],4,FALSE)</f>
        <v>Koolitransport</v>
      </c>
      <c r="E1064" s="3" t="str">
        <f>VLOOKUP(Table2[[#This Row],[Tegevusala nimetus2]],Table4[[Tegevusala nimetus]:[Tegevusala koondnimetus]],2,FALSE)</f>
        <v>Haridus</v>
      </c>
      <c r="F1064" t="s">
        <v>805</v>
      </c>
      <c r="G1064" t="s">
        <v>826</v>
      </c>
      <c r="H1064" s="40">
        <v>56000</v>
      </c>
      <c r="J1064">
        <v>4134</v>
      </c>
      <c r="K1064" s="3" t="str">
        <f>VLOOKUP(Table2[[#This Row],[Konto]],Table5[[Konto]:[Konto nimetus]],2,FALSE)</f>
        <v>Õppetoetused</v>
      </c>
      <c r="L1064">
        <v>413</v>
      </c>
      <c r="M1064" t="str">
        <f t="shared" si="33"/>
        <v>41</v>
      </c>
      <c r="N1064" s="3" t="str">
        <f>VLOOKUP(Table2[[#This Row],[Tulu/kulu liik2]],Table5[[Tulu/kulu liik]:[Kontode koondnimetus]],4,FALSE)</f>
        <v>Antavad toetused tegevuskuludeks</v>
      </c>
      <c r="O1064" s="3" t="str">
        <f>VLOOKUP(Table2[[#This Row],[Tulu/kulu liik2]],Table5[],6,FALSE)</f>
        <v>Sotsiaalabitoetused ja muud toetused füüsilistele isikutele</v>
      </c>
      <c r="P1064" s="3" t="str">
        <f>VLOOKUP(Table2[[#This Row],[Tulu/kulu liik2]],Table5[],5,FALSE)</f>
        <v>Põhitegevuse kulu</v>
      </c>
    </row>
    <row r="1065" spans="1:16" x14ac:dyDescent="0.25">
      <c r="A1065" t="str">
        <f t="shared" si="32"/>
        <v>09</v>
      </c>
      <c r="B1065" t="s">
        <v>53</v>
      </c>
      <c r="C1065" s="3" t="str">
        <f>VLOOKUP(Table2[[#This Row],[Tegevusala]],Table4[],2,FALSE)</f>
        <v xml:space="preserve"> Koolitransport</v>
      </c>
      <c r="D1065" s="3" t="str">
        <f>VLOOKUP(Table2[[#This Row],[Tegevusala]],Table4[[Tegevusala kood]:[Tegevusala alanimetus]],4,FALSE)</f>
        <v>Koolitransport</v>
      </c>
      <c r="E1065" s="3" t="str">
        <f>VLOOKUP(Table2[[#This Row],[Tegevusala nimetus2]],Table4[[Tegevusala nimetus]:[Tegevusala koondnimetus]],2,FALSE)</f>
        <v>Haridus</v>
      </c>
      <c r="F1065" t="s">
        <v>805</v>
      </c>
      <c r="G1065" t="s">
        <v>827</v>
      </c>
      <c r="H1065" s="40">
        <v>42000</v>
      </c>
      <c r="J1065">
        <v>4134</v>
      </c>
      <c r="K1065" s="3" t="str">
        <f>VLOOKUP(Table2[[#This Row],[Konto]],Table5[[Konto]:[Konto nimetus]],2,FALSE)</f>
        <v>Õppetoetused</v>
      </c>
      <c r="L1065">
        <v>413</v>
      </c>
      <c r="M1065" t="str">
        <f t="shared" si="33"/>
        <v>41</v>
      </c>
      <c r="N1065" s="3" t="str">
        <f>VLOOKUP(Table2[[#This Row],[Tulu/kulu liik2]],Table5[[Tulu/kulu liik]:[Kontode koondnimetus]],4,FALSE)</f>
        <v>Antavad toetused tegevuskuludeks</v>
      </c>
      <c r="O1065" s="3" t="str">
        <f>VLOOKUP(Table2[[#This Row],[Tulu/kulu liik2]],Table5[],6,FALSE)</f>
        <v>Sotsiaalabitoetused ja muud toetused füüsilistele isikutele</v>
      </c>
      <c r="P1065" s="3" t="str">
        <f>VLOOKUP(Table2[[#This Row],[Tulu/kulu liik2]],Table5[],5,FALSE)</f>
        <v>Põhitegevuse kulu</v>
      </c>
    </row>
    <row r="1066" spans="1:16" x14ac:dyDescent="0.25">
      <c r="A1066" t="str">
        <f t="shared" si="32"/>
        <v>09</v>
      </c>
      <c r="B1066" t="s">
        <v>53</v>
      </c>
      <c r="C1066" s="3" t="str">
        <f>VLOOKUP(Table2[[#This Row],[Tegevusala]],Table4[],2,FALSE)</f>
        <v xml:space="preserve"> Koolitransport</v>
      </c>
      <c r="D1066" s="3" t="str">
        <f>VLOOKUP(Table2[[#This Row],[Tegevusala]],Table4[[Tegevusala kood]:[Tegevusala alanimetus]],4,FALSE)</f>
        <v>Koolitransport</v>
      </c>
      <c r="E1066" s="3" t="str">
        <f>VLOOKUP(Table2[[#This Row],[Tegevusala nimetus2]],Table4[[Tegevusala nimetus]:[Tegevusala koondnimetus]],2,FALSE)</f>
        <v>Haridus</v>
      </c>
      <c r="F1066" t="s">
        <v>805</v>
      </c>
      <c r="G1066" t="s">
        <v>2074</v>
      </c>
      <c r="H1066" s="40">
        <f>((50000/100)*36)*1.5</f>
        <v>27000</v>
      </c>
      <c r="I1066" s="2" t="s">
        <v>2075</v>
      </c>
      <c r="J1066">
        <v>5513</v>
      </c>
      <c r="K1066" s="3" t="str">
        <f>VLOOKUP(Table2[[#This Row],[Konto]],Table5[[Konto]:[Konto nimetus]],2,FALSE)</f>
        <v>Sõidukite ülalpidamise kulud</v>
      </c>
      <c r="L1066">
        <v>55</v>
      </c>
      <c r="M1066" t="str">
        <f t="shared" si="33"/>
        <v>55</v>
      </c>
      <c r="N1066" s="3" t="str">
        <f>VLOOKUP(Table2[[#This Row],[Tulu/kulu liik2]],Table5[[Tulu/kulu liik]:[Kontode koondnimetus]],4,FALSE)</f>
        <v>Muud tegevuskulud</v>
      </c>
      <c r="O1066" s="34" t="str">
        <f>VLOOKUP(Table2[[#This Row],[Tulu/kulu liik2]],Table5[],6,FALSE)</f>
        <v>Majandamiskulud</v>
      </c>
      <c r="P1066" s="3" t="str">
        <f>VLOOKUP(Table2[[#This Row],[Tulu/kulu liik2]],Table5[],5,FALSE)</f>
        <v>Põhitegevuse kulu</v>
      </c>
    </row>
    <row r="1067" spans="1:16" x14ac:dyDescent="0.25">
      <c r="A1067" t="str">
        <f t="shared" si="32"/>
        <v>09</v>
      </c>
      <c r="B1067" t="s">
        <v>353</v>
      </c>
      <c r="C1067" s="3" t="str">
        <f>VLOOKUP(Table2[[#This Row],[Tegevusala]],Table4[],2,FALSE)</f>
        <v xml:space="preserve"> Roela Õpilaskodu</v>
      </c>
      <c r="D1067" s="3" t="str">
        <f>VLOOKUP(Table2[[#This Row],[Tegevusala]],Table4[[Tegevusala kood]:[Tegevusala alanimetus]],4,FALSE)</f>
        <v>Öömaja</v>
      </c>
      <c r="E1067" s="3" t="str">
        <f>VLOOKUP(Table2[[#This Row],[Tegevusala nimetus2]],Table4[[Tegevusala nimetus]:[Tegevusala koondnimetus]],2,FALSE)</f>
        <v>Haridus</v>
      </c>
      <c r="F1067" t="s">
        <v>1851</v>
      </c>
      <c r="G1067" t="s">
        <v>1802</v>
      </c>
      <c r="H1067" s="40">
        <v>576</v>
      </c>
      <c r="I1067" s="2" t="s">
        <v>1855</v>
      </c>
      <c r="J1067">
        <v>5500</v>
      </c>
      <c r="K1067" s="3" t="str">
        <f>VLOOKUP(Table2[[#This Row],[Konto]],Table5[[Konto]:[Konto nimetus]],2,FALSE)</f>
        <v>Administreerimiskulud</v>
      </c>
      <c r="L1067">
        <v>55</v>
      </c>
      <c r="M1067" t="str">
        <f t="shared" si="33"/>
        <v>55</v>
      </c>
      <c r="N1067" s="3" t="str">
        <f>VLOOKUP(Table2[[#This Row],[Tulu/kulu liik2]],Table5[[Tulu/kulu liik]:[Kontode koondnimetus]],4,FALSE)</f>
        <v>Muud tegevuskulud</v>
      </c>
      <c r="O1067" s="3" t="str">
        <f>VLOOKUP(Table2[[#This Row],[Tulu/kulu liik2]],Table5[],6,FALSE)</f>
        <v>Majandamiskulud</v>
      </c>
      <c r="P1067" s="3" t="str">
        <f>VLOOKUP(Table2[[#This Row],[Tulu/kulu liik2]],Table5[],5,FALSE)</f>
        <v>Põhitegevuse kulu</v>
      </c>
    </row>
    <row r="1068" spans="1:16" x14ac:dyDescent="0.25">
      <c r="A1068" t="str">
        <f t="shared" si="32"/>
        <v>09</v>
      </c>
      <c r="B1068" t="s">
        <v>353</v>
      </c>
      <c r="C1068" s="3" t="str">
        <f>VLOOKUP(Table2[[#This Row],[Tegevusala]],Table4[],2,FALSE)</f>
        <v xml:space="preserve"> Roela Õpilaskodu</v>
      </c>
      <c r="D1068" s="3" t="str">
        <f>VLOOKUP(Table2[[#This Row],[Tegevusala]],Table4[[Tegevusala kood]:[Tegevusala alanimetus]],4,FALSE)</f>
        <v>Öömaja</v>
      </c>
      <c r="E1068" s="3" t="str">
        <f>VLOOKUP(Table2[[#This Row],[Tegevusala nimetus2]],Table4[[Tegevusala nimetus]:[Tegevusala koondnimetus]],2,FALSE)</f>
        <v>Haridus</v>
      </c>
      <c r="F1068" t="s">
        <v>1851</v>
      </c>
      <c r="G1068" t="s">
        <v>1852</v>
      </c>
      <c r="H1068" s="40">
        <v>60</v>
      </c>
      <c r="I1068" s="2" t="s">
        <v>1856</v>
      </c>
      <c r="J1068">
        <v>5500</v>
      </c>
      <c r="K1068" s="3" t="str">
        <f>VLOOKUP(Table2[[#This Row],[Konto]],Table5[[Konto]:[Konto nimetus]],2,FALSE)</f>
        <v>Administreerimiskulud</v>
      </c>
      <c r="L1068">
        <v>55</v>
      </c>
      <c r="M1068" t="str">
        <f t="shared" si="33"/>
        <v>55</v>
      </c>
      <c r="N1068" s="3" t="str">
        <f>VLOOKUP(Table2[[#This Row],[Tulu/kulu liik2]],Table5[[Tulu/kulu liik]:[Kontode koondnimetus]],4,FALSE)</f>
        <v>Muud tegevuskulud</v>
      </c>
      <c r="O1068" s="3" t="str">
        <f>VLOOKUP(Table2[[#This Row],[Tulu/kulu liik2]],Table5[],6,FALSE)</f>
        <v>Majandamiskulud</v>
      </c>
      <c r="P1068" s="3" t="str">
        <f>VLOOKUP(Table2[[#This Row],[Tulu/kulu liik2]],Table5[],5,FALSE)</f>
        <v>Põhitegevuse kulu</v>
      </c>
    </row>
    <row r="1069" spans="1:16" x14ac:dyDescent="0.25">
      <c r="A1069" t="str">
        <f t="shared" si="32"/>
        <v>09</v>
      </c>
      <c r="B1069" t="s">
        <v>353</v>
      </c>
      <c r="C1069" s="3" t="str">
        <f>VLOOKUP(Table2[[#This Row],[Tegevusala]],Table4[],2,FALSE)</f>
        <v xml:space="preserve"> Roela Õpilaskodu</v>
      </c>
      <c r="D1069" s="3" t="str">
        <f>VLOOKUP(Table2[[#This Row],[Tegevusala]],Table4[[Tegevusala kood]:[Tegevusala alanimetus]],4,FALSE)</f>
        <v>Öömaja</v>
      </c>
      <c r="E1069" s="3" t="str">
        <f>VLOOKUP(Table2[[#This Row],[Tegevusala nimetus2]],Table4[[Tegevusala nimetus]:[Tegevusala koondnimetus]],2,FALSE)</f>
        <v>Haridus</v>
      </c>
      <c r="F1069" t="s">
        <v>1851</v>
      </c>
      <c r="G1069" t="s">
        <v>1853</v>
      </c>
      <c r="H1069" s="40">
        <v>50</v>
      </c>
      <c r="J1069">
        <v>5500</v>
      </c>
      <c r="K1069" s="3" t="str">
        <f>VLOOKUP(Table2[[#This Row],[Konto]],Table5[[Konto]:[Konto nimetus]],2,FALSE)</f>
        <v>Administreerimiskulud</v>
      </c>
      <c r="L1069">
        <v>55</v>
      </c>
      <c r="M1069" t="str">
        <f t="shared" si="33"/>
        <v>55</v>
      </c>
      <c r="N1069" s="3" t="str">
        <f>VLOOKUP(Table2[[#This Row],[Tulu/kulu liik2]],Table5[[Tulu/kulu liik]:[Kontode koondnimetus]],4,FALSE)</f>
        <v>Muud tegevuskulud</v>
      </c>
      <c r="O1069" s="3" t="str">
        <f>VLOOKUP(Table2[[#This Row],[Tulu/kulu liik2]],Table5[],6,FALSE)</f>
        <v>Majandamiskulud</v>
      </c>
      <c r="P1069" s="3" t="str">
        <f>VLOOKUP(Table2[[#This Row],[Tulu/kulu liik2]],Table5[],5,FALSE)</f>
        <v>Põhitegevuse kulu</v>
      </c>
    </row>
    <row r="1070" spans="1:16" x14ac:dyDescent="0.25">
      <c r="A1070" t="str">
        <f t="shared" si="32"/>
        <v>09</v>
      </c>
      <c r="B1070" t="s">
        <v>353</v>
      </c>
      <c r="C1070" s="3" t="str">
        <f>VLOOKUP(Table2[[#This Row],[Tegevusala]],Table4[],2,FALSE)</f>
        <v xml:space="preserve"> Roela Õpilaskodu</v>
      </c>
      <c r="D1070" s="3" t="str">
        <f>VLOOKUP(Table2[[#This Row],[Tegevusala]],Table4[[Tegevusala kood]:[Tegevusala alanimetus]],4,FALSE)</f>
        <v>Öömaja</v>
      </c>
      <c r="E1070" s="3" t="str">
        <f>VLOOKUP(Table2[[#This Row],[Tegevusala nimetus2]],Table4[[Tegevusala nimetus]:[Tegevusala koondnimetus]],2,FALSE)</f>
        <v>Haridus</v>
      </c>
      <c r="F1070" t="s">
        <v>1851</v>
      </c>
      <c r="G1070" t="s">
        <v>1854</v>
      </c>
      <c r="H1070" s="40">
        <v>50</v>
      </c>
      <c r="J1070">
        <v>5500</v>
      </c>
      <c r="K1070" s="3" t="str">
        <f>VLOOKUP(Table2[[#This Row],[Konto]],Table5[[Konto]:[Konto nimetus]],2,FALSE)</f>
        <v>Administreerimiskulud</v>
      </c>
      <c r="L1070">
        <v>55</v>
      </c>
      <c r="M1070" t="str">
        <f t="shared" si="33"/>
        <v>55</v>
      </c>
      <c r="N1070" s="3" t="str">
        <f>VLOOKUP(Table2[[#This Row],[Tulu/kulu liik2]],Table5[[Tulu/kulu liik]:[Kontode koondnimetus]],4,FALSE)</f>
        <v>Muud tegevuskulud</v>
      </c>
      <c r="O1070" s="3" t="str">
        <f>VLOOKUP(Table2[[#This Row],[Tulu/kulu liik2]],Table5[],6,FALSE)</f>
        <v>Majandamiskulud</v>
      </c>
      <c r="P1070" s="3" t="str">
        <f>VLOOKUP(Table2[[#This Row],[Tulu/kulu liik2]],Table5[],5,FALSE)</f>
        <v>Põhitegevuse kulu</v>
      </c>
    </row>
    <row r="1071" spans="1:16" x14ac:dyDescent="0.25">
      <c r="A1071" t="str">
        <f t="shared" si="32"/>
        <v>09</v>
      </c>
      <c r="B1071" t="s">
        <v>353</v>
      </c>
      <c r="C1071" s="3" t="str">
        <f>VLOOKUP(Table2[[#This Row],[Tegevusala]],Table4[],2,FALSE)</f>
        <v xml:space="preserve"> Roela Õpilaskodu</v>
      </c>
      <c r="D1071" s="3" t="str">
        <f>VLOOKUP(Table2[[#This Row],[Tegevusala]],Table4[[Tegevusala kood]:[Tegevusala alanimetus]],4,FALSE)</f>
        <v>Öömaja</v>
      </c>
      <c r="E1071" s="3" t="str">
        <f>VLOOKUP(Table2[[#This Row],[Tegevusala nimetus2]],Table4[[Tegevusala nimetus]:[Tegevusala koondnimetus]],2,FALSE)</f>
        <v>Haridus</v>
      </c>
      <c r="F1071" t="s">
        <v>1851</v>
      </c>
      <c r="G1071" t="s">
        <v>1857</v>
      </c>
      <c r="H1071" s="40">
        <v>200</v>
      </c>
      <c r="I1071" s="2" t="s">
        <v>1858</v>
      </c>
      <c r="J1071">
        <v>5515</v>
      </c>
      <c r="K1071" s="3" t="str">
        <f>VLOOKUP(Table2[[#This Row],[Konto]],Table5[[Konto]:[Konto nimetus]],2,FALSE)</f>
        <v>Inventari kulud, v.a infotehnoloogia ja kaitseotstarbelised kulud</v>
      </c>
      <c r="L1071">
        <v>55</v>
      </c>
      <c r="M1071" t="str">
        <f t="shared" si="33"/>
        <v>55</v>
      </c>
      <c r="N1071" s="3" t="str">
        <f>VLOOKUP(Table2[[#This Row],[Tulu/kulu liik2]],Table5[[Tulu/kulu liik]:[Kontode koondnimetus]],4,FALSE)</f>
        <v>Muud tegevuskulud</v>
      </c>
      <c r="O1071" s="3" t="str">
        <f>VLOOKUP(Table2[[#This Row],[Tulu/kulu liik2]],Table5[],6,FALSE)</f>
        <v>Majandamiskulud</v>
      </c>
      <c r="P1071" s="3" t="str">
        <f>VLOOKUP(Table2[[#This Row],[Tulu/kulu liik2]],Table5[],5,FALSE)</f>
        <v>Põhitegevuse kulu</v>
      </c>
    </row>
    <row r="1072" spans="1:16" x14ac:dyDescent="0.25">
      <c r="A1072" t="str">
        <f t="shared" si="32"/>
        <v>09</v>
      </c>
      <c r="B1072" t="s">
        <v>353</v>
      </c>
      <c r="C1072" s="3" t="str">
        <f>VLOOKUP(Table2[[#This Row],[Tegevusala]],Table4[],2,FALSE)</f>
        <v xml:space="preserve"> Roela Õpilaskodu</v>
      </c>
      <c r="D1072" s="3" t="str">
        <f>VLOOKUP(Table2[[#This Row],[Tegevusala]],Table4[[Tegevusala kood]:[Tegevusala alanimetus]],4,FALSE)</f>
        <v>Öömaja</v>
      </c>
      <c r="E1072" s="3" t="str">
        <f>VLOOKUP(Table2[[#This Row],[Tegevusala nimetus2]],Table4[[Tegevusala nimetus]:[Tegevusala koondnimetus]],2,FALSE)</f>
        <v>Haridus</v>
      </c>
      <c r="F1072" t="s">
        <v>1851</v>
      </c>
      <c r="G1072" t="s">
        <v>1297</v>
      </c>
      <c r="H1072" s="40">
        <v>352</v>
      </c>
      <c r="I1072" s="2" t="s">
        <v>1859</v>
      </c>
      <c r="J1072">
        <v>5513</v>
      </c>
      <c r="K1072" s="3" t="str">
        <f>VLOOKUP(Table2[[#This Row],[Konto]],Table5[[Konto]:[Konto nimetus]],2,FALSE)</f>
        <v>Sõidukite ülalpidamise kulud</v>
      </c>
      <c r="L1072">
        <v>55</v>
      </c>
      <c r="M1072" t="str">
        <f t="shared" si="33"/>
        <v>55</v>
      </c>
      <c r="N1072" s="3" t="str">
        <f>VLOOKUP(Table2[[#This Row],[Tulu/kulu liik2]],Table5[[Tulu/kulu liik]:[Kontode koondnimetus]],4,FALSE)</f>
        <v>Muud tegevuskulud</v>
      </c>
      <c r="O1072" s="3" t="str">
        <f>VLOOKUP(Table2[[#This Row],[Tulu/kulu liik2]],Table5[],6,FALSE)</f>
        <v>Majandamiskulud</v>
      </c>
      <c r="P1072" s="3" t="str">
        <f>VLOOKUP(Table2[[#This Row],[Tulu/kulu liik2]],Table5[],5,FALSE)</f>
        <v>Põhitegevuse kulu</v>
      </c>
    </row>
    <row r="1073" spans="1:16" x14ac:dyDescent="0.25">
      <c r="A1073" t="str">
        <f t="shared" si="32"/>
        <v>09</v>
      </c>
      <c r="B1073" t="s">
        <v>353</v>
      </c>
      <c r="C1073" s="3" t="str">
        <f>VLOOKUP(Table2[[#This Row],[Tegevusala]],Table4[],2,FALSE)</f>
        <v xml:space="preserve"> Roela Õpilaskodu</v>
      </c>
      <c r="D1073" s="3" t="str">
        <f>VLOOKUP(Table2[[#This Row],[Tegevusala]],Table4[[Tegevusala kood]:[Tegevusala alanimetus]],4,FALSE)</f>
        <v>Öömaja</v>
      </c>
      <c r="E1073" s="3" t="str">
        <f>VLOOKUP(Table2[[#This Row],[Tegevusala nimetus2]],Table4[[Tegevusala nimetus]:[Tegevusala koondnimetus]],2,FALSE)</f>
        <v>Haridus</v>
      </c>
      <c r="F1073" t="s">
        <v>1851</v>
      </c>
      <c r="G1073" t="s">
        <v>1860</v>
      </c>
      <c r="H1073" s="40">
        <v>500</v>
      </c>
      <c r="J1073">
        <v>5515</v>
      </c>
      <c r="K1073" s="3" t="str">
        <f>VLOOKUP(Table2[[#This Row],[Konto]],Table5[[Konto]:[Konto nimetus]],2,FALSE)</f>
        <v>Inventari kulud, v.a infotehnoloogia ja kaitseotstarbelised kulud</v>
      </c>
      <c r="L1073">
        <v>55</v>
      </c>
      <c r="M1073" t="str">
        <f t="shared" si="33"/>
        <v>55</v>
      </c>
      <c r="N1073" s="3" t="str">
        <f>VLOOKUP(Table2[[#This Row],[Tulu/kulu liik2]],Table5[[Tulu/kulu liik]:[Kontode koondnimetus]],4,FALSE)</f>
        <v>Muud tegevuskulud</v>
      </c>
      <c r="O1073" s="3" t="str">
        <f>VLOOKUP(Table2[[#This Row],[Tulu/kulu liik2]],Table5[],6,FALSE)</f>
        <v>Majandamiskulud</v>
      </c>
      <c r="P1073" s="3" t="str">
        <f>VLOOKUP(Table2[[#This Row],[Tulu/kulu liik2]],Table5[],5,FALSE)</f>
        <v>Põhitegevuse kulu</v>
      </c>
    </row>
    <row r="1074" spans="1:16" x14ac:dyDescent="0.25">
      <c r="A1074" t="str">
        <f t="shared" si="32"/>
        <v>09</v>
      </c>
      <c r="B1074" t="s">
        <v>353</v>
      </c>
      <c r="C1074" s="3" t="str">
        <f>VLOOKUP(Table2[[#This Row],[Tegevusala]],Table4[],2,FALSE)</f>
        <v xml:space="preserve"> Roela Õpilaskodu</v>
      </c>
      <c r="D1074" s="3" t="str">
        <f>VLOOKUP(Table2[[#This Row],[Tegevusala]],Table4[[Tegevusala kood]:[Tegevusala alanimetus]],4,FALSE)</f>
        <v>Öömaja</v>
      </c>
      <c r="E1074" s="3" t="str">
        <f>VLOOKUP(Table2[[#This Row],[Tegevusala nimetus2]],Table4[[Tegevusala nimetus]:[Tegevusala koondnimetus]],2,FALSE)</f>
        <v>Haridus</v>
      </c>
      <c r="F1074" t="s">
        <v>1851</v>
      </c>
      <c r="G1074" t="s">
        <v>1861</v>
      </c>
      <c r="H1074" s="40">
        <v>250</v>
      </c>
      <c r="J1074">
        <v>5515</v>
      </c>
      <c r="K1074" s="3" t="str">
        <f>VLOOKUP(Table2[[#This Row],[Konto]],Table5[[Konto]:[Konto nimetus]],2,FALSE)</f>
        <v>Inventari kulud, v.a infotehnoloogia ja kaitseotstarbelised kulud</v>
      </c>
      <c r="L1074">
        <v>55</v>
      </c>
      <c r="M1074" t="str">
        <f t="shared" si="33"/>
        <v>55</v>
      </c>
      <c r="N1074" s="3" t="str">
        <f>VLOOKUP(Table2[[#This Row],[Tulu/kulu liik2]],Table5[[Tulu/kulu liik]:[Kontode koondnimetus]],4,FALSE)</f>
        <v>Muud tegevuskulud</v>
      </c>
      <c r="O1074" s="3" t="str">
        <f>VLOOKUP(Table2[[#This Row],[Tulu/kulu liik2]],Table5[],6,FALSE)</f>
        <v>Majandamiskulud</v>
      </c>
      <c r="P1074" s="3" t="str">
        <f>VLOOKUP(Table2[[#This Row],[Tulu/kulu liik2]],Table5[],5,FALSE)</f>
        <v>Põhitegevuse kulu</v>
      </c>
    </row>
    <row r="1075" spans="1:16" x14ac:dyDescent="0.25">
      <c r="A1075" t="str">
        <f t="shared" si="32"/>
        <v>09</v>
      </c>
      <c r="B1075" t="s">
        <v>353</v>
      </c>
      <c r="C1075" s="3" t="str">
        <f>VLOOKUP(Table2[[#This Row],[Tegevusala]],Table4[],2,FALSE)</f>
        <v xml:space="preserve"> Roela Õpilaskodu</v>
      </c>
      <c r="D1075" s="3" t="str">
        <f>VLOOKUP(Table2[[#This Row],[Tegevusala]],Table4[[Tegevusala kood]:[Tegevusala alanimetus]],4,FALSE)</f>
        <v>Öömaja</v>
      </c>
      <c r="E1075" s="3" t="str">
        <f>VLOOKUP(Table2[[#This Row],[Tegevusala nimetus2]],Table4[[Tegevusala nimetus]:[Tegevusala koondnimetus]],2,FALSE)</f>
        <v>Haridus</v>
      </c>
      <c r="F1075" t="s">
        <v>1851</v>
      </c>
      <c r="G1075" t="s">
        <v>1862</v>
      </c>
      <c r="H1075" s="40">
        <v>600</v>
      </c>
      <c r="J1075">
        <v>5515</v>
      </c>
      <c r="K1075" s="3" t="str">
        <f>VLOOKUP(Table2[[#This Row],[Konto]],Table5[[Konto]:[Konto nimetus]],2,FALSE)</f>
        <v>Inventari kulud, v.a infotehnoloogia ja kaitseotstarbelised kulud</v>
      </c>
      <c r="L1075">
        <v>55</v>
      </c>
      <c r="M1075" t="str">
        <f t="shared" si="33"/>
        <v>55</v>
      </c>
      <c r="N1075" s="3" t="str">
        <f>VLOOKUP(Table2[[#This Row],[Tulu/kulu liik2]],Table5[[Tulu/kulu liik]:[Kontode koondnimetus]],4,FALSE)</f>
        <v>Muud tegevuskulud</v>
      </c>
      <c r="O1075" s="3" t="str">
        <f>VLOOKUP(Table2[[#This Row],[Tulu/kulu liik2]],Table5[],6,FALSE)</f>
        <v>Majandamiskulud</v>
      </c>
      <c r="P1075" s="3" t="str">
        <f>VLOOKUP(Table2[[#This Row],[Tulu/kulu liik2]],Table5[],5,FALSE)</f>
        <v>Põhitegevuse kulu</v>
      </c>
    </row>
    <row r="1076" spans="1:16" x14ac:dyDescent="0.25">
      <c r="A1076" t="str">
        <f t="shared" si="32"/>
        <v>09</v>
      </c>
      <c r="B1076" t="s">
        <v>353</v>
      </c>
      <c r="C1076" s="3" t="str">
        <f>VLOOKUP(Table2[[#This Row],[Tegevusala]],Table4[],2,FALSE)</f>
        <v xml:space="preserve"> Roela Õpilaskodu</v>
      </c>
      <c r="D1076" s="3" t="str">
        <f>VLOOKUP(Table2[[#This Row],[Tegevusala]],Table4[[Tegevusala kood]:[Tegevusala alanimetus]],4,FALSE)</f>
        <v>Öömaja</v>
      </c>
      <c r="E1076" s="3" t="str">
        <f>VLOOKUP(Table2[[#This Row],[Tegevusala nimetus2]],Table4[[Tegevusala nimetus]:[Tegevusala koondnimetus]],2,FALSE)</f>
        <v>Haridus</v>
      </c>
      <c r="F1076" t="s">
        <v>1851</v>
      </c>
      <c r="G1076" t="s">
        <v>1863</v>
      </c>
      <c r="H1076" s="40">
        <v>3600</v>
      </c>
      <c r="J1076">
        <v>5521</v>
      </c>
      <c r="K1076" s="3" t="str">
        <f>VLOOKUP(Table2[[#This Row],[Konto]],Table5[[Konto]:[Konto nimetus]],2,FALSE)</f>
        <v>Toiduained ja toitlustusteenused</v>
      </c>
      <c r="L1076">
        <v>55</v>
      </c>
      <c r="M1076" t="str">
        <f t="shared" si="33"/>
        <v>55</v>
      </c>
      <c r="N1076" s="3" t="str">
        <f>VLOOKUP(Table2[[#This Row],[Tulu/kulu liik2]],Table5[[Tulu/kulu liik]:[Kontode koondnimetus]],4,FALSE)</f>
        <v>Muud tegevuskulud</v>
      </c>
      <c r="O1076" s="3" t="str">
        <f>VLOOKUP(Table2[[#This Row],[Tulu/kulu liik2]],Table5[],6,FALSE)</f>
        <v>Majandamiskulud</v>
      </c>
      <c r="P1076" s="3" t="str">
        <f>VLOOKUP(Table2[[#This Row],[Tulu/kulu liik2]],Table5[],5,FALSE)</f>
        <v>Põhitegevuse kulu</v>
      </c>
    </row>
    <row r="1077" spans="1:16" x14ac:dyDescent="0.25">
      <c r="A1077" t="str">
        <f t="shared" si="32"/>
        <v>09</v>
      </c>
      <c r="B1077" t="s">
        <v>353</v>
      </c>
      <c r="C1077" s="3" t="str">
        <f>VLOOKUP(Table2[[#This Row],[Tegevusala]],Table4[],2,FALSE)</f>
        <v xml:space="preserve"> Roela Õpilaskodu</v>
      </c>
      <c r="D1077" s="3" t="str">
        <f>VLOOKUP(Table2[[#This Row],[Tegevusala]],Table4[[Tegevusala kood]:[Tegevusala alanimetus]],4,FALSE)</f>
        <v>Öömaja</v>
      </c>
      <c r="E1077" s="3" t="str">
        <f>VLOOKUP(Table2[[#This Row],[Tegevusala nimetus2]],Table4[[Tegevusala nimetus]:[Tegevusala koondnimetus]],2,FALSE)</f>
        <v>Haridus</v>
      </c>
      <c r="F1077" t="s">
        <v>1851</v>
      </c>
      <c r="G1077" t="s">
        <v>1864</v>
      </c>
      <c r="H1077" s="40">
        <v>150</v>
      </c>
      <c r="J1077">
        <v>5522</v>
      </c>
      <c r="K1077" s="3" t="str">
        <f>VLOOKUP(Table2[[#This Row],[Konto]],Table5[[Konto]:[Konto nimetus]],2,FALSE)</f>
        <v>Meditsiinikulud ja hügieenitarbed</v>
      </c>
      <c r="L1077">
        <v>55</v>
      </c>
      <c r="M1077" t="str">
        <f t="shared" si="33"/>
        <v>55</v>
      </c>
      <c r="N1077" s="3" t="str">
        <f>VLOOKUP(Table2[[#This Row],[Tulu/kulu liik2]],Table5[[Tulu/kulu liik]:[Kontode koondnimetus]],4,FALSE)</f>
        <v>Muud tegevuskulud</v>
      </c>
      <c r="O1077" s="3" t="str">
        <f>VLOOKUP(Table2[[#This Row],[Tulu/kulu liik2]],Table5[],6,FALSE)</f>
        <v>Majandamiskulud</v>
      </c>
      <c r="P1077" s="3" t="str">
        <f>VLOOKUP(Table2[[#This Row],[Tulu/kulu liik2]],Table5[],5,FALSE)</f>
        <v>Põhitegevuse kulu</v>
      </c>
    </row>
    <row r="1078" spans="1:16" x14ac:dyDescent="0.25">
      <c r="A1078" t="str">
        <f t="shared" si="32"/>
        <v>09</v>
      </c>
      <c r="B1078" t="s">
        <v>353</v>
      </c>
      <c r="C1078" s="3" t="str">
        <f>VLOOKUP(Table2[[#This Row],[Tegevusala]],Table4[],2,FALSE)</f>
        <v xml:space="preserve"> Roela Õpilaskodu</v>
      </c>
      <c r="D1078" s="3" t="str">
        <f>VLOOKUP(Table2[[#This Row],[Tegevusala]],Table4[[Tegevusala kood]:[Tegevusala alanimetus]],4,FALSE)</f>
        <v>Öömaja</v>
      </c>
      <c r="E1078" s="3" t="str">
        <f>VLOOKUP(Table2[[#This Row],[Tegevusala nimetus2]],Table4[[Tegevusala nimetus]:[Tegevusala koondnimetus]],2,FALSE)</f>
        <v>Haridus</v>
      </c>
      <c r="F1078" t="s">
        <v>1851</v>
      </c>
      <c r="G1078" t="s">
        <v>1865</v>
      </c>
      <c r="H1078" s="40">
        <v>150</v>
      </c>
      <c r="J1078">
        <v>5524</v>
      </c>
      <c r="K1078" s="3" t="str">
        <f>VLOOKUP(Table2[[#This Row],[Konto]],Table5[[Konto]:[Konto nimetus]],2,FALSE)</f>
        <v>Õppevahendid</v>
      </c>
      <c r="L1078">
        <v>55</v>
      </c>
      <c r="M1078" t="str">
        <f t="shared" si="33"/>
        <v>55</v>
      </c>
      <c r="N1078" s="3" t="str">
        <f>VLOOKUP(Table2[[#This Row],[Tulu/kulu liik2]],Table5[[Tulu/kulu liik]:[Kontode koondnimetus]],4,FALSE)</f>
        <v>Muud tegevuskulud</v>
      </c>
      <c r="O1078" s="3" t="str">
        <f>VLOOKUP(Table2[[#This Row],[Tulu/kulu liik2]],Table5[],6,FALSE)</f>
        <v>Majandamiskulud</v>
      </c>
      <c r="P1078" s="3" t="str">
        <f>VLOOKUP(Table2[[#This Row],[Tulu/kulu liik2]],Table5[],5,FALSE)</f>
        <v>Põhitegevuse kulu</v>
      </c>
    </row>
    <row r="1079" spans="1:16" x14ac:dyDescent="0.25">
      <c r="A1079" t="str">
        <f t="shared" si="32"/>
        <v>09</v>
      </c>
      <c r="B1079" t="s">
        <v>353</v>
      </c>
      <c r="C1079" s="3" t="str">
        <f>VLOOKUP(Table2[[#This Row],[Tegevusala]],Table4[],2,FALSE)</f>
        <v xml:space="preserve"> Roela Õpilaskodu</v>
      </c>
      <c r="D1079" s="3" t="str">
        <f>VLOOKUP(Table2[[#This Row],[Tegevusala]],Table4[[Tegevusala kood]:[Tegevusala alanimetus]],4,FALSE)</f>
        <v>Öömaja</v>
      </c>
      <c r="E1079" s="3" t="str">
        <f>VLOOKUP(Table2[[#This Row],[Tegevusala nimetus2]],Table4[[Tegevusala nimetus]:[Tegevusala koondnimetus]],2,FALSE)</f>
        <v>Haridus</v>
      </c>
      <c r="F1079" t="s">
        <v>1851</v>
      </c>
      <c r="G1079" t="s">
        <v>1866</v>
      </c>
      <c r="H1079" s="40">
        <v>150</v>
      </c>
      <c r="J1079">
        <v>5524</v>
      </c>
      <c r="K1079" s="3" t="str">
        <f>VLOOKUP(Table2[[#This Row],[Konto]],Table5[[Konto]:[Konto nimetus]],2,FALSE)</f>
        <v>Õppevahendid</v>
      </c>
      <c r="L1079">
        <v>55</v>
      </c>
      <c r="M1079" t="str">
        <f t="shared" si="33"/>
        <v>55</v>
      </c>
      <c r="N1079" s="3" t="str">
        <f>VLOOKUP(Table2[[#This Row],[Tulu/kulu liik2]],Table5[[Tulu/kulu liik]:[Kontode koondnimetus]],4,FALSE)</f>
        <v>Muud tegevuskulud</v>
      </c>
      <c r="O1079" s="3" t="str">
        <f>VLOOKUP(Table2[[#This Row],[Tulu/kulu liik2]],Table5[],6,FALSE)</f>
        <v>Majandamiskulud</v>
      </c>
      <c r="P1079" s="3" t="str">
        <f>VLOOKUP(Table2[[#This Row],[Tulu/kulu liik2]],Table5[],5,FALSE)</f>
        <v>Põhitegevuse kulu</v>
      </c>
    </row>
    <row r="1080" spans="1:16" x14ac:dyDescent="0.25">
      <c r="A1080" t="str">
        <f t="shared" si="32"/>
        <v>09</v>
      </c>
      <c r="B1080" t="s">
        <v>353</v>
      </c>
      <c r="C1080" s="3" t="str">
        <f>VLOOKUP(Table2[[#This Row],[Tegevusala]],Table4[],2,FALSE)</f>
        <v xml:space="preserve"> Roela Õpilaskodu</v>
      </c>
      <c r="D1080" s="3" t="str">
        <f>VLOOKUP(Table2[[#This Row],[Tegevusala]],Table4[[Tegevusala kood]:[Tegevusala alanimetus]],4,FALSE)</f>
        <v>Öömaja</v>
      </c>
      <c r="E1080" s="3" t="str">
        <f>VLOOKUP(Table2[[#This Row],[Tegevusala nimetus2]],Table4[[Tegevusala nimetus]:[Tegevusala koondnimetus]],2,FALSE)</f>
        <v>Haridus</v>
      </c>
      <c r="F1080" t="s">
        <v>1851</v>
      </c>
      <c r="G1080" t="s">
        <v>1821</v>
      </c>
      <c r="H1080" s="40">
        <v>200</v>
      </c>
      <c r="J1080">
        <v>5525</v>
      </c>
      <c r="K1080" s="3" t="str">
        <f>VLOOKUP(Table2[[#This Row],[Konto]],Table5[[Konto]:[Konto nimetus]],2,FALSE)</f>
        <v>Kommunikatsiooni-, kultuuri- ja vaba aja sisustamise kulud</v>
      </c>
      <c r="L1080">
        <v>55</v>
      </c>
      <c r="M1080" t="str">
        <f t="shared" si="33"/>
        <v>55</v>
      </c>
      <c r="N1080" s="3" t="str">
        <f>VLOOKUP(Table2[[#This Row],[Tulu/kulu liik2]],Table5[[Tulu/kulu liik]:[Kontode koondnimetus]],4,FALSE)</f>
        <v>Muud tegevuskulud</v>
      </c>
      <c r="O1080" s="3" t="str">
        <f>VLOOKUP(Table2[[#This Row],[Tulu/kulu liik2]],Table5[],6,FALSE)</f>
        <v>Majandamiskulud</v>
      </c>
      <c r="P1080" s="3" t="str">
        <f>VLOOKUP(Table2[[#This Row],[Tulu/kulu liik2]],Table5[],5,FALSE)</f>
        <v>Põhitegevuse kulu</v>
      </c>
    </row>
    <row r="1081" spans="1:16" x14ac:dyDescent="0.25">
      <c r="A1081" t="str">
        <f t="shared" si="32"/>
        <v>09</v>
      </c>
      <c r="B1081" t="s">
        <v>353</v>
      </c>
      <c r="C1081" s="3" t="str">
        <f>VLOOKUP(Table2[[#This Row],[Tegevusala]],Table4[],2,FALSE)</f>
        <v xml:space="preserve"> Roela Õpilaskodu</v>
      </c>
      <c r="D1081" s="3" t="str">
        <f>VLOOKUP(Table2[[#This Row],[Tegevusala]],Table4[[Tegevusala kood]:[Tegevusala alanimetus]],4,FALSE)</f>
        <v>Öömaja</v>
      </c>
      <c r="E1081" s="3" t="str">
        <f>VLOOKUP(Table2[[#This Row],[Tegevusala nimetus2]],Table4[[Tegevusala nimetus]:[Tegevusala koondnimetus]],2,FALSE)</f>
        <v>Haridus</v>
      </c>
      <c r="F1081" t="s">
        <v>1851</v>
      </c>
      <c r="G1081" t="s">
        <v>1306</v>
      </c>
      <c r="H1081" s="40">
        <v>200</v>
      </c>
      <c r="J1081">
        <v>5525</v>
      </c>
      <c r="K1081" s="3" t="str">
        <f>VLOOKUP(Table2[[#This Row],[Konto]],Table5[[Konto]:[Konto nimetus]],2,FALSE)</f>
        <v>Kommunikatsiooni-, kultuuri- ja vaba aja sisustamise kulud</v>
      </c>
      <c r="L1081">
        <v>55</v>
      </c>
      <c r="M1081" t="str">
        <f t="shared" si="33"/>
        <v>55</v>
      </c>
      <c r="N1081" s="3" t="str">
        <f>VLOOKUP(Table2[[#This Row],[Tulu/kulu liik2]],Table5[[Tulu/kulu liik]:[Kontode koondnimetus]],4,FALSE)</f>
        <v>Muud tegevuskulud</v>
      </c>
      <c r="O1081" s="3" t="str">
        <f>VLOOKUP(Table2[[#This Row],[Tulu/kulu liik2]],Table5[],6,FALSE)</f>
        <v>Majandamiskulud</v>
      </c>
      <c r="P1081" s="3" t="str">
        <f>VLOOKUP(Table2[[#This Row],[Tulu/kulu liik2]],Table5[],5,FALSE)</f>
        <v>Põhitegevuse kulu</v>
      </c>
    </row>
    <row r="1082" spans="1:16" x14ac:dyDescent="0.25">
      <c r="A1082" t="str">
        <f t="shared" si="32"/>
        <v>09</v>
      </c>
      <c r="B1082" t="s">
        <v>353</v>
      </c>
      <c r="C1082" s="3" t="str">
        <f>VLOOKUP(Table2[[#This Row],[Tegevusala]],Table4[],2,FALSE)</f>
        <v xml:space="preserve"> Roela Õpilaskodu</v>
      </c>
      <c r="D1082" s="3" t="str">
        <f>VLOOKUP(Table2[[#This Row],[Tegevusala]],Table4[[Tegevusala kood]:[Tegevusala alanimetus]],4,FALSE)</f>
        <v>Öömaja</v>
      </c>
      <c r="E1082" s="3" t="str">
        <f>VLOOKUP(Table2[[#This Row],[Tegevusala nimetus2]],Table4[[Tegevusala nimetus]:[Tegevusala koondnimetus]],2,FALSE)</f>
        <v>Haridus</v>
      </c>
      <c r="F1082" t="s">
        <v>1851</v>
      </c>
      <c r="G1082" t="s">
        <v>177</v>
      </c>
      <c r="H1082" s="40">
        <v>2300</v>
      </c>
      <c r="J1082">
        <v>5511</v>
      </c>
      <c r="K1082" s="3" t="str">
        <f>VLOOKUP(Table2[[#This Row],[Konto]],Table5[[Konto]:[Konto nimetus]],2,FALSE)</f>
        <v>Kinnistute, hoonete ja ruumide majandamiskulud</v>
      </c>
      <c r="L1082">
        <v>55</v>
      </c>
      <c r="M1082" t="str">
        <f t="shared" si="33"/>
        <v>55</v>
      </c>
      <c r="N1082" s="3" t="str">
        <f>VLOOKUP(Table2[[#This Row],[Tulu/kulu liik2]],Table5[[Tulu/kulu liik]:[Kontode koondnimetus]],4,FALSE)</f>
        <v>Muud tegevuskulud</v>
      </c>
      <c r="O1082" s="3" t="str">
        <f>VLOOKUP(Table2[[#This Row],[Tulu/kulu liik2]],Table5[],6,FALSE)</f>
        <v>Majandamiskulud</v>
      </c>
      <c r="P1082" s="3" t="str">
        <f>VLOOKUP(Table2[[#This Row],[Tulu/kulu liik2]],Table5[],5,FALSE)</f>
        <v>Põhitegevuse kulu</v>
      </c>
    </row>
    <row r="1083" spans="1:16" x14ac:dyDescent="0.25">
      <c r="A1083" t="str">
        <f t="shared" si="32"/>
        <v>09</v>
      </c>
      <c r="B1083" t="s">
        <v>353</v>
      </c>
      <c r="C1083" s="3" t="str">
        <f>VLOOKUP(Table2[[#This Row],[Tegevusala]],Table4[],2,FALSE)</f>
        <v xml:space="preserve"> Roela Õpilaskodu</v>
      </c>
      <c r="D1083" s="3" t="str">
        <f>VLOOKUP(Table2[[#This Row],[Tegevusala]],Table4[[Tegevusala kood]:[Tegevusala alanimetus]],4,FALSE)</f>
        <v>Öömaja</v>
      </c>
      <c r="E1083" s="3" t="str">
        <f>VLOOKUP(Table2[[#This Row],[Tegevusala nimetus2]],Table4[[Tegevusala nimetus]:[Tegevusala koondnimetus]],2,FALSE)</f>
        <v>Haridus</v>
      </c>
      <c r="F1083" t="s">
        <v>1851</v>
      </c>
      <c r="G1083" t="s">
        <v>178</v>
      </c>
      <c r="H1083" s="40">
        <v>1000</v>
      </c>
      <c r="J1083">
        <v>5511</v>
      </c>
      <c r="K1083" s="3" t="str">
        <f>VLOOKUP(Table2[[#This Row],[Konto]],Table5[[Konto]:[Konto nimetus]],2,FALSE)</f>
        <v>Kinnistute, hoonete ja ruumide majandamiskulud</v>
      </c>
      <c r="L1083">
        <v>55</v>
      </c>
      <c r="M1083" t="str">
        <f t="shared" si="33"/>
        <v>55</v>
      </c>
      <c r="N1083" s="3" t="str">
        <f>VLOOKUP(Table2[[#This Row],[Tulu/kulu liik2]],Table5[[Tulu/kulu liik]:[Kontode koondnimetus]],4,FALSE)</f>
        <v>Muud tegevuskulud</v>
      </c>
      <c r="O1083" s="3" t="str">
        <f>VLOOKUP(Table2[[#This Row],[Tulu/kulu liik2]],Table5[],6,FALSE)</f>
        <v>Majandamiskulud</v>
      </c>
      <c r="P1083" s="3" t="str">
        <f>VLOOKUP(Table2[[#This Row],[Tulu/kulu liik2]],Table5[],5,FALSE)</f>
        <v>Põhitegevuse kulu</v>
      </c>
    </row>
    <row r="1084" spans="1:16" x14ac:dyDescent="0.25">
      <c r="A1084" t="str">
        <f t="shared" si="32"/>
        <v>09</v>
      </c>
      <c r="B1084" t="s">
        <v>353</v>
      </c>
      <c r="C1084" s="3" t="str">
        <f>VLOOKUP(Table2[[#This Row],[Tegevusala]],Table4[],2,FALSE)</f>
        <v xml:space="preserve"> Roela Õpilaskodu</v>
      </c>
      <c r="D1084" s="3" t="str">
        <f>VLOOKUP(Table2[[#This Row],[Tegevusala]],Table4[[Tegevusala kood]:[Tegevusala alanimetus]],4,FALSE)</f>
        <v>Öömaja</v>
      </c>
      <c r="E1084" s="3" t="str">
        <f>VLOOKUP(Table2[[#This Row],[Tegevusala nimetus2]],Table4[[Tegevusala nimetus]:[Tegevusala koondnimetus]],2,FALSE)</f>
        <v>Haridus</v>
      </c>
      <c r="F1084" t="s">
        <v>1851</v>
      </c>
      <c r="G1084" t="s">
        <v>1481</v>
      </c>
      <c r="H1084" s="40">
        <v>400</v>
      </c>
      <c r="J1084">
        <v>5511</v>
      </c>
      <c r="K1084" s="3" t="str">
        <f>VLOOKUP(Table2[[#This Row],[Konto]],Table5[[Konto]:[Konto nimetus]],2,FALSE)</f>
        <v>Kinnistute, hoonete ja ruumide majandamiskulud</v>
      </c>
      <c r="L1084">
        <v>55</v>
      </c>
      <c r="M1084" t="str">
        <f t="shared" si="33"/>
        <v>55</v>
      </c>
      <c r="N1084" s="3" t="str">
        <f>VLOOKUP(Table2[[#This Row],[Tulu/kulu liik2]],Table5[[Tulu/kulu liik]:[Kontode koondnimetus]],4,FALSE)</f>
        <v>Muud tegevuskulud</v>
      </c>
      <c r="O1084" s="3" t="str">
        <f>VLOOKUP(Table2[[#This Row],[Tulu/kulu liik2]],Table5[],6,FALSE)</f>
        <v>Majandamiskulud</v>
      </c>
      <c r="P1084" s="3" t="str">
        <f>VLOOKUP(Table2[[#This Row],[Tulu/kulu liik2]],Table5[],5,FALSE)</f>
        <v>Põhitegevuse kulu</v>
      </c>
    </row>
    <row r="1085" spans="1:16" x14ac:dyDescent="0.25">
      <c r="A1085" t="str">
        <f t="shared" si="32"/>
        <v>09</v>
      </c>
      <c r="B1085" t="s">
        <v>353</v>
      </c>
      <c r="C1085" s="3" t="str">
        <f>VLOOKUP(Table2[[#This Row],[Tegevusala]],Table4[],2,FALSE)</f>
        <v xml:space="preserve"> Roela Õpilaskodu</v>
      </c>
      <c r="D1085" s="3" t="str">
        <f>VLOOKUP(Table2[[#This Row],[Tegevusala]],Table4[[Tegevusala kood]:[Tegevusala alanimetus]],4,FALSE)</f>
        <v>Öömaja</v>
      </c>
      <c r="E1085" s="3" t="str">
        <f>VLOOKUP(Table2[[#This Row],[Tegevusala nimetus2]],Table4[[Tegevusala nimetus]:[Tegevusala koondnimetus]],2,FALSE)</f>
        <v>Haridus</v>
      </c>
      <c r="F1085" t="s">
        <v>1851</v>
      </c>
      <c r="G1085" t="s">
        <v>180</v>
      </c>
      <c r="H1085" s="40">
        <v>216</v>
      </c>
      <c r="J1085">
        <v>5511</v>
      </c>
      <c r="K1085" s="3" t="str">
        <f>VLOOKUP(Table2[[#This Row],[Konto]],Table5[[Konto]:[Konto nimetus]],2,FALSE)</f>
        <v>Kinnistute, hoonete ja ruumide majandamiskulud</v>
      </c>
      <c r="L1085">
        <v>55</v>
      </c>
      <c r="M1085" t="str">
        <f t="shared" si="33"/>
        <v>55</v>
      </c>
      <c r="N1085" s="3" t="str">
        <f>VLOOKUP(Table2[[#This Row],[Tulu/kulu liik2]],Table5[[Tulu/kulu liik]:[Kontode koondnimetus]],4,FALSE)</f>
        <v>Muud tegevuskulud</v>
      </c>
      <c r="O1085" s="3" t="str">
        <f>VLOOKUP(Table2[[#This Row],[Tulu/kulu liik2]],Table5[],6,FALSE)</f>
        <v>Majandamiskulud</v>
      </c>
      <c r="P1085" s="3" t="str">
        <f>VLOOKUP(Table2[[#This Row],[Tulu/kulu liik2]],Table5[],5,FALSE)</f>
        <v>Põhitegevuse kulu</v>
      </c>
    </row>
    <row r="1086" spans="1:16" x14ac:dyDescent="0.25">
      <c r="A1086" t="str">
        <f t="shared" si="32"/>
        <v>09</v>
      </c>
      <c r="B1086" t="s">
        <v>353</v>
      </c>
      <c r="C1086" s="3" t="str">
        <f>VLOOKUP(Table2[[#This Row],[Tegevusala]],Table4[],2,FALSE)</f>
        <v xml:space="preserve"> Roela Õpilaskodu</v>
      </c>
      <c r="D1086" s="3" t="str">
        <f>VLOOKUP(Table2[[#This Row],[Tegevusala]],Table4[[Tegevusala kood]:[Tegevusala alanimetus]],4,FALSE)</f>
        <v>Öömaja</v>
      </c>
      <c r="E1086" s="3" t="str">
        <f>VLOOKUP(Table2[[#This Row],[Tegevusala nimetus2]],Table4[[Tegevusala nimetus]:[Tegevusala koondnimetus]],2,FALSE)</f>
        <v>Haridus</v>
      </c>
      <c r="F1086" t="s">
        <v>1851</v>
      </c>
      <c r="G1086" t="s">
        <v>194</v>
      </c>
      <c r="H1086" s="40">
        <v>400</v>
      </c>
      <c r="J1086">
        <v>5511</v>
      </c>
      <c r="K1086" s="3" t="str">
        <f>VLOOKUP(Table2[[#This Row],[Konto]],Table5[[Konto]:[Konto nimetus]],2,FALSE)</f>
        <v>Kinnistute, hoonete ja ruumide majandamiskulud</v>
      </c>
      <c r="L1086">
        <v>55</v>
      </c>
      <c r="M1086" t="str">
        <f t="shared" si="33"/>
        <v>55</v>
      </c>
      <c r="N1086" s="3" t="str">
        <f>VLOOKUP(Table2[[#This Row],[Tulu/kulu liik2]],Table5[[Tulu/kulu liik]:[Kontode koondnimetus]],4,FALSE)</f>
        <v>Muud tegevuskulud</v>
      </c>
      <c r="O1086" s="3" t="str">
        <f>VLOOKUP(Table2[[#This Row],[Tulu/kulu liik2]],Table5[],6,FALSE)</f>
        <v>Majandamiskulud</v>
      </c>
      <c r="P1086" s="3" t="str">
        <f>VLOOKUP(Table2[[#This Row],[Tulu/kulu liik2]],Table5[],5,FALSE)</f>
        <v>Põhitegevuse kulu</v>
      </c>
    </row>
    <row r="1087" spans="1:16" x14ac:dyDescent="0.25">
      <c r="A1087" t="str">
        <f t="shared" si="32"/>
        <v>09</v>
      </c>
      <c r="B1087" t="s">
        <v>357</v>
      </c>
      <c r="C1087" s="3" t="str">
        <f>VLOOKUP(Table2[[#This Row],[Tegevusala]],Table4[],2,FALSE)</f>
        <v xml:space="preserve"> Üritused</v>
      </c>
      <c r="D1087" s="3" t="str">
        <f>VLOOKUP(Table2[[#This Row],[Tegevusala]],Table4[[Tegevusala kood]:[Tegevusala alanimetus]],4,FALSE)</f>
        <v>Muu haridus, sh hariduse haldus</v>
      </c>
      <c r="E1087" s="3" t="str">
        <f>VLOOKUP(Table2[[#This Row],[Tegevusala nimetus2]],Table4[[Tegevusala nimetus]:[Tegevusala koondnimetus]],2,FALSE)</f>
        <v>Vabaaeg, kultuur ja religioon</v>
      </c>
      <c r="F1087" t="s">
        <v>1548</v>
      </c>
      <c r="G1087" t="s">
        <v>1563</v>
      </c>
      <c r="H1087" s="40">
        <v>1100</v>
      </c>
      <c r="I1087" s="2" t="s">
        <v>1568</v>
      </c>
      <c r="J1087">
        <v>5525</v>
      </c>
      <c r="K1087" s="3" t="str">
        <f>VLOOKUP(Table2[[#This Row],[Konto]],Table5[[Konto]:[Konto nimetus]],2,FALSE)</f>
        <v>Kommunikatsiooni-, kultuuri- ja vaba aja sisustamise kulud</v>
      </c>
      <c r="L1087">
        <v>55</v>
      </c>
      <c r="M1087" t="str">
        <f t="shared" si="33"/>
        <v>55</v>
      </c>
      <c r="N1087" s="3" t="str">
        <f>VLOOKUP(Table2[[#This Row],[Tulu/kulu liik2]],Table5[[Tulu/kulu liik]:[Kontode koondnimetus]],4,FALSE)</f>
        <v>Muud tegevuskulud</v>
      </c>
      <c r="O1087" s="3" t="str">
        <f>VLOOKUP(Table2[[#This Row],[Tulu/kulu liik2]],Table5[],6,FALSE)</f>
        <v>Majandamiskulud</v>
      </c>
      <c r="P1087" s="3" t="str">
        <f>VLOOKUP(Table2[[#This Row],[Tulu/kulu liik2]],Table5[],5,FALSE)</f>
        <v>Põhitegevuse kulu</v>
      </c>
    </row>
    <row r="1088" spans="1:16" x14ac:dyDescent="0.25">
      <c r="A1088" t="str">
        <f t="shared" si="32"/>
        <v>09</v>
      </c>
      <c r="B1088" t="s">
        <v>357</v>
      </c>
      <c r="C1088" s="3" t="str">
        <f>VLOOKUP(Table2[[#This Row],[Tegevusala]],Table4[],2,FALSE)</f>
        <v xml:space="preserve"> Üritused</v>
      </c>
      <c r="D1088" s="3" t="str">
        <f>VLOOKUP(Table2[[#This Row],[Tegevusala]],Table4[[Tegevusala kood]:[Tegevusala alanimetus]],4,FALSE)</f>
        <v>Muu haridus, sh hariduse haldus</v>
      </c>
      <c r="E1088" s="3" t="str">
        <f>VLOOKUP(Table2[[#This Row],[Tegevusala nimetus2]],Table4[[Tegevusala nimetus]:[Tegevusala koondnimetus]],2,FALSE)</f>
        <v>Vabaaeg, kultuur ja religioon</v>
      </c>
      <c r="F1088" t="s">
        <v>1548</v>
      </c>
      <c r="G1088" t="s">
        <v>1564</v>
      </c>
      <c r="H1088" s="40">
        <v>5000</v>
      </c>
      <c r="I1088" s="2" t="s">
        <v>1569</v>
      </c>
      <c r="J1088">
        <v>5525</v>
      </c>
      <c r="K1088" s="3" t="str">
        <f>VLOOKUP(Table2[[#This Row],[Konto]],Table5[[Konto]:[Konto nimetus]],2,FALSE)</f>
        <v>Kommunikatsiooni-, kultuuri- ja vaba aja sisustamise kulud</v>
      </c>
      <c r="L1088">
        <v>55</v>
      </c>
      <c r="M1088" t="str">
        <f t="shared" si="33"/>
        <v>55</v>
      </c>
      <c r="N1088" s="3" t="str">
        <f>VLOOKUP(Table2[[#This Row],[Tulu/kulu liik2]],Table5[[Tulu/kulu liik]:[Kontode koondnimetus]],4,FALSE)</f>
        <v>Muud tegevuskulud</v>
      </c>
      <c r="O1088" s="3" t="str">
        <f>VLOOKUP(Table2[[#This Row],[Tulu/kulu liik2]],Table5[],6,FALSE)</f>
        <v>Majandamiskulud</v>
      </c>
      <c r="P1088" s="3" t="str">
        <f>VLOOKUP(Table2[[#This Row],[Tulu/kulu liik2]],Table5[],5,FALSE)</f>
        <v>Põhitegevuse kulu</v>
      </c>
    </row>
    <row r="1089" spans="1:16" x14ac:dyDescent="0.25">
      <c r="A1089" t="str">
        <f t="shared" si="32"/>
        <v>09</v>
      </c>
      <c r="B1089" t="s">
        <v>357</v>
      </c>
      <c r="C1089" s="3" t="str">
        <f>VLOOKUP(Table2[[#This Row],[Tegevusala]],Table4[],2,FALSE)</f>
        <v xml:space="preserve"> Üritused</v>
      </c>
      <c r="D1089" s="3" t="str">
        <f>VLOOKUP(Table2[[#This Row],[Tegevusala]],Table4[[Tegevusala kood]:[Tegevusala alanimetus]],4,FALSE)</f>
        <v>Muu haridus, sh hariduse haldus</v>
      </c>
      <c r="E1089" s="3" t="str">
        <f>VLOOKUP(Table2[[#This Row],[Tegevusala nimetus2]],Table4[[Tegevusala nimetus]:[Tegevusala koondnimetus]],2,FALSE)</f>
        <v>Vabaaeg, kultuur ja religioon</v>
      </c>
      <c r="F1089" t="s">
        <v>1548</v>
      </c>
      <c r="G1089" t="s">
        <v>1565</v>
      </c>
      <c r="H1089" s="40">
        <v>3500</v>
      </c>
      <c r="I1089" s="2" t="s">
        <v>1570</v>
      </c>
      <c r="J1089">
        <v>5525</v>
      </c>
      <c r="K1089" s="3" t="str">
        <f>VLOOKUP(Table2[[#This Row],[Konto]],Table5[[Konto]:[Konto nimetus]],2,FALSE)</f>
        <v>Kommunikatsiooni-, kultuuri- ja vaba aja sisustamise kulud</v>
      </c>
      <c r="L1089">
        <v>55</v>
      </c>
      <c r="M1089" t="str">
        <f t="shared" si="33"/>
        <v>55</v>
      </c>
      <c r="N1089" s="3" t="str">
        <f>VLOOKUP(Table2[[#This Row],[Tulu/kulu liik2]],Table5[[Tulu/kulu liik]:[Kontode koondnimetus]],4,FALSE)</f>
        <v>Muud tegevuskulud</v>
      </c>
      <c r="O1089" s="3" t="str">
        <f>VLOOKUP(Table2[[#This Row],[Tulu/kulu liik2]],Table5[],6,FALSE)</f>
        <v>Majandamiskulud</v>
      </c>
      <c r="P1089" s="3" t="str">
        <f>VLOOKUP(Table2[[#This Row],[Tulu/kulu liik2]],Table5[],5,FALSE)</f>
        <v>Põhitegevuse kulu</v>
      </c>
    </row>
    <row r="1090" spans="1:16" x14ac:dyDescent="0.25">
      <c r="A1090" t="str">
        <f t="shared" ref="A1090:A1153" si="34">LEFT(B1090,2)</f>
        <v>09</v>
      </c>
      <c r="B1090" t="s">
        <v>357</v>
      </c>
      <c r="C1090" s="3" t="str">
        <f>VLOOKUP(Table2[[#This Row],[Tegevusala]],Table4[],2,FALSE)</f>
        <v xml:space="preserve"> Üritused</v>
      </c>
      <c r="D1090" s="3" t="str">
        <f>VLOOKUP(Table2[[#This Row],[Tegevusala]],Table4[[Tegevusala kood]:[Tegevusala alanimetus]],4,FALSE)</f>
        <v>Muu haridus, sh hariduse haldus</v>
      </c>
      <c r="E1090" s="3" t="str">
        <f>VLOOKUP(Table2[[#This Row],[Tegevusala nimetus2]],Table4[[Tegevusala nimetus]:[Tegevusala koondnimetus]],2,FALSE)</f>
        <v>Vabaaeg, kultuur ja religioon</v>
      </c>
      <c r="F1090" t="s">
        <v>1548</v>
      </c>
      <c r="G1090" t="s">
        <v>1566</v>
      </c>
      <c r="H1090" s="40">
        <v>1000</v>
      </c>
      <c r="I1090" s="2" t="s">
        <v>1571</v>
      </c>
      <c r="J1090">
        <v>5525</v>
      </c>
      <c r="K1090" s="3" t="str">
        <f>VLOOKUP(Table2[[#This Row],[Konto]],Table5[[Konto]:[Konto nimetus]],2,FALSE)</f>
        <v>Kommunikatsiooni-, kultuuri- ja vaba aja sisustamise kulud</v>
      </c>
      <c r="L1090">
        <v>55</v>
      </c>
      <c r="M1090" t="str">
        <f t="shared" ref="M1090:M1153" si="35">LEFT(J1090,2)</f>
        <v>55</v>
      </c>
      <c r="N1090" s="3" t="str">
        <f>VLOOKUP(Table2[[#This Row],[Tulu/kulu liik2]],Table5[[Tulu/kulu liik]:[Kontode koondnimetus]],4,FALSE)</f>
        <v>Muud tegevuskulud</v>
      </c>
      <c r="O1090" s="3" t="str">
        <f>VLOOKUP(Table2[[#This Row],[Tulu/kulu liik2]],Table5[],6,FALSE)</f>
        <v>Majandamiskulud</v>
      </c>
      <c r="P1090" s="3" t="str">
        <f>VLOOKUP(Table2[[#This Row],[Tulu/kulu liik2]],Table5[],5,FALSE)</f>
        <v>Põhitegevuse kulu</v>
      </c>
    </row>
    <row r="1091" spans="1:16" x14ac:dyDescent="0.25">
      <c r="A1091" t="str">
        <f t="shared" si="34"/>
        <v>09</v>
      </c>
      <c r="B1091" t="s">
        <v>357</v>
      </c>
      <c r="C1091" s="3" t="str">
        <f>VLOOKUP(Table2[[#This Row],[Tegevusala]],Table4[],2,FALSE)</f>
        <v xml:space="preserve"> Üritused</v>
      </c>
      <c r="D1091" s="3" t="str">
        <f>VLOOKUP(Table2[[#This Row],[Tegevusala]],Table4[[Tegevusala kood]:[Tegevusala alanimetus]],4,FALSE)</f>
        <v>Muu haridus, sh hariduse haldus</v>
      </c>
      <c r="E1091" s="3" t="str">
        <f>VLOOKUP(Table2[[#This Row],[Tegevusala nimetus2]],Table4[[Tegevusala nimetus]:[Tegevusala koondnimetus]],2,FALSE)</f>
        <v>Vabaaeg, kultuur ja religioon</v>
      </c>
      <c r="F1091" t="s">
        <v>1548</v>
      </c>
      <c r="G1091" t="s">
        <v>1567</v>
      </c>
      <c r="H1091" s="40">
        <v>7000</v>
      </c>
      <c r="I1091" s="2" t="s">
        <v>1572</v>
      </c>
      <c r="J1091">
        <v>5525</v>
      </c>
      <c r="K1091" s="3" t="str">
        <f>VLOOKUP(Table2[[#This Row],[Konto]],Table5[[Konto]:[Konto nimetus]],2,FALSE)</f>
        <v>Kommunikatsiooni-, kultuuri- ja vaba aja sisustamise kulud</v>
      </c>
      <c r="L1091">
        <v>55</v>
      </c>
      <c r="M1091" t="str">
        <f t="shared" si="35"/>
        <v>55</v>
      </c>
      <c r="N1091" s="3" t="str">
        <f>VLOOKUP(Table2[[#This Row],[Tulu/kulu liik2]],Table5[[Tulu/kulu liik]:[Kontode koondnimetus]],4,FALSE)</f>
        <v>Muud tegevuskulud</v>
      </c>
      <c r="O1091" s="3" t="str">
        <f>VLOOKUP(Table2[[#This Row],[Tulu/kulu liik2]],Table5[],6,FALSE)</f>
        <v>Majandamiskulud</v>
      </c>
      <c r="P1091" s="3" t="str">
        <f>VLOOKUP(Table2[[#This Row],[Tulu/kulu liik2]],Table5[],5,FALSE)</f>
        <v>Põhitegevuse kulu</v>
      </c>
    </row>
    <row r="1092" spans="1:16" x14ac:dyDescent="0.25">
      <c r="A1092" t="str">
        <f t="shared" si="34"/>
        <v>09</v>
      </c>
      <c r="B1092" t="s">
        <v>357</v>
      </c>
      <c r="C1092" s="3" t="str">
        <f>VLOOKUP(Table2[[#This Row],[Tegevusala]],Table4[],2,FALSE)</f>
        <v xml:space="preserve"> Üritused</v>
      </c>
      <c r="D1092" s="3" t="str">
        <f>VLOOKUP(Table2[[#This Row],[Tegevusala]],Table4[[Tegevusala kood]:[Tegevusala alanimetus]],4,FALSE)</f>
        <v>Muu haridus, sh hariduse haldus</v>
      </c>
      <c r="E1092" s="3" t="str">
        <f>VLOOKUP(Table2[[#This Row],[Tegevusala nimetus2]],Table4[[Tegevusala nimetus]:[Tegevusala koondnimetus]],2,FALSE)</f>
        <v>Vabaaeg, kultuur ja religioon</v>
      </c>
      <c r="F1092" t="s">
        <v>1548</v>
      </c>
      <c r="G1092" t="s">
        <v>1573</v>
      </c>
      <c r="H1092" s="40">
        <v>25000</v>
      </c>
      <c r="I1092" s="2" t="s">
        <v>1574</v>
      </c>
      <c r="J1092">
        <v>5525</v>
      </c>
      <c r="K1092" s="3" t="str">
        <f>VLOOKUP(Table2[[#This Row],[Konto]],Table5[[Konto]:[Konto nimetus]],2,FALSE)</f>
        <v>Kommunikatsiooni-, kultuuri- ja vaba aja sisustamise kulud</v>
      </c>
      <c r="L1092">
        <v>55</v>
      </c>
      <c r="M1092" t="str">
        <f t="shared" si="35"/>
        <v>55</v>
      </c>
      <c r="N1092" s="3" t="str">
        <f>VLOOKUP(Table2[[#This Row],[Tulu/kulu liik2]],Table5[[Tulu/kulu liik]:[Kontode koondnimetus]],4,FALSE)</f>
        <v>Muud tegevuskulud</v>
      </c>
      <c r="O1092" s="3" t="str">
        <f>VLOOKUP(Table2[[#This Row],[Tulu/kulu liik2]],Table5[],6,FALSE)</f>
        <v>Majandamiskulud</v>
      </c>
      <c r="P1092" s="3" t="str">
        <f>VLOOKUP(Table2[[#This Row],[Tulu/kulu liik2]],Table5[],5,FALSE)</f>
        <v>Põhitegevuse kulu</v>
      </c>
    </row>
    <row r="1093" spans="1:16" x14ac:dyDescent="0.25">
      <c r="A1093" t="str">
        <f t="shared" si="34"/>
        <v>09</v>
      </c>
      <c r="B1093" t="s">
        <v>359</v>
      </c>
      <c r="C1093" s="3" t="str">
        <f>VLOOKUP(Table2[[#This Row],[Tegevusala]],Table4[],2,FALSE)</f>
        <v xml:space="preserve"> Haldus</v>
      </c>
      <c r="D1093" s="3" t="str">
        <f>VLOOKUP(Table2[[#This Row],[Tegevusala]],Table4[[Tegevusala kood]:[Tegevusala alanimetus]],4,FALSE)</f>
        <v>Muu haridus, sh hariduse haldus</v>
      </c>
      <c r="E1093" s="3" t="str">
        <f>VLOOKUP(Table2[[#This Row],[Tegevusala nimetus2]],Table4[[Tegevusala nimetus]:[Tegevusala koondnimetus]],2,FALSE)</f>
        <v>Haridus</v>
      </c>
      <c r="F1093" t="s">
        <v>1548</v>
      </c>
      <c r="G1093" t="s">
        <v>1544</v>
      </c>
      <c r="H1093" s="40">
        <v>3000</v>
      </c>
      <c r="J1093">
        <v>5504</v>
      </c>
      <c r="K1093" s="3" t="str">
        <f>VLOOKUP(Table2[[#This Row],[Konto]],Table5[[Konto]:[Konto nimetus]],2,FALSE)</f>
        <v>Koolituskulud</v>
      </c>
      <c r="L1093">
        <v>55</v>
      </c>
      <c r="M1093" t="str">
        <f t="shared" si="35"/>
        <v>55</v>
      </c>
      <c r="N1093" s="3" t="str">
        <f>VLOOKUP(Table2[[#This Row],[Tulu/kulu liik2]],Table5[[Tulu/kulu liik]:[Kontode koondnimetus]],4,FALSE)</f>
        <v>Muud tegevuskulud</v>
      </c>
      <c r="O1093" s="3" t="str">
        <f>VLOOKUP(Table2[[#This Row],[Tulu/kulu liik2]],Table5[],6,FALSE)</f>
        <v>Majandamiskulud</v>
      </c>
      <c r="P1093" s="3" t="str">
        <f>VLOOKUP(Table2[[#This Row],[Tulu/kulu liik2]],Table5[],5,FALSE)</f>
        <v>Põhitegevuse kulu</v>
      </c>
    </row>
    <row r="1094" spans="1:16" x14ac:dyDescent="0.25">
      <c r="A1094" t="str">
        <f t="shared" si="34"/>
        <v>09</v>
      </c>
      <c r="B1094" t="s">
        <v>359</v>
      </c>
      <c r="C1094" s="3" t="str">
        <f>VLOOKUP(Table2[[#This Row],[Tegevusala]],Table4[],2,FALSE)</f>
        <v xml:space="preserve"> Haldus</v>
      </c>
      <c r="D1094" s="3" t="str">
        <f>VLOOKUP(Table2[[#This Row],[Tegevusala]],Table4[[Tegevusala kood]:[Tegevusala alanimetus]],4,FALSE)</f>
        <v>Muu haridus, sh hariduse haldus</v>
      </c>
      <c r="E1094" s="3" t="str">
        <f>VLOOKUP(Table2[[#This Row],[Tegevusala nimetus2]],Table4[[Tegevusala nimetus]:[Tegevusala koondnimetus]],2,FALSE)</f>
        <v>Haridus</v>
      </c>
      <c r="F1094" t="s">
        <v>1548</v>
      </c>
      <c r="G1094" t="s">
        <v>442</v>
      </c>
      <c r="H1094" s="40">
        <v>8300</v>
      </c>
      <c r="I1094" s="2" t="s">
        <v>1545</v>
      </c>
      <c r="J1094">
        <v>5513</v>
      </c>
      <c r="K1094" s="3" t="str">
        <f>VLOOKUP(Table2[[#This Row],[Konto]],Table5[[Konto]:[Konto nimetus]],2,FALSE)</f>
        <v>Sõidukite ülalpidamise kulud</v>
      </c>
      <c r="L1094">
        <v>55</v>
      </c>
      <c r="M1094" t="str">
        <f t="shared" si="35"/>
        <v>55</v>
      </c>
      <c r="N1094" s="3" t="str">
        <f>VLOOKUP(Table2[[#This Row],[Tulu/kulu liik2]],Table5[[Tulu/kulu liik]:[Kontode koondnimetus]],4,FALSE)</f>
        <v>Muud tegevuskulud</v>
      </c>
      <c r="O1094" s="3" t="str">
        <f>VLOOKUP(Table2[[#This Row],[Tulu/kulu liik2]],Table5[],6,FALSE)</f>
        <v>Majandamiskulud</v>
      </c>
      <c r="P1094" s="3" t="str">
        <f>VLOOKUP(Table2[[#This Row],[Tulu/kulu liik2]],Table5[],5,FALSE)</f>
        <v>Põhitegevuse kulu</v>
      </c>
    </row>
    <row r="1095" spans="1:16" x14ac:dyDescent="0.25">
      <c r="A1095" t="str">
        <f t="shared" si="34"/>
        <v>09</v>
      </c>
      <c r="B1095" t="s">
        <v>359</v>
      </c>
      <c r="C1095" s="3" t="str">
        <f>VLOOKUP(Table2[[#This Row],[Tegevusala]],Table4[],2,FALSE)</f>
        <v xml:space="preserve"> Haldus</v>
      </c>
      <c r="D1095" s="3" t="str">
        <f>VLOOKUP(Table2[[#This Row],[Tegevusala]],Table4[[Tegevusala kood]:[Tegevusala alanimetus]],4,FALSE)</f>
        <v>Muu haridus, sh hariduse haldus</v>
      </c>
      <c r="E1095" s="3" t="str">
        <f>VLOOKUP(Table2[[#This Row],[Tegevusala nimetus2]],Table4[[Tegevusala nimetus]:[Tegevusala koondnimetus]],2,FALSE)</f>
        <v>Haridus</v>
      </c>
      <c r="F1095" t="s">
        <v>1548</v>
      </c>
      <c r="G1095" t="s">
        <v>1546</v>
      </c>
      <c r="H1095" s="40">
        <v>1000</v>
      </c>
      <c r="J1095">
        <v>5524</v>
      </c>
      <c r="K1095" s="3" t="str">
        <f>VLOOKUP(Table2[[#This Row],[Konto]],Table5[[Konto]:[Konto nimetus]],2,FALSE)</f>
        <v>Õppevahendid</v>
      </c>
      <c r="L1095">
        <v>55</v>
      </c>
      <c r="M1095" t="str">
        <f t="shared" si="35"/>
        <v>55</v>
      </c>
      <c r="N1095" s="3" t="str">
        <f>VLOOKUP(Table2[[#This Row],[Tulu/kulu liik2]],Table5[[Tulu/kulu liik]:[Kontode koondnimetus]],4,FALSE)</f>
        <v>Muud tegevuskulud</v>
      </c>
      <c r="O1095" s="3" t="str">
        <f>VLOOKUP(Table2[[#This Row],[Tulu/kulu liik2]],Table5[],6,FALSE)</f>
        <v>Majandamiskulud</v>
      </c>
      <c r="P1095" s="3" t="str">
        <f>VLOOKUP(Table2[[#This Row],[Tulu/kulu liik2]],Table5[],5,FALSE)</f>
        <v>Põhitegevuse kulu</v>
      </c>
    </row>
    <row r="1096" spans="1:16" x14ac:dyDescent="0.25">
      <c r="A1096" t="str">
        <f t="shared" si="34"/>
        <v>09</v>
      </c>
      <c r="B1096" t="s">
        <v>359</v>
      </c>
      <c r="C1096" s="3" t="str">
        <f>VLOOKUP(Table2[[#This Row],[Tegevusala]],Table4[],2,FALSE)</f>
        <v xml:space="preserve"> Haldus</v>
      </c>
      <c r="D1096" s="3" t="str">
        <f>VLOOKUP(Table2[[#This Row],[Tegevusala]],Table4[[Tegevusala kood]:[Tegevusala alanimetus]],4,FALSE)</f>
        <v>Muu haridus, sh hariduse haldus</v>
      </c>
      <c r="E1096" s="3" t="str">
        <f>VLOOKUP(Table2[[#This Row],[Tegevusala nimetus2]],Table4[[Tegevusala nimetus]:[Tegevusala koondnimetus]],2,FALSE)</f>
        <v>Haridus</v>
      </c>
      <c r="F1096" t="s">
        <v>1548</v>
      </c>
      <c r="G1096" t="s">
        <v>1547</v>
      </c>
      <c r="H1096" s="40">
        <v>300</v>
      </c>
      <c r="J1096">
        <v>5515</v>
      </c>
      <c r="K1096" s="3" t="str">
        <f>VLOOKUP(Table2[[#This Row],[Konto]],Table5[[Konto]:[Konto nimetus]],2,FALSE)</f>
        <v>Inventari kulud, v.a infotehnoloogia ja kaitseotstarbelised kulud</v>
      </c>
      <c r="L1096">
        <v>55</v>
      </c>
      <c r="M1096" t="str">
        <f t="shared" si="35"/>
        <v>55</v>
      </c>
      <c r="N1096" s="3" t="str">
        <f>VLOOKUP(Table2[[#This Row],[Tulu/kulu liik2]],Table5[[Tulu/kulu liik]:[Kontode koondnimetus]],4,FALSE)</f>
        <v>Muud tegevuskulud</v>
      </c>
      <c r="O1096" s="3" t="str">
        <f>VLOOKUP(Table2[[#This Row],[Tulu/kulu liik2]],Table5[],6,FALSE)</f>
        <v>Majandamiskulud</v>
      </c>
      <c r="P1096" s="3" t="str">
        <f>VLOOKUP(Table2[[#This Row],[Tulu/kulu liik2]],Table5[],5,FALSE)</f>
        <v>Põhitegevuse kulu</v>
      </c>
    </row>
    <row r="1097" spans="1:16" x14ac:dyDescent="0.25">
      <c r="A1097" s="33" t="str">
        <f t="shared" si="34"/>
        <v>09</v>
      </c>
      <c r="B1097" s="33" t="s">
        <v>359</v>
      </c>
      <c r="C1097" s="34" t="str">
        <f>VLOOKUP(Table2[[#This Row],[Tegevusala]],Table4[],2,FALSE)</f>
        <v xml:space="preserve"> Haldus</v>
      </c>
      <c r="D1097" s="34" t="str">
        <f>VLOOKUP(Table2[[#This Row],[Tegevusala]],Table4[[Tegevusala kood]:[Tegevusala alanimetus]],4,FALSE)</f>
        <v>Muu haridus, sh hariduse haldus</v>
      </c>
      <c r="E1097" s="34" t="str">
        <f>VLOOKUP(Table2[[#This Row],[Tegevusala nimetus2]],Table4[[Tegevusala nimetus]:[Tegevusala koondnimetus]],2,FALSE)</f>
        <v>Haridus</v>
      </c>
      <c r="F1097" s="33" t="s">
        <v>1548</v>
      </c>
      <c r="G1097" s="33" t="s">
        <v>794</v>
      </c>
      <c r="H1097" s="47">
        <f>45*12</f>
        <v>540</v>
      </c>
      <c r="I1097" s="35"/>
      <c r="J1097" s="33">
        <v>5500</v>
      </c>
      <c r="K1097" s="34" t="str">
        <f>VLOOKUP(Table2[[#This Row],[Konto]],Table5[[Konto]:[Konto nimetus]],2,FALSE)</f>
        <v>Administreerimiskulud</v>
      </c>
      <c r="L1097" s="33">
        <v>55</v>
      </c>
      <c r="M1097" s="33" t="str">
        <f t="shared" si="35"/>
        <v>55</v>
      </c>
      <c r="N1097" s="34" t="str">
        <f>VLOOKUP(Table2[[#This Row],[Tulu/kulu liik2]],Table5[[Tulu/kulu liik]:[Kontode koondnimetus]],4,FALSE)</f>
        <v>Muud tegevuskulud</v>
      </c>
      <c r="O1097" s="34" t="str">
        <f>VLOOKUP(Table2[[#This Row],[Tulu/kulu liik2]],Table5[],6,FALSE)</f>
        <v>Majandamiskulud</v>
      </c>
      <c r="P1097" s="34" t="str">
        <f>VLOOKUP(Table2[[#This Row],[Tulu/kulu liik2]],Table5[],5,FALSE)</f>
        <v>Põhitegevuse kulu</v>
      </c>
    </row>
    <row r="1098" spans="1:16" x14ac:dyDescent="0.25">
      <c r="A1098" t="str">
        <f t="shared" si="34"/>
        <v>09</v>
      </c>
      <c r="B1098" s="31" t="s">
        <v>1577</v>
      </c>
      <c r="C1098" s="3" t="str">
        <f>VLOOKUP(Table2[[#This Row],[Tegevusala]],Table4[],2,FALSE)</f>
        <v xml:space="preserve"> Halduse tagatavad kulud</v>
      </c>
      <c r="D1098" s="3" t="str">
        <f>VLOOKUP(Table2[[#This Row],[Tegevusala]],Table4[[Tegevusala kood]:[Tegevusala alanimetus]],4,FALSE)</f>
        <v>Muu haridus, sh hariduse haldus</v>
      </c>
      <c r="E1098" s="3" t="str">
        <f>VLOOKUP(Table2[[#This Row],[Tegevusala nimetus2]],Table4[[Tegevusala nimetus]:[Tegevusala koondnimetus]],2,FALSE)</f>
        <v>Haridus</v>
      </c>
      <c r="F1098" t="s">
        <v>1548</v>
      </c>
      <c r="G1098" t="s">
        <v>1575</v>
      </c>
      <c r="H1098" s="40">
        <v>10000</v>
      </c>
      <c r="I1098" s="2" t="s">
        <v>1576</v>
      </c>
      <c r="J1098">
        <v>5504</v>
      </c>
      <c r="K1098" s="3" t="str">
        <f>VLOOKUP(Table2[[#This Row],[Konto]],Table5[[Konto]:[Konto nimetus]],2,FALSE)</f>
        <v>Koolituskulud</v>
      </c>
      <c r="L1098">
        <v>55</v>
      </c>
      <c r="M1098" t="str">
        <f t="shared" si="35"/>
        <v>55</v>
      </c>
      <c r="N1098" s="3" t="str">
        <f>VLOOKUP(Table2[[#This Row],[Tulu/kulu liik2]],Table5[[Tulu/kulu liik]:[Kontode koondnimetus]],4,FALSE)</f>
        <v>Muud tegevuskulud</v>
      </c>
      <c r="O1098" s="3" t="str">
        <f>VLOOKUP(Table2[[#This Row],[Tulu/kulu liik2]],Table5[],6,FALSE)</f>
        <v>Majandamiskulud</v>
      </c>
      <c r="P1098" s="3" t="str">
        <f>VLOOKUP(Table2[[#This Row],[Tulu/kulu liik2]],Table5[],5,FALSE)</f>
        <v>Põhitegevuse kulu</v>
      </c>
    </row>
    <row r="1099" spans="1:16" x14ac:dyDescent="0.25">
      <c r="A1099" t="str">
        <f t="shared" si="34"/>
        <v>09</v>
      </c>
      <c r="B1099" s="31" t="s">
        <v>1577</v>
      </c>
      <c r="C1099" s="3" t="str">
        <f>VLOOKUP(Table2[[#This Row],[Tegevusala]],Table4[],2,FALSE)</f>
        <v xml:space="preserve"> Halduse tagatavad kulud</v>
      </c>
      <c r="D1099" s="3" t="str">
        <f>VLOOKUP(Table2[[#This Row],[Tegevusala]],Table4[[Tegevusala kood]:[Tegevusala alanimetus]],4,FALSE)</f>
        <v>Muu haridus, sh hariduse haldus</v>
      </c>
      <c r="E1099" s="3" t="str">
        <f>VLOOKUP(Table2[[#This Row],[Tegevusala nimetus2]],Table4[[Tegevusala nimetus]:[Tegevusala koondnimetus]],2,FALSE)</f>
        <v>Haridus</v>
      </c>
      <c r="F1099" t="s">
        <v>1548</v>
      </c>
      <c r="G1099" t="s">
        <v>1849</v>
      </c>
      <c r="H1099" s="40">
        <v>10000</v>
      </c>
      <c r="J1099">
        <v>5504</v>
      </c>
      <c r="K1099" s="3" t="str">
        <f>VLOOKUP(Table2[[#This Row],[Konto]],Table5[[Konto]:[Konto nimetus]],2,FALSE)</f>
        <v>Koolituskulud</v>
      </c>
      <c r="L1099">
        <v>55</v>
      </c>
      <c r="M1099" t="str">
        <f t="shared" si="35"/>
        <v>55</v>
      </c>
      <c r="N1099" s="3" t="str">
        <f>VLOOKUP(Table2[[#This Row],[Tulu/kulu liik2]],Table5[[Tulu/kulu liik]:[Kontode koondnimetus]],4,FALSE)</f>
        <v>Muud tegevuskulud</v>
      </c>
      <c r="O1099" s="3" t="str">
        <f>VLOOKUP(Table2[[#This Row],[Tulu/kulu liik2]],Table5[],6,FALSE)</f>
        <v>Majandamiskulud</v>
      </c>
      <c r="P1099" s="3" t="str">
        <f>VLOOKUP(Table2[[#This Row],[Tulu/kulu liik2]],Table5[],5,FALSE)</f>
        <v>Põhitegevuse kulu</v>
      </c>
    </row>
    <row r="1100" spans="1:16" x14ac:dyDescent="0.25">
      <c r="A1100" s="33" t="str">
        <f t="shared" si="34"/>
        <v>10</v>
      </c>
      <c r="B1100" s="31" t="s">
        <v>721</v>
      </c>
      <c r="C1100" s="34" t="str">
        <f>VLOOKUP(Table2[[#This Row],[Tegevusala]],Table4[],2,FALSE)</f>
        <v xml:space="preserve"> Haigete sotsiaalne kaitse</v>
      </c>
      <c r="D1100" s="34" t="str">
        <f>VLOOKUP(Table2[[#This Row],[Tegevusala]],Table4[[Tegevusala kood]:[Tegevusala alanimetus]],4,FALSE)</f>
        <v>Haigete sotsiaalne kaitse</v>
      </c>
      <c r="E1100" s="34" t="str">
        <f>VLOOKUP(Table2[[#This Row],[Tegevusala nimetus2]],Table4[[Tegevusala nimetus]:[Tegevusala koondnimetus]],2,FALSE)</f>
        <v>Sotsiaalne kaitse</v>
      </c>
      <c r="F1100" s="33" t="s">
        <v>462</v>
      </c>
      <c r="G1100" s="33" t="s">
        <v>717</v>
      </c>
      <c r="H1100" s="47">
        <v>300</v>
      </c>
      <c r="I1100" s="35"/>
      <c r="J1100" s="33">
        <v>4500</v>
      </c>
      <c r="K1100" s="34" t="str">
        <f>VLOOKUP(Table2[[#This Row],[Konto]],Table5[[Konto]:[Konto nimetus]],2,FALSE)</f>
        <v>Sihtotstarbelised eraldised jooksvateks kuludeks</v>
      </c>
      <c r="L1100" s="33">
        <v>4500</v>
      </c>
      <c r="M1100" s="33" t="str">
        <f t="shared" si="35"/>
        <v>45</v>
      </c>
      <c r="N1100" s="34" t="str">
        <f>VLOOKUP(Table2[[#This Row],[Tulu/kulu liik2]],Table5[[Tulu/kulu liik]:[Kontode koondnimetus]],4,FALSE)</f>
        <v>Antavad toetused tegevuskuludeks</v>
      </c>
      <c r="O1100" s="34" t="str">
        <f>VLOOKUP(Table2[[#This Row],[Tulu/kulu liik2]],Table5[],6,FALSE)</f>
        <v>Sihtotstarbelised toetused tegevuskuludeks</v>
      </c>
      <c r="P1100" s="34" t="str">
        <f>VLOOKUP(Table2[[#This Row],[Tulu/kulu liik2]],Table5[],5,FALSE)</f>
        <v>Põhitegevuse kulu</v>
      </c>
    </row>
    <row r="1101" spans="1:16" x14ac:dyDescent="0.25">
      <c r="A1101" s="33" t="str">
        <f t="shared" si="34"/>
        <v>10</v>
      </c>
      <c r="B1101" s="31" t="s">
        <v>721</v>
      </c>
      <c r="C1101" s="34" t="str">
        <f>VLOOKUP(Table2[[#This Row],[Tegevusala]],Table4[],2,FALSE)</f>
        <v xml:space="preserve"> Haigete sotsiaalne kaitse</v>
      </c>
      <c r="D1101" s="34" t="str">
        <f>VLOOKUP(Table2[[#This Row],[Tegevusala]],Table4[[Tegevusala kood]:[Tegevusala alanimetus]],4,FALSE)</f>
        <v>Haigete sotsiaalne kaitse</v>
      </c>
      <c r="E1101" s="34" t="str">
        <f>VLOOKUP(Table2[[#This Row],[Tegevusala nimetus2]],Table4[[Tegevusala nimetus]:[Tegevusala koondnimetus]],2,FALSE)</f>
        <v>Sotsiaalne kaitse</v>
      </c>
      <c r="F1101" s="33" t="s">
        <v>462</v>
      </c>
      <c r="G1101" s="33" t="s">
        <v>718</v>
      </c>
      <c r="H1101" s="47">
        <v>700</v>
      </c>
      <c r="I1101" s="35"/>
      <c r="J1101" s="33">
        <v>4500</v>
      </c>
      <c r="K1101" s="34" t="str">
        <f>VLOOKUP(Table2[[#This Row],[Konto]],Table5[[Konto]:[Konto nimetus]],2,FALSE)</f>
        <v>Sihtotstarbelised eraldised jooksvateks kuludeks</v>
      </c>
      <c r="L1101" s="33">
        <v>4500</v>
      </c>
      <c r="M1101" s="33" t="str">
        <f t="shared" si="35"/>
        <v>45</v>
      </c>
      <c r="N1101" s="34" t="str">
        <f>VLOOKUP(Table2[[#This Row],[Tulu/kulu liik2]],Table5[[Tulu/kulu liik]:[Kontode koondnimetus]],4,FALSE)</f>
        <v>Antavad toetused tegevuskuludeks</v>
      </c>
      <c r="O1101" s="34" t="str">
        <f>VLOOKUP(Table2[[#This Row],[Tulu/kulu liik2]],Table5[],6,FALSE)</f>
        <v>Sihtotstarbelised toetused tegevuskuludeks</v>
      </c>
      <c r="P1101" s="34" t="str">
        <f>VLOOKUP(Table2[[#This Row],[Tulu/kulu liik2]],Table5[],5,FALSE)</f>
        <v>Põhitegevuse kulu</v>
      </c>
    </row>
    <row r="1102" spans="1:16" x14ac:dyDescent="0.25">
      <c r="A1102" s="33" t="str">
        <f t="shared" si="34"/>
        <v>10</v>
      </c>
      <c r="B1102" s="31" t="s">
        <v>721</v>
      </c>
      <c r="C1102" s="34" t="str">
        <f>VLOOKUP(Table2[[#This Row],[Tegevusala]],Table4[],2,FALSE)</f>
        <v xml:space="preserve"> Haigete sotsiaalne kaitse</v>
      </c>
      <c r="D1102" s="34" t="str">
        <f>VLOOKUP(Table2[[#This Row],[Tegevusala]],Table4[[Tegevusala kood]:[Tegevusala alanimetus]],4,FALSE)</f>
        <v>Haigete sotsiaalne kaitse</v>
      </c>
      <c r="E1102" s="34" t="str">
        <f>VLOOKUP(Table2[[#This Row],[Tegevusala nimetus2]],Table4[[Tegevusala nimetus]:[Tegevusala koondnimetus]],2,FALSE)</f>
        <v>Sotsiaalne kaitse</v>
      </c>
      <c r="F1102" s="33" t="s">
        <v>462</v>
      </c>
      <c r="G1102" s="33" t="s">
        <v>719</v>
      </c>
      <c r="H1102" s="47">
        <v>250</v>
      </c>
      <c r="I1102" s="35"/>
      <c r="J1102" s="33">
        <v>4500</v>
      </c>
      <c r="K1102" s="34" t="str">
        <f>VLOOKUP(Table2[[#This Row],[Konto]],Table5[[Konto]:[Konto nimetus]],2,FALSE)</f>
        <v>Sihtotstarbelised eraldised jooksvateks kuludeks</v>
      </c>
      <c r="L1102" s="33">
        <v>4500</v>
      </c>
      <c r="M1102" s="33" t="str">
        <f t="shared" si="35"/>
        <v>45</v>
      </c>
      <c r="N1102" s="34" t="str">
        <f>VLOOKUP(Table2[[#This Row],[Tulu/kulu liik2]],Table5[[Tulu/kulu liik]:[Kontode koondnimetus]],4,FALSE)</f>
        <v>Antavad toetused tegevuskuludeks</v>
      </c>
      <c r="O1102" s="34" t="str">
        <f>VLOOKUP(Table2[[#This Row],[Tulu/kulu liik2]],Table5[],6,FALSE)</f>
        <v>Sihtotstarbelised toetused tegevuskuludeks</v>
      </c>
      <c r="P1102" s="34" t="str">
        <f>VLOOKUP(Table2[[#This Row],[Tulu/kulu liik2]],Table5[],5,FALSE)</f>
        <v>Põhitegevuse kulu</v>
      </c>
    </row>
    <row r="1103" spans="1:16" x14ac:dyDescent="0.25">
      <c r="A1103" s="33" t="str">
        <f t="shared" si="34"/>
        <v>10</v>
      </c>
      <c r="B1103" s="31" t="s">
        <v>721</v>
      </c>
      <c r="C1103" s="34" t="str">
        <f>VLOOKUP(Table2[[#This Row],[Tegevusala]],Table4[],2,FALSE)</f>
        <v xml:space="preserve"> Haigete sotsiaalne kaitse</v>
      </c>
      <c r="D1103" s="34" t="str">
        <f>VLOOKUP(Table2[[#This Row],[Tegevusala]],Table4[[Tegevusala kood]:[Tegevusala alanimetus]],4,FALSE)</f>
        <v>Haigete sotsiaalne kaitse</v>
      </c>
      <c r="E1103" s="34" t="str">
        <f>VLOOKUP(Table2[[#This Row],[Tegevusala nimetus2]],Table4[[Tegevusala nimetus]:[Tegevusala koondnimetus]],2,FALSE)</f>
        <v>Sotsiaalne kaitse</v>
      </c>
      <c r="F1103" s="33" t="s">
        <v>462</v>
      </c>
      <c r="G1103" s="33" t="s">
        <v>720</v>
      </c>
      <c r="H1103" s="47">
        <v>7000</v>
      </c>
      <c r="I1103" s="35"/>
      <c r="J1103" s="33">
        <v>4500</v>
      </c>
      <c r="K1103" s="34" t="str">
        <f>VLOOKUP(Table2[[#This Row],[Konto]],Table5[[Konto]:[Konto nimetus]],2,FALSE)</f>
        <v>Sihtotstarbelised eraldised jooksvateks kuludeks</v>
      </c>
      <c r="L1103" s="33">
        <v>4500</v>
      </c>
      <c r="M1103" s="33" t="str">
        <f t="shared" si="35"/>
        <v>45</v>
      </c>
      <c r="N1103" s="34" t="str">
        <f>VLOOKUP(Table2[[#This Row],[Tulu/kulu liik2]],Table5[[Tulu/kulu liik]:[Kontode koondnimetus]],4,FALSE)</f>
        <v>Antavad toetused tegevuskuludeks</v>
      </c>
      <c r="O1103" s="34" t="str">
        <f>VLOOKUP(Table2[[#This Row],[Tulu/kulu liik2]],Table5[],6,FALSE)</f>
        <v>Sihtotstarbelised toetused tegevuskuludeks</v>
      </c>
      <c r="P1103" s="34" t="str">
        <f>VLOOKUP(Table2[[#This Row],[Tulu/kulu liik2]],Table5[],5,FALSE)</f>
        <v>Põhitegevuse kulu</v>
      </c>
    </row>
    <row r="1104" spans="1:16" x14ac:dyDescent="0.25">
      <c r="A1104" t="str">
        <f t="shared" si="34"/>
        <v>10</v>
      </c>
      <c r="B1104" t="s">
        <v>55</v>
      </c>
      <c r="C1104" s="3" t="str">
        <f>VLOOKUP(Table2[[#This Row],[Tegevusala]],Table4[],2,FALSE)</f>
        <v xml:space="preserve"> Puuetega inimeste sotsiaalhoolekandeasutused</v>
      </c>
      <c r="D1104" s="3" t="str">
        <f>VLOOKUP(Table2[[#This Row],[Tegevusala]],Table4[[Tegevusala kood]:[Tegevusala alanimetus]],4,FALSE)</f>
        <v>Puuetega inimeste sotsiaalhoolekandeasutused</v>
      </c>
      <c r="E1104" s="3" t="str">
        <f>VLOOKUP(Table2[[#This Row],[Tegevusala nimetus2]],Table4[[Tegevusala nimetus]:[Tegevusala koondnimetus]],2,FALSE)</f>
        <v>Sotsiaalne kaitse</v>
      </c>
      <c r="F1104" t="s">
        <v>462</v>
      </c>
      <c r="G1104" t="s">
        <v>2034</v>
      </c>
      <c r="H1104" s="40">
        <v>1500</v>
      </c>
      <c r="J1104">
        <v>4500</v>
      </c>
      <c r="K1104" s="3" t="str">
        <f>VLOOKUP(Table2[[#This Row],[Konto]],Table5[[Konto]:[Konto nimetus]],2,FALSE)</f>
        <v>Sihtotstarbelised eraldised jooksvateks kuludeks</v>
      </c>
      <c r="L1104">
        <v>4500</v>
      </c>
      <c r="M1104" t="str">
        <f t="shared" si="35"/>
        <v>45</v>
      </c>
      <c r="N1104" s="3" t="str">
        <f>VLOOKUP(Table2[[#This Row],[Tulu/kulu liik2]],Table5[[Tulu/kulu liik]:[Kontode koondnimetus]],4,FALSE)</f>
        <v>Antavad toetused tegevuskuludeks</v>
      </c>
      <c r="O1104" s="3" t="str">
        <f>VLOOKUP(Table2[[#This Row],[Tulu/kulu liik2]],Table5[],6,FALSE)</f>
        <v>Sihtotstarbelised toetused tegevuskuludeks</v>
      </c>
      <c r="P1104" s="3" t="str">
        <f>VLOOKUP(Table2[[#This Row],[Tulu/kulu liik2]],Table5[],5,FALSE)</f>
        <v>Põhitegevuse kulu</v>
      </c>
    </row>
    <row r="1105" spans="1:16" hidden="1" x14ac:dyDescent="0.25">
      <c r="A1105" s="33" t="str">
        <f t="shared" si="34"/>
        <v>10</v>
      </c>
      <c r="B1105" s="33" t="s">
        <v>55</v>
      </c>
      <c r="C1105" s="34" t="str">
        <f>VLOOKUP(Table2[[#This Row],[Tegevusala]],Table4[],2,FALSE)</f>
        <v xml:space="preserve"> Puuetega inimeste sotsiaalhoolekandeasutused</v>
      </c>
      <c r="D1105" s="34" t="str">
        <f>VLOOKUP(Table2[[#This Row],[Tegevusala]],Table4[[Tegevusala kood]:[Tegevusala alanimetus]],4,FALSE)</f>
        <v>Puuetega inimeste sotsiaalhoolekandeasutused</v>
      </c>
      <c r="E1105" s="34" t="str">
        <f>VLOOKUP(Table2[[#This Row],[Tegevusala nimetus2]],Table4[[Tegevusala nimetus]:[Tegevusala koondnimetus]],2,FALSE)</f>
        <v>Sotsiaalne kaitse</v>
      </c>
      <c r="F1105" s="33" t="s">
        <v>462</v>
      </c>
      <c r="G1105" s="33" t="s">
        <v>713</v>
      </c>
      <c r="H1105" s="47">
        <v>8600</v>
      </c>
      <c r="I1105" s="35"/>
      <c r="J1105" s="33">
        <v>45028</v>
      </c>
      <c r="K1105" s="34" t="str">
        <f>VLOOKUP(Table2[[#This Row],[Konto]],Table5[[Konto]:[Konto nimetus]],2,FALSE)</f>
        <v>Sihtotstarbelised eraldised põhivara soetamiseks muudele residentidele</v>
      </c>
      <c r="L1105" s="33">
        <v>4502</v>
      </c>
      <c r="M1105" s="33" t="str">
        <f t="shared" si="35"/>
        <v>45</v>
      </c>
      <c r="N1105" s="34" t="str">
        <f>VLOOKUP(Table2[[#This Row],[Tulu/kulu liik2]],Table5[[Tulu/kulu liik]:[Kontode koondnimetus]],4,FALSE)</f>
        <v>Põhivara soetuseks antav sihtfinantseerimine (-)</v>
      </c>
      <c r="O1105" s="34" t="str">
        <f>VLOOKUP(Table2[[#This Row],[Tulu/kulu liik2]],Table5[],6,FALSE)</f>
        <v>Põhivara soetuseks antav sihtfinantseerimine (-)</v>
      </c>
      <c r="P1105" s="34" t="str">
        <f>VLOOKUP(Table2[[#This Row],[Tulu/kulu liik2]],Table5[],5,FALSE)</f>
        <v>Investeerimistegevus</v>
      </c>
    </row>
    <row r="1106" spans="1:16" x14ac:dyDescent="0.25">
      <c r="A1106" s="33" t="str">
        <f t="shared" si="34"/>
        <v>10</v>
      </c>
      <c r="B1106" s="33" t="s">
        <v>55</v>
      </c>
      <c r="C1106" s="34" t="str">
        <f>VLOOKUP(Table2[[#This Row],[Tegevusala]],Table4[],2,FALSE)</f>
        <v xml:space="preserve"> Puuetega inimeste sotsiaalhoolekandeasutused</v>
      </c>
      <c r="D1106" s="34" t="str">
        <f>VLOOKUP(Table2[[#This Row],[Tegevusala]],Table4[[Tegevusala kood]:[Tegevusala alanimetus]],4,FALSE)</f>
        <v>Puuetega inimeste sotsiaalhoolekandeasutused</v>
      </c>
      <c r="E1106" s="34" t="str">
        <f>VLOOKUP(Table2[[#This Row],[Tegevusala nimetus2]],Table4[[Tegevusala nimetus]:[Tegevusala koondnimetus]],2,FALSE)</f>
        <v>Sotsiaalne kaitse</v>
      </c>
      <c r="F1106" s="33" t="s">
        <v>462</v>
      </c>
      <c r="G1106" s="33" t="s">
        <v>714</v>
      </c>
      <c r="H1106" s="47">
        <v>1000</v>
      </c>
      <c r="I1106" s="35"/>
      <c r="J1106" s="33">
        <v>4500</v>
      </c>
      <c r="K1106" s="34" t="str">
        <f>VLOOKUP(Table2[[#This Row],[Konto]],Table5[[Konto]:[Konto nimetus]],2,FALSE)</f>
        <v>Sihtotstarbelised eraldised jooksvateks kuludeks</v>
      </c>
      <c r="L1106" s="33">
        <v>4500</v>
      </c>
      <c r="M1106" s="33" t="str">
        <f t="shared" si="35"/>
        <v>45</v>
      </c>
      <c r="N1106" s="34" t="str">
        <f>VLOOKUP(Table2[[#This Row],[Tulu/kulu liik2]],Table5[[Tulu/kulu liik]:[Kontode koondnimetus]],4,FALSE)</f>
        <v>Antavad toetused tegevuskuludeks</v>
      </c>
      <c r="O1106" s="34" t="str">
        <f>VLOOKUP(Table2[[#This Row],[Tulu/kulu liik2]],Table5[],6,FALSE)</f>
        <v>Sihtotstarbelised toetused tegevuskuludeks</v>
      </c>
      <c r="P1106" s="34" t="str">
        <f>VLOOKUP(Table2[[#This Row],[Tulu/kulu liik2]],Table5[],5,FALSE)</f>
        <v>Põhitegevuse kulu</v>
      </c>
    </row>
    <row r="1107" spans="1:16" x14ac:dyDescent="0.25">
      <c r="A1107" s="33" t="str">
        <f t="shared" si="34"/>
        <v>10</v>
      </c>
      <c r="B1107" s="33" t="s">
        <v>55</v>
      </c>
      <c r="C1107" s="34" t="str">
        <f>VLOOKUP(Table2[[#This Row],[Tegevusala]],Table4[],2,FALSE)</f>
        <v xml:space="preserve"> Puuetega inimeste sotsiaalhoolekandeasutused</v>
      </c>
      <c r="D1107" s="34" t="str">
        <f>VLOOKUP(Table2[[#This Row],[Tegevusala]],Table4[[Tegevusala kood]:[Tegevusala alanimetus]],4,FALSE)</f>
        <v>Puuetega inimeste sotsiaalhoolekandeasutused</v>
      </c>
      <c r="E1107" s="34" t="str">
        <f>VLOOKUP(Table2[[#This Row],[Tegevusala nimetus2]],Table4[[Tegevusala nimetus]:[Tegevusala koondnimetus]],2,FALSE)</f>
        <v>Sotsiaalne kaitse</v>
      </c>
      <c r="F1107" s="33" t="s">
        <v>462</v>
      </c>
      <c r="G1107" s="33" t="s">
        <v>715</v>
      </c>
      <c r="H1107" s="47">
        <v>3800</v>
      </c>
      <c r="I1107" s="35"/>
      <c r="J1107" s="33">
        <v>4500</v>
      </c>
      <c r="K1107" s="34" t="str">
        <f>VLOOKUP(Table2[[#This Row],[Konto]],Table5[[Konto]:[Konto nimetus]],2,FALSE)</f>
        <v>Sihtotstarbelised eraldised jooksvateks kuludeks</v>
      </c>
      <c r="L1107" s="33">
        <v>4500</v>
      </c>
      <c r="M1107" s="33" t="str">
        <f t="shared" si="35"/>
        <v>45</v>
      </c>
      <c r="N1107" s="34" t="str">
        <f>VLOOKUP(Table2[[#This Row],[Tulu/kulu liik2]],Table5[[Tulu/kulu liik]:[Kontode koondnimetus]],4,FALSE)</f>
        <v>Antavad toetused tegevuskuludeks</v>
      </c>
      <c r="O1107" s="34" t="str">
        <f>VLOOKUP(Table2[[#This Row],[Tulu/kulu liik2]],Table5[],6,FALSE)</f>
        <v>Sihtotstarbelised toetused tegevuskuludeks</v>
      </c>
      <c r="P1107" s="34" t="str">
        <f>VLOOKUP(Table2[[#This Row],[Tulu/kulu liik2]],Table5[],5,FALSE)</f>
        <v>Põhitegevuse kulu</v>
      </c>
    </row>
    <row r="1108" spans="1:16" hidden="1" x14ac:dyDescent="0.25">
      <c r="A1108" s="33" t="str">
        <f t="shared" si="34"/>
        <v>10</v>
      </c>
      <c r="B1108" s="33" t="s">
        <v>55</v>
      </c>
      <c r="C1108" s="34" t="str">
        <f>VLOOKUP(Table2[[#This Row],[Tegevusala]],Table4[],2,FALSE)</f>
        <v xml:space="preserve"> Puuetega inimeste sotsiaalhoolekandeasutused</v>
      </c>
      <c r="D1108" s="34" t="str">
        <f>VLOOKUP(Table2[[#This Row],[Tegevusala]],Table4[[Tegevusala kood]:[Tegevusala alanimetus]],4,FALSE)</f>
        <v>Puuetega inimeste sotsiaalhoolekandeasutused</v>
      </c>
      <c r="E1108" s="34" t="str">
        <f>VLOOKUP(Table2[[#This Row],[Tegevusala nimetus2]],Table4[[Tegevusala nimetus]:[Tegevusala koondnimetus]],2,FALSE)</f>
        <v>Sotsiaalne kaitse</v>
      </c>
      <c r="F1108" s="33" t="s">
        <v>462</v>
      </c>
      <c r="G1108" s="33" t="s">
        <v>716</v>
      </c>
      <c r="H1108" s="47">
        <v>8368</v>
      </c>
      <c r="I1108" s="35"/>
      <c r="J1108" s="33">
        <v>500</v>
      </c>
      <c r="K1108" s="34" t="str">
        <f>VLOOKUP(Table2[[#This Row],[Konto]],Table5[[Konto]:[Konto nimetus]],2,FALSE)</f>
        <v>Töötasud</v>
      </c>
      <c r="L1108" s="33">
        <v>50</v>
      </c>
      <c r="M1108" s="33" t="str">
        <f t="shared" si="35"/>
        <v>50</v>
      </c>
      <c r="N1108" s="34" t="str">
        <f>VLOOKUP(Table2[[#This Row],[Tulu/kulu liik2]],Table5[[Tulu/kulu liik]:[Kontode koondnimetus]],4,FALSE)</f>
        <v>Muud tegevuskulud</v>
      </c>
      <c r="O1108" s="34" t="str">
        <f>VLOOKUP(Table2[[#This Row],[Tulu/kulu liik2]],Table5[],6,FALSE)</f>
        <v>Tööjõukulud</v>
      </c>
      <c r="P1108" s="34" t="str">
        <f>VLOOKUP(Table2[[#This Row],[Tulu/kulu liik2]],Table5[],5,FALSE)</f>
        <v>Põhitegevuse kulu</v>
      </c>
    </row>
    <row r="1109" spans="1:16" x14ac:dyDescent="0.25">
      <c r="A1109" s="33" t="str">
        <f t="shared" si="34"/>
        <v>10</v>
      </c>
      <c r="B1109" s="33" t="s">
        <v>55</v>
      </c>
      <c r="C1109" s="34" t="str">
        <f>VLOOKUP(Table2[[#This Row],[Tegevusala]],Table4[],2,FALSE)</f>
        <v xml:space="preserve"> Puuetega inimeste sotsiaalhoolekandeasutused</v>
      </c>
      <c r="D1109" s="34" t="str">
        <f>VLOOKUP(Table2[[#This Row],[Tegevusala]],Table4[[Tegevusala kood]:[Tegevusala alanimetus]],4,FALSE)</f>
        <v>Puuetega inimeste sotsiaalhoolekandeasutused</v>
      </c>
      <c r="E1109" s="34" t="str">
        <f>VLOOKUP(Table2[[#This Row],[Tegevusala nimetus2]],Table4[[Tegevusala nimetus]:[Tegevusala koondnimetus]],2,FALSE)</f>
        <v>Sotsiaalne kaitse</v>
      </c>
      <c r="F1109" s="33" t="s">
        <v>462</v>
      </c>
      <c r="G1109" s="33" t="s">
        <v>716</v>
      </c>
      <c r="H1109" s="47">
        <f>12*136</f>
        <v>1632</v>
      </c>
      <c r="I1109" s="35"/>
      <c r="J1109" s="33">
        <v>5513</v>
      </c>
      <c r="K1109" s="34" t="str">
        <f>VLOOKUP(Table2[[#This Row],[Konto]],Table5[[Konto]:[Konto nimetus]],2,FALSE)</f>
        <v>Sõidukite ülalpidamise kulud</v>
      </c>
      <c r="L1109" s="33">
        <v>55</v>
      </c>
      <c r="M1109" s="33" t="str">
        <f t="shared" si="35"/>
        <v>55</v>
      </c>
      <c r="N1109" s="34" t="str">
        <f>VLOOKUP(Table2[[#This Row],[Tulu/kulu liik2]],Table5[[Tulu/kulu liik]:[Kontode koondnimetus]],4,FALSE)</f>
        <v>Muud tegevuskulud</v>
      </c>
      <c r="O1109" s="34" t="str">
        <f>VLOOKUP(Table2[[#This Row],[Tulu/kulu liik2]],Table5[],6,FALSE)</f>
        <v>Majandamiskulud</v>
      </c>
      <c r="P1109" s="34" t="str">
        <f>VLOOKUP(Table2[[#This Row],[Tulu/kulu liik2]],Table5[],5,FALSE)</f>
        <v>Põhitegevuse kulu</v>
      </c>
    </row>
    <row r="1110" spans="1:16" x14ac:dyDescent="0.25">
      <c r="A1110" s="33" t="str">
        <f t="shared" si="34"/>
        <v>10</v>
      </c>
      <c r="B1110" s="33" t="s">
        <v>361</v>
      </c>
      <c r="C1110" s="34" t="str">
        <f>VLOOKUP(Table2[[#This Row],[Tegevusala]],Table4[],2,FALSE)</f>
        <v xml:space="preserve"> Ravitoetused puuetega inimestele</v>
      </c>
      <c r="D1110" s="34" t="str">
        <f>VLOOKUP(Table2[[#This Row],[Tegevusala]],Table4[[Tegevusala kood]:[Tegevusala alanimetus]],4,FALSE)</f>
        <v>Muu puuetega inimeste sotsiaalne kaitse</v>
      </c>
      <c r="E1110" s="34" t="str">
        <f>VLOOKUP(Table2[[#This Row],[Tegevusala nimetus2]],Table4[[Tegevusala nimetus]:[Tegevusala koondnimetus]],2,FALSE)</f>
        <v>Sotsiaalne kaitse</v>
      </c>
      <c r="F1110" s="33" t="s">
        <v>462</v>
      </c>
      <c r="G1110" s="33" t="s">
        <v>703</v>
      </c>
      <c r="H1110" s="47">
        <v>11000</v>
      </c>
      <c r="I1110" s="35"/>
      <c r="J1110" s="33">
        <v>41337</v>
      </c>
      <c r="K1110" s="34" t="str">
        <f>VLOOKUP(Table2[[#This Row],[Konto]],Table5[[Konto]:[Konto nimetus]],2,FALSE)</f>
        <v>Proteesid, ortopeedilised ja muud abivahendid puuetega inimestele</v>
      </c>
      <c r="L1110" s="33">
        <v>413</v>
      </c>
      <c r="M1110" s="33" t="str">
        <f t="shared" si="35"/>
        <v>41</v>
      </c>
      <c r="N1110" s="34" t="str">
        <f>VLOOKUP(Table2[[#This Row],[Tulu/kulu liik2]],Table5[[Tulu/kulu liik]:[Kontode koondnimetus]],4,FALSE)</f>
        <v>Antavad toetused tegevuskuludeks</v>
      </c>
      <c r="O1110" s="34" t="str">
        <f>VLOOKUP(Table2[[#This Row],[Tulu/kulu liik2]],Table5[],6,FALSE)</f>
        <v>Sotsiaalabitoetused ja muud toetused füüsilistele isikutele</v>
      </c>
      <c r="P1110" s="34" t="str">
        <f>VLOOKUP(Table2[[#This Row],[Tulu/kulu liik2]],Table5[],5,FALSE)</f>
        <v>Põhitegevuse kulu</v>
      </c>
    </row>
    <row r="1111" spans="1:16" x14ac:dyDescent="0.25">
      <c r="A1111" s="33" t="str">
        <f t="shared" si="34"/>
        <v>10</v>
      </c>
      <c r="B1111" s="33" t="s">
        <v>362</v>
      </c>
      <c r="C1111" s="34" t="str">
        <f>VLOOKUP(Table2[[#This Row],[Tegevusala]],Table4[],2,FALSE)</f>
        <v xml:space="preserve"> transport</v>
      </c>
      <c r="D1111" s="34" t="str">
        <f>VLOOKUP(Table2[[#This Row],[Tegevusala]],Table4[[Tegevusala kood]:[Tegevusala alanimetus]],4,FALSE)</f>
        <v>Muu puuetega inimeste sotsiaalne kaitse</v>
      </c>
      <c r="E1111" s="34" t="str">
        <f>VLOOKUP(Table2[[#This Row],[Tegevusala nimetus2]],Table4[[Tegevusala nimetus]:[Tegevusala koondnimetus]],2,FALSE)</f>
        <v>Sotsiaalne kaitse</v>
      </c>
      <c r="F1111" s="33" t="s">
        <v>462</v>
      </c>
      <c r="G1111" s="33" t="s">
        <v>707</v>
      </c>
      <c r="H1111" s="47">
        <v>45500</v>
      </c>
      <c r="I1111" s="35" t="s">
        <v>2035</v>
      </c>
      <c r="J1111" s="33">
        <v>41339</v>
      </c>
      <c r="K1111" s="34" t="str">
        <f>VLOOKUP(Table2[[#This Row],[Konto]],Table5[[Konto]:[Konto nimetus]],2,FALSE)</f>
        <v>Muud toetused puuetega inimestele ja nende hooldajatele</v>
      </c>
      <c r="L1111" s="33">
        <v>413</v>
      </c>
      <c r="M1111" s="33" t="str">
        <f t="shared" si="35"/>
        <v>41</v>
      </c>
      <c r="N1111" s="34" t="str">
        <f>VLOOKUP(Table2[[#This Row],[Tulu/kulu liik2]],Table5[[Tulu/kulu liik]:[Kontode koondnimetus]],4,FALSE)</f>
        <v>Antavad toetused tegevuskuludeks</v>
      </c>
      <c r="O1111" s="34" t="str">
        <f>VLOOKUP(Table2[[#This Row],[Tulu/kulu liik2]],Table5[],6,FALSE)</f>
        <v>Sotsiaalabitoetused ja muud toetused füüsilistele isikutele</v>
      </c>
      <c r="P1111" s="34" t="str">
        <f>VLOOKUP(Table2[[#This Row],[Tulu/kulu liik2]],Table5[],5,FALSE)</f>
        <v>Põhitegevuse kulu</v>
      </c>
    </row>
    <row r="1112" spans="1:16" x14ac:dyDescent="0.25">
      <c r="A1112" s="33" t="str">
        <f t="shared" si="34"/>
        <v>10</v>
      </c>
      <c r="B1112" s="33" t="s">
        <v>364</v>
      </c>
      <c r="C1112" s="34" t="str">
        <f>VLOOKUP(Table2[[#This Row],[Tegevusala]],Table4[],2,FALSE)</f>
        <v xml:space="preserve"> Hooldajad</v>
      </c>
      <c r="D1112" s="34" t="str">
        <f>VLOOKUP(Table2[[#This Row],[Tegevusala]],Table4[[Tegevusala kood]:[Tegevusala alanimetus]],4,FALSE)</f>
        <v>Muu puuetega inimeste sotsiaalne kaitse</v>
      </c>
      <c r="E1112" s="34" t="str">
        <f>VLOOKUP(Table2[[#This Row],[Tegevusala nimetus2]],Table4[[Tegevusala nimetus]:[Tegevusala koondnimetus]],2,FALSE)</f>
        <v>Sotsiaalne kaitse</v>
      </c>
      <c r="F1112" s="33" t="s">
        <v>462</v>
      </c>
      <c r="G1112" s="33" t="s">
        <v>709</v>
      </c>
      <c r="H1112" s="47">
        <v>110000</v>
      </c>
      <c r="I1112" s="35"/>
      <c r="J1112" s="33">
        <v>41332</v>
      </c>
      <c r="K1112" s="34" t="str">
        <f>VLOOKUP(Table2[[#This Row],[Konto]],Table5[[Konto]:[Konto nimetus]],2,FALSE)</f>
        <v>Puudega inimese hooldaja toetus</v>
      </c>
      <c r="L1112" s="33">
        <v>413</v>
      </c>
      <c r="M1112" s="33" t="str">
        <f t="shared" si="35"/>
        <v>41</v>
      </c>
      <c r="N1112" s="34" t="str">
        <f>VLOOKUP(Table2[[#This Row],[Tulu/kulu liik2]],Table5[[Tulu/kulu liik]:[Kontode koondnimetus]],4,FALSE)</f>
        <v>Antavad toetused tegevuskuludeks</v>
      </c>
      <c r="O1112" s="34" t="str">
        <f>VLOOKUP(Table2[[#This Row],[Tulu/kulu liik2]],Table5[],6,FALSE)</f>
        <v>Sotsiaalabitoetused ja muud toetused füüsilistele isikutele</v>
      </c>
      <c r="P1112" s="34" t="str">
        <f>VLOOKUP(Table2[[#This Row],[Tulu/kulu liik2]],Table5[],5,FALSE)</f>
        <v>Põhitegevuse kulu</v>
      </c>
    </row>
    <row r="1113" spans="1:16" x14ac:dyDescent="0.25">
      <c r="A1113" t="str">
        <f t="shared" si="34"/>
        <v>10</v>
      </c>
      <c r="B1113" t="s">
        <v>364</v>
      </c>
      <c r="C1113" s="3" t="str">
        <f>VLOOKUP(Table2[[#This Row],[Tegevusala]],Table4[],2,FALSE)</f>
        <v xml:space="preserve"> Hooldajad</v>
      </c>
      <c r="D1113" s="3" t="str">
        <f>VLOOKUP(Table2[[#This Row],[Tegevusala]],Table4[[Tegevusala kood]:[Tegevusala alanimetus]],4,FALSE)</f>
        <v>Muu puuetega inimeste sotsiaalne kaitse</v>
      </c>
      <c r="E1113" s="3" t="str">
        <f>VLOOKUP(Table2[[#This Row],[Tegevusala nimetus2]],Table4[[Tegevusala nimetus]:[Tegevusala koondnimetus]],2,FALSE)</f>
        <v>Sotsiaalne kaitse</v>
      </c>
      <c r="F1113" t="s">
        <v>462</v>
      </c>
      <c r="G1113" t="s">
        <v>734</v>
      </c>
      <c r="H1113" s="40">
        <v>51600</v>
      </c>
      <c r="J1113">
        <v>4137</v>
      </c>
      <c r="K1113" s="3" t="str">
        <f>VLOOKUP(Table2[[#This Row],[Konto]],Table5[[Konto]:[Konto nimetus]],2,FALSE)</f>
        <v>Erijuhtudel riigi poolt makstavad maksud</v>
      </c>
      <c r="L1113">
        <v>413</v>
      </c>
      <c r="M1113" t="str">
        <f t="shared" si="35"/>
        <v>41</v>
      </c>
      <c r="N1113" s="3" t="str">
        <f>VLOOKUP(Table2[[#This Row],[Tulu/kulu liik2]],Table5[[Tulu/kulu liik]:[Kontode koondnimetus]],4,FALSE)</f>
        <v>Antavad toetused tegevuskuludeks</v>
      </c>
      <c r="O1113" s="3" t="str">
        <f>VLOOKUP(Table2[[#This Row],[Tulu/kulu liik2]],Table5[],6,FALSE)</f>
        <v>Sotsiaalabitoetused ja muud toetused füüsilistele isikutele</v>
      </c>
      <c r="P1113" s="3" t="str">
        <f>VLOOKUP(Table2[[#This Row],[Tulu/kulu liik2]],Table5[],5,FALSE)</f>
        <v>Põhitegevuse kulu</v>
      </c>
    </row>
    <row r="1114" spans="1:16" x14ac:dyDescent="0.25">
      <c r="A1114" s="33" t="str">
        <f t="shared" si="34"/>
        <v>10</v>
      </c>
      <c r="B1114" s="33" t="s">
        <v>366</v>
      </c>
      <c r="C1114" s="34" t="str">
        <f>VLOOKUP(Table2[[#This Row],[Tegevusala]],Table4[],2,FALSE)</f>
        <v xml:space="preserve"> Muud</v>
      </c>
      <c r="D1114" s="34" t="str">
        <f>VLOOKUP(Table2[[#This Row],[Tegevusala]],Table4[[Tegevusala kood]:[Tegevusala alanimetus]],4,FALSE)</f>
        <v>Muu puuetega inimeste sotsiaalne kaitse</v>
      </c>
      <c r="E1114" s="34" t="str">
        <f>VLOOKUP(Table2[[#This Row],[Tegevusala nimetus2]],Table4[[Tegevusala nimetus]:[Tegevusala koondnimetus]],2,FALSE)</f>
        <v>Sotsiaalne kaitse</v>
      </c>
      <c r="F1114" s="33" t="s">
        <v>462</v>
      </c>
      <c r="G1114" s="33" t="s">
        <v>701</v>
      </c>
      <c r="H1114" s="47">
        <v>3800</v>
      </c>
      <c r="I1114" s="35"/>
      <c r="J1114" s="33">
        <v>5526</v>
      </c>
      <c r="K1114" s="34" t="str">
        <f>VLOOKUP(Table2[[#This Row],[Konto]],Table5[[Konto]:[Konto nimetus]],2,FALSE)</f>
        <v>Sotsiaalteenused</v>
      </c>
      <c r="L1114" s="33">
        <v>55</v>
      </c>
      <c r="M1114" s="33" t="str">
        <f t="shared" si="35"/>
        <v>55</v>
      </c>
      <c r="N1114" s="34" t="str">
        <f>VLOOKUP(Table2[[#This Row],[Tulu/kulu liik2]],Table5[[Tulu/kulu liik]:[Kontode koondnimetus]],4,FALSE)</f>
        <v>Muud tegevuskulud</v>
      </c>
      <c r="O1114" s="34" t="str">
        <f>VLOOKUP(Table2[[#This Row],[Tulu/kulu liik2]],Table5[],6,FALSE)</f>
        <v>Majandamiskulud</v>
      </c>
      <c r="P1114" s="34" t="str">
        <f>VLOOKUP(Table2[[#This Row],[Tulu/kulu liik2]],Table5[],5,FALSE)</f>
        <v>Põhitegevuse kulu</v>
      </c>
    </row>
    <row r="1115" spans="1:16" x14ac:dyDescent="0.25">
      <c r="A1115" s="33" t="str">
        <f t="shared" si="34"/>
        <v>10</v>
      </c>
      <c r="B1115" s="33" t="s">
        <v>366</v>
      </c>
      <c r="C1115" s="34" t="str">
        <f>VLOOKUP(Table2[[#This Row],[Tegevusala]],Table4[],2,FALSE)</f>
        <v xml:space="preserve"> Muud</v>
      </c>
      <c r="D1115" s="34" t="str">
        <f>VLOOKUP(Table2[[#This Row],[Tegevusala]],Table4[[Tegevusala kood]:[Tegevusala alanimetus]],4,FALSE)</f>
        <v>Muu puuetega inimeste sotsiaalne kaitse</v>
      </c>
      <c r="E1115" s="34" t="str">
        <f>VLOOKUP(Table2[[#This Row],[Tegevusala nimetus2]],Table4[[Tegevusala nimetus]:[Tegevusala koondnimetus]],2,FALSE)</f>
        <v>Sotsiaalne kaitse</v>
      </c>
      <c r="F1115" s="33" t="s">
        <v>462</v>
      </c>
      <c r="G1115" s="33" t="s">
        <v>702</v>
      </c>
      <c r="H1115" s="47">
        <v>3500</v>
      </c>
      <c r="I1115" s="35"/>
      <c r="J1115" s="33">
        <v>41339</v>
      </c>
      <c r="K1115" s="34" t="str">
        <f>VLOOKUP(Table2[[#This Row],[Konto]],Table5[[Konto]:[Konto nimetus]],2,FALSE)</f>
        <v>Muud toetused puuetega inimestele ja nende hooldajatele</v>
      </c>
      <c r="L1115" s="33">
        <v>413</v>
      </c>
      <c r="M1115" s="33" t="str">
        <f t="shared" si="35"/>
        <v>41</v>
      </c>
      <c r="N1115" s="34" t="str">
        <f>VLOOKUP(Table2[[#This Row],[Tulu/kulu liik2]],Table5[[Tulu/kulu liik]:[Kontode koondnimetus]],4,FALSE)</f>
        <v>Antavad toetused tegevuskuludeks</v>
      </c>
      <c r="O1115" s="34" t="str">
        <f>VLOOKUP(Table2[[#This Row],[Tulu/kulu liik2]],Table5[],6,FALSE)</f>
        <v>Sotsiaalabitoetused ja muud toetused füüsilistele isikutele</v>
      </c>
      <c r="P1115" s="34" t="str">
        <f>VLOOKUP(Table2[[#This Row],[Tulu/kulu liik2]],Table5[],5,FALSE)</f>
        <v>Põhitegevuse kulu</v>
      </c>
    </row>
    <row r="1116" spans="1:16" x14ac:dyDescent="0.25">
      <c r="A1116" s="33" t="str">
        <f t="shared" si="34"/>
        <v>10</v>
      </c>
      <c r="B1116" s="33" t="s">
        <v>366</v>
      </c>
      <c r="C1116" s="34" t="str">
        <f>VLOOKUP(Table2[[#This Row],[Tegevusala]],Table4[],2,FALSE)</f>
        <v xml:space="preserve"> Muud</v>
      </c>
      <c r="D1116" s="34" t="str">
        <f>VLOOKUP(Table2[[#This Row],[Tegevusala]],Table4[[Tegevusala kood]:[Tegevusala alanimetus]],4,FALSE)</f>
        <v>Muu puuetega inimeste sotsiaalne kaitse</v>
      </c>
      <c r="E1116" s="34" t="str">
        <f>VLOOKUP(Table2[[#This Row],[Tegevusala nimetus2]],Table4[[Tegevusala nimetus]:[Tegevusala koondnimetus]],2,FALSE)</f>
        <v>Sotsiaalne kaitse</v>
      </c>
      <c r="F1116" s="33" t="s">
        <v>462</v>
      </c>
      <c r="G1116" s="33" t="s">
        <v>705</v>
      </c>
      <c r="H1116" s="47">
        <v>800</v>
      </c>
      <c r="I1116" s="35"/>
      <c r="J1116" s="33">
        <v>41339</v>
      </c>
      <c r="K1116" s="34" t="str">
        <f>VLOOKUP(Table2[[#This Row],[Konto]],Table5[[Konto]:[Konto nimetus]],2,FALSE)</f>
        <v>Muud toetused puuetega inimestele ja nende hooldajatele</v>
      </c>
      <c r="L1116" s="33">
        <v>413</v>
      </c>
      <c r="M1116" s="33" t="str">
        <f t="shared" si="35"/>
        <v>41</v>
      </c>
      <c r="N1116" s="34" t="str">
        <f>VLOOKUP(Table2[[#This Row],[Tulu/kulu liik2]],Table5[[Tulu/kulu liik]:[Kontode koondnimetus]],4,FALSE)</f>
        <v>Antavad toetused tegevuskuludeks</v>
      </c>
      <c r="O1116" s="34" t="str">
        <f>VLOOKUP(Table2[[#This Row],[Tulu/kulu liik2]],Table5[],6,FALSE)</f>
        <v>Sotsiaalabitoetused ja muud toetused füüsilistele isikutele</v>
      </c>
      <c r="P1116" s="34" t="str">
        <f>VLOOKUP(Table2[[#This Row],[Tulu/kulu liik2]],Table5[],5,FALSE)</f>
        <v>Põhitegevuse kulu</v>
      </c>
    </row>
    <row r="1117" spans="1:16" x14ac:dyDescent="0.25">
      <c r="A1117" s="33" t="str">
        <f t="shared" si="34"/>
        <v>10</v>
      </c>
      <c r="B1117" s="33" t="s">
        <v>366</v>
      </c>
      <c r="C1117" s="34" t="str">
        <f>VLOOKUP(Table2[[#This Row],[Tegevusala]],Table4[],2,FALSE)</f>
        <v xml:space="preserve"> Muud</v>
      </c>
      <c r="D1117" s="34" t="str">
        <f>VLOOKUP(Table2[[#This Row],[Tegevusala]],Table4[[Tegevusala kood]:[Tegevusala alanimetus]],4,FALSE)</f>
        <v>Muu puuetega inimeste sotsiaalne kaitse</v>
      </c>
      <c r="E1117" s="34" t="str">
        <f>VLOOKUP(Table2[[#This Row],[Tegevusala nimetus2]],Table4[[Tegevusala nimetus]:[Tegevusala koondnimetus]],2,FALSE)</f>
        <v>Sotsiaalne kaitse</v>
      </c>
      <c r="F1117" s="33" t="s">
        <v>462</v>
      </c>
      <c r="G1117" s="33" t="s">
        <v>706</v>
      </c>
      <c r="H1117" s="47">
        <v>300</v>
      </c>
      <c r="I1117" s="35"/>
      <c r="J1117" s="33">
        <v>41339</v>
      </c>
      <c r="K1117" s="34" t="str">
        <f>VLOOKUP(Table2[[#This Row],[Konto]],Table5[[Konto]:[Konto nimetus]],2,FALSE)</f>
        <v>Muud toetused puuetega inimestele ja nende hooldajatele</v>
      </c>
      <c r="L1117" s="33">
        <v>413</v>
      </c>
      <c r="M1117" s="33" t="str">
        <f t="shared" si="35"/>
        <v>41</v>
      </c>
      <c r="N1117" s="34" t="str">
        <f>VLOOKUP(Table2[[#This Row],[Tulu/kulu liik2]],Table5[[Tulu/kulu liik]:[Kontode koondnimetus]],4,FALSE)</f>
        <v>Antavad toetused tegevuskuludeks</v>
      </c>
      <c r="O1117" s="34" t="str">
        <f>VLOOKUP(Table2[[#This Row],[Tulu/kulu liik2]],Table5[],6,FALSE)</f>
        <v>Sotsiaalabitoetused ja muud toetused füüsilistele isikutele</v>
      </c>
      <c r="P1117" s="34" t="str">
        <f>VLOOKUP(Table2[[#This Row],[Tulu/kulu liik2]],Table5[],5,FALSE)</f>
        <v>Põhitegevuse kulu</v>
      </c>
    </row>
    <row r="1118" spans="1:16" x14ac:dyDescent="0.25">
      <c r="A1118" s="33" t="str">
        <f t="shared" si="34"/>
        <v>10</v>
      </c>
      <c r="B1118" s="33" t="s">
        <v>366</v>
      </c>
      <c r="C1118" s="34" t="str">
        <f>VLOOKUP(Table2[[#This Row],[Tegevusala]],Table4[],2,FALSE)</f>
        <v xml:space="preserve"> Muud</v>
      </c>
      <c r="D1118" s="34" t="str">
        <f>VLOOKUP(Table2[[#This Row],[Tegevusala]],Table4[[Tegevusala kood]:[Tegevusala alanimetus]],4,FALSE)</f>
        <v>Muu puuetega inimeste sotsiaalne kaitse</v>
      </c>
      <c r="E1118" s="34" t="str">
        <f>VLOOKUP(Table2[[#This Row],[Tegevusala nimetus2]],Table4[[Tegevusala nimetus]:[Tegevusala koondnimetus]],2,FALSE)</f>
        <v>Sotsiaalne kaitse</v>
      </c>
      <c r="F1118" s="33" t="s">
        <v>462</v>
      </c>
      <c r="G1118" s="33" t="s">
        <v>708</v>
      </c>
      <c r="H1118" s="47">
        <v>7000</v>
      </c>
      <c r="I1118" s="35"/>
      <c r="J1118" s="33">
        <v>41339</v>
      </c>
      <c r="K1118" s="34" t="str">
        <f>VLOOKUP(Table2[[#This Row],[Konto]],Table5[[Konto]:[Konto nimetus]],2,FALSE)</f>
        <v>Muud toetused puuetega inimestele ja nende hooldajatele</v>
      </c>
      <c r="L1118" s="33">
        <v>413</v>
      </c>
      <c r="M1118" s="33" t="str">
        <f t="shared" si="35"/>
        <v>41</v>
      </c>
      <c r="N1118" s="34" t="str">
        <f>VLOOKUP(Table2[[#This Row],[Tulu/kulu liik2]],Table5[[Tulu/kulu liik]:[Kontode koondnimetus]],4,FALSE)</f>
        <v>Antavad toetused tegevuskuludeks</v>
      </c>
      <c r="O1118" s="34" t="str">
        <f>VLOOKUP(Table2[[#This Row],[Tulu/kulu liik2]],Table5[],6,FALSE)</f>
        <v>Sotsiaalabitoetused ja muud toetused füüsilistele isikutele</v>
      </c>
      <c r="P1118" s="34" t="str">
        <f>VLOOKUP(Table2[[#This Row],[Tulu/kulu liik2]],Table5[],5,FALSE)</f>
        <v>Põhitegevuse kulu</v>
      </c>
    </row>
    <row r="1119" spans="1:16" x14ac:dyDescent="0.25">
      <c r="A1119" s="33" t="str">
        <f t="shared" si="34"/>
        <v>10</v>
      </c>
      <c r="B1119" s="33" t="s">
        <v>366</v>
      </c>
      <c r="C1119" s="34" t="str">
        <f>VLOOKUP(Table2[[#This Row],[Tegevusala]],Table4[],2,FALSE)</f>
        <v xml:space="preserve"> Muud</v>
      </c>
      <c r="D1119" s="34" t="str">
        <f>VLOOKUP(Table2[[#This Row],[Tegevusala]],Table4[[Tegevusala kood]:[Tegevusala alanimetus]],4,FALSE)</f>
        <v>Muu puuetega inimeste sotsiaalne kaitse</v>
      </c>
      <c r="E1119" s="34" t="str">
        <f>VLOOKUP(Table2[[#This Row],[Tegevusala nimetus2]],Table4[[Tegevusala nimetus]:[Tegevusala koondnimetus]],2,FALSE)</f>
        <v>Sotsiaalne kaitse</v>
      </c>
      <c r="F1119" s="33" t="s">
        <v>462</v>
      </c>
      <c r="G1119" s="33" t="s">
        <v>679</v>
      </c>
      <c r="H1119" s="47">
        <v>1000</v>
      </c>
      <c r="I1119" s="35"/>
      <c r="J1119" s="33">
        <v>5526</v>
      </c>
      <c r="K1119" s="34" t="str">
        <f>VLOOKUP(Table2[[#This Row],[Konto]],Table5[[Konto]:[Konto nimetus]],2,FALSE)</f>
        <v>Sotsiaalteenused</v>
      </c>
      <c r="L1119" s="33">
        <v>55</v>
      </c>
      <c r="M1119" s="33" t="str">
        <f t="shared" si="35"/>
        <v>55</v>
      </c>
      <c r="N1119" s="34" t="str">
        <f>VLOOKUP(Table2[[#This Row],[Tulu/kulu liik2]],Table5[[Tulu/kulu liik]:[Kontode koondnimetus]],4,FALSE)</f>
        <v>Muud tegevuskulud</v>
      </c>
      <c r="O1119" s="34" t="str">
        <f>VLOOKUP(Table2[[#This Row],[Tulu/kulu liik2]],Table5[],6,FALSE)</f>
        <v>Majandamiskulud</v>
      </c>
      <c r="P1119" s="34" t="str">
        <f>VLOOKUP(Table2[[#This Row],[Tulu/kulu liik2]],Table5[],5,FALSE)</f>
        <v>Põhitegevuse kulu</v>
      </c>
    </row>
    <row r="1120" spans="1:16" x14ac:dyDescent="0.25">
      <c r="A1120" t="str">
        <f t="shared" si="34"/>
        <v>10</v>
      </c>
      <c r="B1120" t="s">
        <v>366</v>
      </c>
      <c r="C1120" s="3" t="str">
        <f>VLOOKUP(Table2[[#This Row],[Tegevusala]],Table4[],2,FALSE)</f>
        <v xml:space="preserve"> Muud</v>
      </c>
      <c r="D1120" s="3" t="str">
        <f>VLOOKUP(Table2[[#This Row],[Tegevusala]],Table4[[Tegevusala kood]:[Tegevusala alanimetus]],4,FALSE)</f>
        <v>Muu puuetega inimeste sotsiaalne kaitse</v>
      </c>
      <c r="E1120" s="3" t="str">
        <f>VLOOKUP(Table2[[#This Row],[Tegevusala nimetus2]],Table4[[Tegevusala nimetus]:[Tegevusala koondnimetus]],2,FALSE)</f>
        <v>Sotsiaalne kaitse</v>
      </c>
      <c r="F1120" t="s">
        <v>462</v>
      </c>
      <c r="G1120" t="s">
        <v>711</v>
      </c>
      <c r="H1120" s="40">
        <v>5000</v>
      </c>
      <c r="J1120">
        <v>5511</v>
      </c>
      <c r="K1120" s="3" t="str">
        <f>VLOOKUP(Table2[[#This Row],[Konto]],Table5[[Konto]:[Konto nimetus]],2,FALSE)</f>
        <v>Kinnistute, hoonete ja ruumide majandamiskulud</v>
      </c>
      <c r="L1120">
        <v>55</v>
      </c>
      <c r="M1120" t="str">
        <f t="shared" si="35"/>
        <v>55</v>
      </c>
      <c r="N1120" s="3" t="str">
        <f>VLOOKUP(Table2[[#This Row],[Tulu/kulu liik2]],Table5[[Tulu/kulu liik]:[Kontode koondnimetus]],4,FALSE)</f>
        <v>Muud tegevuskulud</v>
      </c>
      <c r="O1120" s="3" t="str">
        <f>VLOOKUP(Table2[[#This Row],[Tulu/kulu liik2]],Table5[],6,FALSE)</f>
        <v>Majandamiskulud</v>
      </c>
      <c r="P1120" s="3" t="str">
        <f>VLOOKUP(Table2[[#This Row],[Tulu/kulu liik2]],Table5[],5,FALSE)</f>
        <v>Põhitegevuse kulu</v>
      </c>
    </row>
    <row r="1121" spans="1:16" x14ac:dyDescent="0.25">
      <c r="A1121" t="str">
        <f t="shared" si="34"/>
        <v>10</v>
      </c>
      <c r="B1121" t="s">
        <v>367</v>
      </c>
      <c r="C1121" s="3" t="str">
        <f>VLOOKUP(Table2[[#This Row],[Tegevusala]],Table4[],2,FALSE)</f>
        <v xml:space="preserve"> Erivajadustega inimeste tugiteenus</v>
      </c>
      <c r="D1121" s="3" t="str">
        <f>VLOOKUP(Table2[[#This Row],[Tegevusala]],Table4[[Tegevusala kood]:[Tegevusala alanimetus]],4,FALSE)</f>
        <v>Muu puuetega inimeste sotsiaalne kaitse</v>
      </c>
      <c r="E1121" s="3" t="str">
        <f>VLOOKUP(Table2[[#This Row],[Tegevusala nimetus2]],Table4[[Tegevusala nimetus]:[Tegevusala koondnimetus]],2,FALSE)</f>
        <v>Sotsiaalne kaitse</v>
      </c>
      <c r="F1121" t="s">
        <v>462</v>
      </c>
      <c r="G1121" t="s">
        <v>712</v>
      </c>
      <c r="H1121" s="40">
        <v>840</v>
      </c>
      <c r="J1121">
        <v>5526</v>
      </c>
      <c r="K1121" s="3" t="str">
        <f>VLOOKUP(Table2[[#This Row],[Konto]],Table5[[Konto]:[Konto nimetus]],2,FALSE)</f>
        <v>Sotsiaalteenused</v>
      </c>
      <c r="L1121">
        <v>55</v>
      </c>
      <c r="M1121" t="str">
        <f t="shared" si="35"/>
        <v>55</v>
      </c>
      <c r="N1121" s="3" t="str">
        <f>VLOOKUP(Table2[[#This Row],[Tulu/kulu liik2]],Table5[[Tulu/kulu liik]:[Kontode koondnimetus]],4,FALSE)</f>
        <v>Muud tegevuskulud</v>
      </c>
      <c r="O1121" s="3" t="str">
        <f>VLOOKUP(Table2[[#This Row],[Tulu/kulu liik2]],Table5[],6,FALSE)</f>
        <v>Majandamiskulud</v>
      </c>
      <c r="P1121" s="3" t="str">
        <f>VLOOKUP(Table2[[#This Row],[Tulu/kulu liik2]],Table5[],5,FALSE)</f>
        <v>Põhitegevuse kulu</v>
      </c>
    </row>
    <row r="1122" spans="1:16" hidden="1" x14ac:dyDescent="0.25">
      <c r="A1122" s="33" t="str">
        <f t="shared" si="34"/>
        <v>10</v>
      </c>
      <c r="B1122" s="33" t="s">
        <v>369</v>
      </c>
      <c r="C1122" s="34" t="str">
        <f>VLOOKUP(Table2[[#This Row],[Tegevusala]],Table4[],2,FALSE)</f>
        <v xml:space="preserve"> Tugiisikud puuetega inimestele</v>
      </c>
      <c r="D1122" s="34" t="str">
        <f>VLOOKUP(Table2[[#This Row],[Tegevusala]],Table4[[Tegevusala kood]:[Tegevusala alanimetus]],4,FALSE)</f>
        <v>Muu puuetega inimeste sotsiaalne kaitse</v>
      </c>
      <c r="E1122" s="34" t="str">
        <f>VLOOKUP(Table2[[#This Row],[Tegevusala nimetus2]],Table4[[Tegevusala nimetus]:[Tegevusala koondnimetus]],2,FALSE)</f>
        <v>Sotsiaalne kaitse</v>
      </c>
      <c r="F1122" s="33" t="s">
        <v>462</v>
      </c>
      <c r="G1122" s="33" t="s">
        <v>677</v>
      </c>
      <c r="H1122" s="47">
        <v>3000</v>
      </c>
      <c r="I1122" s="35"/>
      <c r="J1122" s="33">
        <v>500</v>
      </c>
      <c r="K1122" s="34" t="str">
        <f>VLOOKUP(Table2[[#This Row],[Konto]],Table5[[Konto]:[Konto nimetus]],2,FALSE)</f>
        <v>Töötasud</v>
      </c>
      <c r="L1122" s="33">
        <v>50</v>
      </c>
      <c r="M1122" s="33" t="str">
        <f t="shared" si="35"/>
        <v>50</v>
      </c>
      <c r="N1122" s="34" t="str">
        <f>VLOOKUP(Table2[[#This Row],[Tulu/kulu liik2]],Table5[[Tulu/kulu liik]:[Kontode koondnimetus]],4,FALSE)</f>
        <v>Muud tegevuskulud</v>
      </c>
      <c r="O1122" s="34" t="str">
        <f>VLOOKUP(Table2[[#This Row],[Tulu/kulu liik2]],Table5[],6,FALSE)</f>
        <v>Tööjõukulud</v>
      </c>
      <c r="P1122" s="34" t="str">
        <f>VLOOKUP(Table2[[#This Row],[Tulu/kulu liik2]],Table5[],5,FALSE)</f>
        <v>Põhitegevuse kulu</v>
      </c>
    </row>
    <row r="1123" spans="1:16" hidden="1" x14ac:dyDescent="0.25">
      <c r="A1123" s="33" t="str">
        <f t="shared" si="34"/>
        <v>10</v>
      </c>
      <c r="B1123" s="33" t="s">
        <v>370</v>
      </c>
      <c r="C1123" s="34" t="str">
        <f>VLOOKUP(Table2[[#This Row],[Tegevusala]],Table4[],2,FALSE)</f>
        <v xml:space="preserve"> Hooldajatoetused</v>
      </c>
      <c r="D1123" s="34" t="str">
        <f>VLOOKUP(Table2[[#This Row],[Tegevusala]],Table4[[Tegevusala kood]:[Tegevusala alanimetus]],4,FALSE)</f>
        <v>Muu puuetega inimeste sotsiaalne kaitse</v>
      </c>
      <c r="E1123" s="34" t="str">
        <f>VLOOKUP(Table2[[#This Row],[Tegevusala nimetus2]],Table4[[Tegevusala nimetus]:[Tegevusala koondnimetus]],2,FALSE)</f>
        <v>Sotsiaalne kaitse</v>
      </c>
      <c r="F1123" s="33" t="s">
        <v>462</v>
      </c>
      <c r="G1123" s="33" t="s">
        <v>704</v>
      </c>
      <c r="H1123" s="47">
        <v>4270</v>
      </c>
      <c r="I1123" s="35"/>
      <c r="J1123" s="33">
        <v>500</v>
      </c>
      <c r="K1123" s="34" t="str">
        <f>VLOOKUP(Table2[[#This Row],[Konto]],Table5[[Konto]:[Konto nimetus]],2,FALSE)</f>
        <v>Töötasud</v>
      </c>
      <c r="L1123" s="33">
        <v>50</v>
      </c>
      <c r="M1123" s="33" t="str">
        <f t="shared" si="35"/>
        <v>50</v>
      </c>
      <c r="N1123" s="34" t="str">
        <f>VLOOKUP(Table2[[#This Row],[Tulu/kulu liik2]],Table5[[Tulu/kulu liik]:[Kontode koondnimetus]],4,FALSE)</f>
        <v>Muud tegevuskulud</v>
      </c>
      <c r="O1123" s="34" t="str">
        <f>VLOOKUP(Table2[[#This Row],[Tulu/kulu liik2]],Table5[],6,FALSE)</f>
        <v>Tööjõukulud</v>
      </c>
      <c r="P1123" s="34" t="str">
        <f>VLOOKUP(Table2[[#This Row],[Tulu/kulu liik2]],Table5[],5,FALSE)</f>
        <v>Põhitegevuse kulu</v>
      </c>
    </row>
    <row r="1124" spans="1:16" x14ac:dyDescent="0.25">
      <c r="A1124" s="8" t="str">
        <f t="shared" si="34"/>
        <v>10</v>
      </c>
      <c r="B1124" s="8" t="s">
        <v>370</v>
      </c>
      <c r="C1124" s="32" t="str">
        <f>VLOOKUP(Table2[[#This Row],[Tegevusala]],Table4[],2,FALSE)</f>
        <v xml:space="preserve"> Hooldajatoetused</v>
      </c>
      <c r="D1124" s="32" t="str">
        <f>VLOOKUP(Table2[[#This Row],[Tegevusala]],Table4[[Tegevusala kood]:[Tegevusala alanimetus]],4,FALSE)</f>
        <v>Muu puuetega inimeste sotsiaalne kaitse</v>
      </c>
      <c r="E1124" s="32" t="str">
        <f>VLOOKUP(Table2[[#This Row],[Tegevusala nimetus2]],Table4[[Tegevusala nimetus]:[Tegevusala koondnimetus]],2,FALSE)</f>
        <v>Sotsiaalne kaitse</v>
      </c>
      <c r="F1124" s="8" t="s">
        <v>462</v>
      </c>
      <c r="G1124" s="8" t="s">
        <v>710</v>
      </c>
      <c r="H1124" s="43">
        <v>17113</v>
      </c>
      <c r="I1124" s="9" t="s">
        <v>82</v>
      </c>
      <c r="J1124" s="8">
        <v>41332</v>
      </c>
      <c r="K1124" s="32" t="str">
        <f>VLOOKUP(Table2[[#This Row],[Konto]],Table5[[Konto]:[Konto nimetus]],2,FALSE)</f>
        <v>Puudega inimese hooldaja toetus</v>
      </c>
      <c r="L1124" s="8">
        <v>413</v>
      </c>
      <c r="M1124" s="8" t="str">
        <f t="shared" si="35"/>
        <v>41</v>
      </c>
      <c r="N1124" s="32" t="str">
        <f>VLOOKUP(Table2[[#This Row],[Tulu/kulu liik2]],Table5[[Tulu/kulu liik]:[Kontode koondnimetus]],4,FALSE)</f>
        <v>Antavad toetused tegevuskuludeks</v>
      </c>
      <c r="O1124" s="32" t="str">
        <f>VLOOKUP(Table2[[#This Row],[Tulu/kulu liik2]],Table5[],6,FALSE)</f>
        <v>Sotsiaalabitoetused ja muud toetused füüsilistele isikutele</v>
      </c>
      <c r="P1124" s="32" t="str">
        <f>VLOOKUP(Table2[[#This Row],[Tulu/kulu liik2]],Table5[],5,FALSE)</f>
        <v>Põhitegevuse kulu</v>
      </c>
    </row>
    <row r="1125" spans="1:16" hidden="1" x14ac:dyDescent="0.25">
      <c r="A1125" s="8" t="str">
        <f t="shared" si="34"/>
        <v>10</v>
      </c>
      <c r="B1125" s="8" t="s">
        <v>370</v>
      </c>
      <c r="C1125" s="32" t="str">
        <f>VLOOKUP(Table2[[#This Row],[Tegevusala]],Table4[],2,FALSE)</f>
        <v xml:space="preserve"> Hooldajatoetused</v>
      </c>
      <c r="D1125" s="32" t="str">
        <f>VLOOKUP(Table2[[#This Row],[Tegevusala]],Table4[[Tegevusala kood]:[Tegevusala alanimetus]],4,FALSE)</f>
        <v>Muu puuetega inimeste sotsiaalne kaitse</v>
      </c>
      <c r="E1125" s="32" t="str">
        <f>VLOOKUP(Table2[[#This Row],[Tegevusala nimetus2]],Table4[[Tegevusala nimetus]:[Tegevusala koondnimetus]],2,FALSE)</f>
        <v>Sotsiaalne kaitse</v>
      </c>
      <c r="F1125" s="8" t="s">
        <v>462</v>
      </c>
      <c r="G1125" s="8" t="s">
        <v>82</v>
      </c>
      <c r="H1125" s="43">
        <v>-17113</v>
      </c>
      <c r="I1125" s="8" t="s">
        <v>710</v>
      </c>
      <c r="J1125" s="8">
        <v>35201</v>
      </c>
      <c r="K1125" s="32" t="str">
        <f>VLOOKUP(Table2[[#This Row],[Konto]],Table5[[Konto]:[Konto nimetus]],2,FALSE)</f>
        <v>Toetusfond</v>
      </c>
      <c r="L1125" s="8">
        <v>35201</v>
      </c>
      <c r="M1125" s="8" t="str">
        <f t="shared" si="35"/>
        <v>35</v>
      </c>
      <c r="N1125" s="32" t="str">
        <f>VLOOKUP(Table2[[#This Row],[Tulu/kulu liik2]],Table5[[Tulu/kulu liik]:[Kontode koondnimetus]],4,FALSE)</f>
        <v>Saadavad toetused tegevuskuludeks</v>
      </c>
      <c r="O1125" s="32" t="str">
        <f>VLOOKUP(Table2[[#This Row],[Tulu/kulu liik2]],Table5[],6,FALSE)</f>
        <v>Toetusfond</v>
      </c>
      <c r="P1125" s="32" t="str">
        <f>VLOOKUP(Table2[[#This Row],[Tulu/kulu liik2]],Table5[],5,FALSE)</f>
        <v>Põhitegevuse tulu</v>
      </c>
    </row>
    <row r="1126" spans="1:16" x14ac:dyDescent="0.25">
      <c r="A1126" t="str">
        <f t="shared" si="34"/>
        <v>10</v>
      </c>
      <c r="B1126" t="s">
        <v>372</v>
      </c>
      <c r="C1126" s="3" t="str">
        <f>VLOOKUP(Table2[[#This Row],[Tegevusala]],Table4[],2,FALSE)</f>
        <v xml:space="preserve"> Tammiku Kodu</v>
      </c>
      <c r="D1126" s="3" t="str">
        <f>VLOOKUP(Table2[[#This Row],[Tegevusala]],Table4[[Tegevusala kood]:[Tegevusala alanimetus]],4,FALSE)</f>
        <v>Eakate sotsiaalhoolekande asutused</v>
      </c>
      <c r="E1126" s="3" t="str">
        <f>VLOOKUP(Table2[[#This Row],[Tegevusala nimetus2]],Table4[[Tegevusala nimetus]:[Tegevusala koondnimetus]],2,FALSE)</f>
        <v>Sotsiaalne kaitse</v>
      </c>
      <c r="F1126" t="s">
        <v>1594</v>
      </c>
      <c r="G1126" t="s">
        <v>1597</v>
      </c>
      <c r="H1126" s="40">
        <v>2000</v>
      </c>
      <c r="J1126">
        <v>5500</v>
      </c>
      <c r="K1126" s="3" t="str">
        <f>VLOOKUP(Table2[[#This Row],[Konto]],Table5[[Konto]:[Konto nimetus]],2,FALSE)</f>
        <v>Administreerimiskulud</v>
      </c>
      <c r="L1126">
        <v>55</v>
      </c>
      <c r="M1126" t="str">
        <f t="shared" si="35"/>
        <v>55</v>
      </c>
      <c r="N1126" s="3" t="str">
        <f>VLOOKUP(Table2[[#This Row],[Tulu/kulu liik2]],Table5[[Tulu/kulu liik]:[Kontode koondnimetus]],4,FALSE)</f>
        <v>Muud tegevuskulud</v>
      </c>
      <c r="O1126" s="3" t="str">
        <f>VLOOKUP(Table2[[#This Row],[Tulu/kulu liik2]],Table5[],6,FALSE)</f>
        <v>Majandamiskulud</v>
      </c>
      <c r="P1126" s="3" t="str">
        <f>VLOOKUP(Table2[[#This Row],[Tulu/kulu liik2]],Table5[],5,FALSE)</f>
        <v>Põhitegevuse kulu</v>
      </c>
    </row>
    <row r="1127" spans="1:16" x14ac:dyDescent="0.25">
      <c r="A1127" t="str">
        <f t="shared" si="34"/>
        <v>10</v>
      </c>
      <c r="B1127" t="s">
        <v>372</v>
      </c>
      <c r="C1127" s="3" t="str">
        <f>VLOOKUP(Table2[[#This Row],[Tegevusala]],Table4[],2,FALSE)</f>
        <v xml:space="preserve"> Tammiku Kodu</v>
      </c>
      <c r="D1127" s="3" t="str">
        <f>VLOOKUP(Table2[[#This Row],[Tegevusala]],Table4[[Tegevusala kood]:[Tegevusala alanimetus]],4,FALSE)</f>
        <v>Eakate sotsiaalhoolekande asutused</v>
      </c>
      <c r="E1127" s="3" t="str">
        <f>VLOOKUP(Table2[[#This Row],[Tegevusala nimetus2]],Table4[[Tegevusala nimetus]:[Tegevusala koondnimetus]],2,FALSE)</f>
        <v>Sotsiaalne kaitse</v>
      </c>
      <c r="F1127" t="s">
        <v>1594</v>
      </c>
      <c r="G1127" t="s">
        <v>1598</v>
      </c>
      <c r="H1127" s="40">
        <v>150</v>
      </c>
      <c r="I1127" s="2" t="s">
        <v>1601</v>
      </c>
      <c r="J1127">
        <v>5500</v>
      </c>
      <c r="K1127" s="3" t="str">
        <f>VLOOKUP(Table2[[#This Row],[Konto]],Table5[[Konto]:[Konto nimetus]],2,FALSE)</f>
        <v>Administreerimiskulud</v>
      </c>
      <c r="L1127">
        <v>55</v>
      </c>
      <c r="M1127" t="str">
        <f t="shared" si="35"/>
        <v>55</v>
      </c>
      <c r="N1127" s="3" t="str">
        <f>VLOOKUP(Table2[[#This Row],[Tulu/kulu liik2]],Table5[[Tulu/kulu liik]:[Kontode koondnimetus]],4,FALSE)</f>
        <v>Muud tegevuskulud</v>
      </c>
      <c r="O1127" s="3" t="str">
        <f>VLOOKUP(Table2[[#This Row],[Tulu/kulu liik2]],Table5[],6,FALSE)</f>
        <v>Majandamiskulud</v>
      </c>
      <c r="P1127" s="3" t="str">
        <f>VLOOKUP(Table2[[#This Row],[Tulu/kulu liik2]],Table5[],5,FALSE)</f>
        <v>Põhitegevuse kulu</v>
      </c>
    </row>
    <row r="1128" spans="1:16" x14ac:dyDescent="0.25">
      <c r="A1128" t="str">
        <f t="shared" si="34"/>
        <v>10</v>
      </c>
      <c r="B1128" t="s">
        <v>372</v>
      </c>
      <c r="C1128" s="3" t="str">
        <f>VLOOKUP(Table2[[#This Row],[Tegevusala]],Table4[],2,FALSE)</f>
        <v xml:space="preserve"> Tammiku Kodu</v>
      </c>
      <c r="D1128" s="3" t="str">
        <f>VLOOKUP(Table2[[#This Row],[Tegevusala]],Table4[[Tegevusala kood]:[Tegevusala alanimetus]],4,FALSE)</f>
        <v>Eakate sotsiaalhoolekande asutused</v>
      </c>
      <c r="E1128" s="3" t="str">
        <f>VLOOKUP(Table2[[#This Row],[Tegevusala nimetus2]],Table4[[Tegevusala nimetus]:[Tegevusala koondnimetus]],2,FALSE)</f>
        <v>Sotsiaalne kaitse</v>
      </c>
      <c r="F1128" t="s">
        <v>1594</v>
      </c>
      <c r="G1128" t="s">
        <v>1599</v>
      </c>
      <c r="H1128" s="40">
        <v>174</v>
      </c>
      <c r="I1128" s="2" t="s">
        <v>1602</v>
      </c>
      <c r="J1128">
        <v>5500</v>
      </c>
      <c r="K1128" s="3" t="str">
        <f>VLOOKUP(Table2[[#This Row],[Konto]],Table5[[Konto]:[Konto nimetus]],2,FALSE)</f>
        <v>Administreerimiskulud</v>
      </c>
      <c r="L1128">
        <v>55</v>
      </c>
      <c r="M1128" t="str">
        <f t="shared" si="35"/>
        <v>55</v>
      </c>
      <c r="N1128" s="3" t="str">
        <f>VLOOKUP(Table2[[#This Row],[Tulu/kulu liik2]],Table5[[Tulu/kulu liik]:[Kontode koondnimetus]],4,FALSE)</f>
        <v>Muud tegevuskulud</v>
      </c>
      <c r="O1128" s="3" t="str">
        <f>VLOOKUP(Table2[[#This Row],[Tulu/kulu liik2]],Table5[],6,FALSE)</f>
        <v>Majandamiskulud</v>
      </c>
      <c r="P1128" s="3" t="str">
        <f>VLOOKUP(Table2[[#This Row],[Tulu/kulu liik2]],Table5[],5,FALSE)</f>
        <v>Põhitegevuse kulu</v>
      </c>
    </row>
    <row r="1129" spans="1:16" x14ac:dyDescent="0.25">
      <c r="A1129" t="str">
        <f t="shared" si="34"/>
        <v>10</v>
      </c>
      <c r="B1129" t="s">
        <v>372</v>
      </c>
      <c r="C1129" s="3" t="str">
        <f>VLOOKUP(Table2[[#This Row],[Tegevusala]],Table4[],2,FALSE)</f>
        <v xml:space="preserve"> Tammiku Kodu</v>
      </c>
      <c r="D1129" s="3" t="str">
        <f>VLOOKUP(Table2[[#This Row],[Tegevusala]],Table4[[Tegevusala kood]:[Tegevusala alanimetus]],4,FALSE)</f>
        <v>Eakate sotsiaalhoolekande asutused</v>
      </c>
      <c r="E1129" s="3" t="str">
        <f>VLOOKUP(Table2[[#This Row],[Tegevusala nimetus2]],Table4[[Tegevusala nimetus]:[Tegevusala koondnimetus]],2,FALSE)</f>
        <v>Sotsiaalne kaitse</v>
      </c>
      <c r="F1129" t="s">
        <v>1594</v>
      </c>
      <c r="G1129" t="s">
        <v>1600</v>
      </c>
      <c r="H1129" s="40">
        <v>76</v>
      </c>
      <c r="I1129" s="2" t="s">
        <v>1603</v>
      </c>
      <c r="J1129">
        <v>5500</v>
      </c>
      <c r="K1129" s="3" t="str">
        <f>VLOOKUP(Table2[[#This Row],[Konto]],Table5[[Konto]:[Konto nimetus]],2,FALSE)</f>
        <v>Administreerimiskulud</v>
      </c>
      <c r="L1129">
        <v>55</v>
      </c>
      <c r="M1129" t="str">
        <f t="shared" si="35"/>
        <v>55</v>
      </c>
      <c r="N1129" s="3" t="str">
        <f>VLOOKUP(Table2[[#This Row],[Tulu/kulu liik2]],Table5[[Tulu/kulu liik]:[Kontode koondnimetus]],4,FALSE)</f>
        <v>Muud tegevuskulud</v>
      </c>
      <c r="O1129" s="3" t="str">
        <f>VLOOKUP(Table2[[#This Row],[Tulu/kulu liik2]],Table5[],6,FALSE)</f>
        <v>Majandamiskulud</v>
      </c>
      <c r="P1129" s="3" t="str">
        <f>VLOOKUP(Table2[[#This Row],[Tulu/kulu liik2]],Table5[],5,FALSE)</f>
        <v>Põhitegevuse kulu</v>
      </c>
    </row>
    <row r="1130" spans="1:16" x14ac:dyDescent="0.25">
      <c r="A1130" t="str">
        <f t="shared" si="34"/>
        <v>10</v>
      </c>
      <c r="B1130" t="s">
        <v>372</v>
      </c>
      <c r="C1130" s="3" t="str">
        <f>VLOOKUP(Table2[[#This Row],[Tegevusala]],Table4[],2,FALSE)</f>
        <v xml:space="preserve"> Tammiku Kodu</v>
      </c>
      <c r="D1130" s="3" t="str">
        <f>VLOOKUP(Table2[[#This Row],[Tegevusala]],Table4[[Tegevusala kood]:[Tegevusala alanimetus]],4,FALSE)</f>
        <v>Eakate sotsiaalhoolekande asutused</v>
      </c>
      <c r="E1130" s="3" t="str">
        <f>VLOOKUP(Table2[[#This Row],[Tegevusala nimetus2]],Table4[[Tegevusala nimetus]:[Tegevusala koondnimetus]],2,FALSE)</f>
        <v>Sotsiaalne kaitse</v>
      </c>
      <c r="F1130" t="s">
        <v>1594</v>
      </c>
      <c r="G1130" t="s">
        <v>176</v>
      </c>
      <c r="H1130" s="40">
        <v>50</v>
      </c>
      <c r="I1130" s="2" t="s">
        <v>1605</v>
      </c>
      <c r="J1130">
        <v>5504</v>
      </c>
      <c r="K1130" s="3" t="str">
        <f>VLOOKUP(Table2[[#This Row],[Konto]],Table5[[Konto]:[Konto nimetus]],2,FALSE)</f>
        <v>Koolituskulud</v>
      </c>
      <c r="L1130">
        <v>55</v>
      </c>
      <c r="M1130" t="str">
        <f t="shared" si="35"/>
        <v>55</v>
      </c>
      <c r="N1130" s="3" t="str">
        <f>VLOOKUP(Table2[[#This Row],[Tulu/kulu liik2]],Table5[[Tulu/kulu liik]:[Kontode koondnimetus]],4,FALSE)</f>
        <v>Muud tegevuskulud</v>
      </c>
      <c r="O1130" s="3" t="str">
        <f>VLOOKUP(Table2[[#This Row],[Tulu/kulu liik2]],Table5[],6,FALSE)</f>
        <v>Majandamiskulud</v>
      </c>
      <c r="P1130" s="3" t="str">
        <f>VLOOKUP(Table2[[#This Row],[Tulu/kulu liik2]],Table5[],5,FALSE)</f>
        <v>Põhitegevuse kulu</v>
      </c>
    </row>
    <row r="1131" spans="1:16" x14ac:dyDescent="0.25">
      <c r="A1131" t="str">
        <f t="shared" si="34"/>
        <v>10</v>
      </c>
      <c r="B1131" t="s">
        <v>372</v>
      </c>
      <c r="C1131" s="3" t="str">
        <f>VLOOKUP(Table2[[#This Row],[Tegevusala]],Table4[],2,FALSE)</f>
        <v xml:space="preserve"> Tammiku Kodu</v>
      </c>
      <c r="D1131" s="3" t="str">
        <f>VLOOKUP(Table2[[#This Row],[Tegevusala]],Table4[[Tegevusala kood]:[Tegevusala alanimetus]],4,FALSE)</f>
        <v>Eakate sotsiaalhoolekande asutused</v>
      </c>
      <c r="E1131" s="3" t="str">
        <f>VLOOKUP(Table2[[#This Row],[Tegevusala nimetus2]],Table4[[Tegevusala nimetus]:[Tegevusala koondnimetus]],2,FALSE)</f>
        <v>Sotsiaalne kaitse</v>
      </c>
      <c r="F1131" t="s">
        <v>1594</v>
      </c>
      <c r="G1131" t="s">
        <v>1604</v>
      </c>
      <c r="H1131" s="40">
        <v>150</v>
      </c>
      <c r="I1131" s="2" t="s">
        <v>1606</v>
      </c>
      <c r="J1131">
        <v>5504</v>
      </c>
      <c r="K1131" s="3" t="str">
        <f>VLOOKUP(Table2[[#This Row],[Konto]],Table5[[Konto]:[Konto nimetus]],2,FALSE)</f>
        <v>Koolituskulud</v>
      </c>
      <c r="L1131">
        <v>55</v>
      </c>
      <c r="M1131" t="str">
        <f t="shared" si="35"/>
        <v>55</v>
      </c>
      <c r="N1131" s="3" t="str">
        <f>VLOOKUP(Table2[[#This Row],[Tulu/kulu liik2]],Table5[[Tulu/kulu liik]:[Kontode koondnimetus]],4,FALSE)</f>
        <v>Muud tegevuskulud</v>
      </c>
      <c r="O1131" s="3" t="str">
        <f>VLOOKUP(Table2[[#This Row],[Tulu/kulu liik2]],Table5[],6,FALSE)</f>
        <v>Majandamiskulud</v>
      </c>
      <c r="P1131" s="3" t="str">
        <f>VLOOKUP(Table2[[#This Row],[Tulu/kulu liik2]],Table5[],5,FALSE)</f>
        <v>Põhitegevuse kulu</v>
      </c>
    </row>
    <row r="1132" spans="1:16" x14ac:dyDescent="0.25">
      <c r="A1132" t="str">
        <f t="shared" si="34"/>
        <v>10</v>
      </c>
      <c r="B1132" t="s">
        <v>372</v>
      </c>
      <c r="C1132" s="3" t="str">
        <f>VLOOKUP(Table2[[#This Row],[Tegevusala]],Table4[],2,FALSE)</f>
        <v xml:space="preserve"> Tammiku Kodu</v>
      </c>
      <c r="D1132" s="3" t="str">
        <f>VLOOKUP(Table2[[#This Row],[Tegevusala]],Table4[[Tegevusala kood]:[Tegevusala alanimetus]],4,FALSE)</f>
        <v>Eakate sotsiaalhoolekande asutused</v>
      </c>
      <c r="E1132" s="3" t="str">
        <f>VLOOKUP(Table2[[#This Row],[Tegevusala nimetus2]],Table4[[Tegevusala nimetus]:[Tegevusala koondnimetus]],2,FALSE)</f>
        <v>Sotsiaalne kaitse</v>
      </c>
      <c r="F1132" t="s">
        <v>1594</v>
      </c>
      <c r="G1132" t="s">
        <v>1624</v>
      </c>
      <c r="H1132" s="40">
        <v>800</v>
      </c>
      <c r="J1132">
        <v>5513</v>
      </c>
      <c r="K1132" s="3" t="str">
        <f>VLOOKUP(Table2[[#This Row],[Konto]],Table5[[Konto]:[Konto nimetus]],2,FALSE)</f>
        <v>Sõidukite ülalpidamise kulud</v>
      </c>
      <c r="L1132">
        <v>55</v>
      </c>
      <c r="M1132" t="str">
        <f t="shared" si="35"/>
        <v>55</v>
      </c>
      <c r="N1132" s="3" t="str">
        <f>VLOOKUP(Table2[[#This Row],[Tulu/kulu liik2]],Table5[[Tulu/kulu liik]:[Kontode koondnimetus]],4,FALSE)</f>
        <v>Muud tegevuskulud</v>
      </c>
      <c r="O1132" s="3" t="str">
        <f>VLOOKUP(Table2[[#This Row],[Tulu/kulu liik2]],Table5[],6,FALSE)</f>
        <v>Majandamiskulud</v>
      </c>
      <c r="P1132" s="3" t="str">
        <f>VLOOKUP(Table2[[#This Row],[Tulu/kulu liik2]],Table5[],5,FALSE)</f>
        <v>Põhitegevuse kulu</v>
      </c>
    </row>
    <row r="1133" spans="1:16" x14ac:dyDescent="0.25">
      <c r="A1133" t="str">
        <f t="shared" si="34"/>
        <v>10</v>
      </c>
      <c r="B1133" t="s">
        <v>372</v>
      </c>
      <c r="C1133" s="3" t="str">
        <f>VLOOKUP(Table2[[#This Row],[Tegevusala]],Table4[],2,FALSE)</f>
        <v xml:space="preserve"> Tammiku Kodu</v>
      </c>
      <c r="D1133" s="3" t="str">
        <f>VLOOKUP(Table2[[#This Row],[Tegevusala]],Table4[[Tegevusala kood]:[Tegevusala alanimetus]],4,FALSE)</f>
        <v>Eakate sotsiaalhoolekande asutused</v>
      </c>
      <c r="E1133" s="3" t="str">
        <f>VLOOKUP(Table2[[#This Row],[Tegevusala nimetus2]],Table4[[Tegevusala nimetus]:[Tegevusala koondnimetus]],2,FALSE)</f>
        <v>Sotsiaalne kaitse</v>
      </c>
      <c r="F1133" t="s">
        <v>1594</v>
      </c>
      <c r="G1133" t="s">
        <v>1625</v>
      </c>
      <c r="H1133" s="40">
        <v>432</v>
      </c>
      <c r="J1133">
        <v>5513</v>
      </c>
      <c r="K1133" s="3" t="str">
        <f>VLOOKUP(Table2[[#This Row],[Konto]],Table5[[Konto]:[Konto nimetus]],2,FALSE)</f>
        <v>Sõidukite ülalpidamise kulud</v>
      </c>
      <c r="L1133">
        <v>55</v>
      </c>
      <c r="M1133" t="str">
        <f t="shared" si="35"/>
        <v>55</v>
      </c>
      <c r="N1133" s="3" t="str">
        <f>VLOOKUP(Table2[[#This Row],[Tulu/kulu liik2]],Table5[[Tulu/kulu liik]:[Kontode koondnimetus]],4,FALSE)</f>
        <v>Muud tegevuskulud</v>
      </c>
      <c r="O1133" s="3" t="str">
        <f>VLOOKUP(Table2[[#This Row],[Tulu/kulu liik2]],Table5[],6,FALSE)</f>
        <v>Majandamiskulud</v>
      </c>
      <c r="P1133" s="3" t="str">
        <f>VLOOKUP(Table2[[#This Row],[Tulu/kulu liik2]],Table5[],5,FALSE)</f>
        <v>Põhitegevuse kulu</v>
      </c>
    </row>
    <row r="1134" spans="1:16" x14ac:dyDescent="0.25">
      <c r="A1134" t="str">
        <f t="shared" si="34"/>
        <v>10</v>
      </c>
      <c r="B1134" t="s">
        <v>372</v>
      </c>
      <c r="C1134" s="3" t="str">
        <f>VLOOKUP(Table2[[#This Row],[Tegevusala]],Table4[],2,FALSE)</f>
        <v xml:space="preserve"> Tammiku Kodu</v>
      </c>
      <c r="D1134" s="3" t="str">
        <f>VLOOKUP(Table2[[#This Row],[Tegevusala]],Table4[[Tegevusala kood]:[Tegevusala alanimetus]],4,FALSE)</f>
        <v>Eakate sotsiaalhoolekande asutused</v>
      </c>
      <c r="E1134" s="3" t="str">
        <f>VLOOKUP(Table2[[#This Row],[Tegevusala nimetus2]],Table4[[Tegevusala nimetus]:[Tegevusala koondnimetus]],2,FALSE)</f>
        <v>Sotsiaalne kaitse</v>
      </c>
      <c r="F1134" t="s">
        <v>1594</v>
      </c>
      <c r="G1134" t="s">
        <v>1627</v>
      </c>
      <c r="H1134" s="40">
        <v>19535</v>
      </c>
      <c r="I1134" s="2" t="s">
        <v>1628</v>
      </c>
      <c r="J1134">
        <v>5521</v>
      </c>
      <c r="K1134" s="3" t="str">
        <f>VLOOKUP(Table2[[#This Row],[Konto]],Table5[[Konto]:[Konto nimetus]],2,FALSE)</f>
        <v>Toiduained ja toitlustusteenused</v>
      </c>
      <c r="L1134">
        <v>55</v>
      </c>
      <c r="M1134" t="str">
        <f t="shared" si="35"/>
        <v>55</v>
      </c>
      <c r="N1134" s="3" t="str">
        <f>VLOOKUP(Table2[[#This Row],[Tulu/kulu liik2]],Table5[[Tulu/kulu liik]:[Kontode koondnimetus]],4,FALSE)</f>
        <v>Muud tegevuskulud</v>
      </c>
      <c r="O1134" s="3" t="str">
        <f>VLOOKUP(Table2[[#This Row],[Tulu/kulu liik2]],Table5[],6,FALSE)</f>
        <v>Majandamiskulud</v>
      </c>
      <c r="P1134" s="3" t="str">
        <f>VLOOKUP(Table2[[#This Row],[Tulu/kulu liik2]],Table5[],5,FALSE)</f>
        <v>Põhitegevuse kulu</v>
      </c>
    </row>
    <row r="1135" spans="1:16" x14ac:dyDescent="0.25">
      <c r="A1135" t="str">
        <f t="shared" si="34"/>
        <v>10</v>
      </c>
      <c r="B1135" t="s">
        <v>372</v>
      </c>
      <c r="C1135" s="3" t="str">
        <f>VLOOKUP(Table2[[#This Row],[Tegevusala]],Table4[],2,FALSE)</f>
        <v xml:space="preserve"> Tammiku Kodu</v>
      </c>
      <c r="D1135" s="3" t="str">
        <f>VLOOKUP(Table2[[#This Row],[Tegevusala]],Table4[[Tegevusala kood]:[Tegevusala alanimetus]],4,FALSE)</f>
        <v>Eakate sotsiaalhoolekande asutused</v>
      </c>
      <c r="E1135" s="3" t="str">
        <f>VLOOKUP(Table2[[#This Row],[Tegevusala nimetus2]],Table4[[Tegevusala nimetus]:[Tegevusala koondnimetus]],2,FALSE)</f>
        <v>Sotsiaalne kaitse</v>
      </c>
      <c r="F1135" t="s">
        <v>1594</v>
      </c>
      <c r="G1135" t="s">
        <v>1629</v>
      </c>
      <c r="H1135" s="40">
        <v>100</v>
      </c>
      <c r="I1135" s="2" t="s">
        <v>1633</v>
      </c>
      <c r="J1135">
        <v>5522</v>
      </c>
      <c r="K1135" s="3" t="str">
        <f>VLOOKUP(Table2[[#This Row],[Konto]],Table5[[Konto]:[Konto nimetus]],2,FALSE)</f>
        <v>Meditsiinikulud ja hügieenitarbed</v>
      </c>
      <c r="L1135">
        <v>55</v>
      </c>
      <c r="M1135" t="str">
        <f t="shared" si="35"/>
        <v>55</v>
      </c>
      <c r="N1135" s="3" t="str">
        <f>VLOOKUP(Table2[[#This Row],[Tulu/kulu liik2]],Table5[[Tulu/kulu liik]:[Kontode koondnimetus]],4,FALSE)</f>
        <v>Muud tegevuskulud</v>
      </c>
      <c r="O1135" s="3" t="str">
        <f>VLOOKUP(Table2[[#This Row],[Tulu/kulu liik2]],Table5[],6,FALSE)</f>
        <v>Majandamiskulud</v>
      </c>
      <c r="P1135" s="3" t="str">
        <f>VLOOKUP(Table2[[#This Row],[Tulu/kulu liik2]],Table5[],5,FALSE)</f>
        <v>Põhitegevuse kulu</v>
      </c>
    </row>
    <row r="1136" spans="1:16" x14ac:dyDescent="0.25">
      <c r="A1136" t="str">
        <f t="shared" si="34"/>
        <v>10</v>
      </c>
      <c r="B1136" t="s">
        <v>372</v>
      </c>
      <c r="C1136" s="3" t="str">
        <f>VLOOKUP(Table2[[#This Row],[Tegevusala]],Table4[],2,FALSE)</f>
        <v xml:space="preserve"> Tammiku Kodu</v>
      </c>
      <c r="D1136" s="3" t="str">
        <f>VLOOKUP(Table2[[#This Row],[Tegevusala]],Table4[[Tegevusala kood]:[Tegevusala alanimetus]],4,FALSE)</f>
        <v>Eakate sotsiaalhoolekande asutused</v>
      </c>
      <c r="E1136" s="3" t="str">
        <f>VLOOKUP(Table2[[#This Row],[Tegevusala nimetus2]],Table4[[Tegevusala nimetus]:[Tegevusala koondnimetus]],2,FALSE)</f>
        <v>Sotsiaalne kaitse</v>
      </c>
      <c r="F1136" t="s">
        <v>1594</v>
      </c>
      <c r="G1136" t="s">
        <v>1630</v>
      </c>
      <c r="H1136" s="40">
        <v>1000</v>
      </c>
      <c r="I1136" s="2" t="s">
        <v>1634</v>
      </c>
      <c r="J1136">
        <v>5522</v>
      </c>
      <c r="K1136" s="3" t="str">
        <f>VLOOKUP(Table2[[#This Row],[Konto]],Table5[[Konto]:[Konto nimetus]],2,FALSE)</f>
        <v>Meditsiinikulud ja hügieenitarbed</v>
      </c>
      <c r="L1136">
        <v>55</v>
      </c>
      <c r="M1136" t="str">
        <f t="shared" si="35"/>
        <v>55</v>
      </c>
      <c r="N1136" s="3" t="str">
        <f>VLOOKUP(Table2[[#This Row],[Tulu/kulu liik2]],Table5[[Tulu/kulu liik]:[Kontode koondnimetus]],4,FALSE)</f>
        <v>Muud tegevuskulud</v>
      </c>
      <c r="O1136" s="3" t="str">
        <f>VLOOKUP(Table2[[#This Row],[Tulu/kulu liik2]],Table5[],6,FALSE)</f>
        <v>Majandamiskulud</v>
      </c>
      <c r="P1136" s="3" t="str">
        <f>VLOOKUP(Table2[[#This Row],[Tulu/kulu liik2]],Table5[],5,FALSE)</f>
        <v>Põhitegevuse kulu</v>
      </c>
    </row>
    <row r="1137" spans="1:16" x14ac:dyDescent="0.25">
      <c r="A1137" t="str">
        <f t="shared" si="34"/>
        <v>10</v>
      </c>
      <c r="B1137" t="s">
        <v>372</v>
      </c>
      <c r="C1137" s="3" t="str">
        <f>VLOOKUP(Table2[[#This Row],[Tegevusala]],Table4[],2,FALSE)</f>
        <v xml:space="preserve"> Tammiku Kodu</v>
      </c>
      <c r="D1137" s="3" t="str">
        <f>VLOOKUP(Table2[[#This Row],[Tegevusala]],Table4[[Tegevusala kood]:[Tegevusala alanimetus]],4,FALSE)</f>
        <v>Eakate sotsiaalhoolekande asutused</v>
      </c>
      <c r="E1137" s="3" t="str">
        <f>VLOOKUP(Table2[[#This Row],[Tegevusala nimetus2]],Table4[[Tegevusala nimetus]:[Tegevusala koondnimetus]],2,FALSE)</f>
        <v>Sotsiaalne kaitse</v>
      </c>
      <c r="F1137" t="s">
        <v>1594</v>
      </c>
      <c r="G1137" t="s">
        <v>1631</v>
      </c>
      <c r="H1137" s="40">
        <v>1850</v>
      </c>
      <c r="I1137" s="2" t="s">
        <v>1635</v>
      </c>
      <c r="J1137">
        <v>5522</v>
      </c>
      <c r="K1137" s="3" t="str">
        <f>VLOOKUP(Table2[[#This Row],[Konto]],Table5[[Konto]:[Konto nimetus]],2,FALSE)</f>
        <v>Meditsiinikulud ja hügieenitarbed</v>
      </c>
      <c r="L1137">
        <v>55</v>
      </c>
      <c r="M1137" t="str">
        <f t="shared" si="35"/>
        <v>55</v>
      </c>
      <c r="N1137" s="3" t="str">
        <f>VLOOKUP(Table2[[#This Row],[Tulu/kulu liik2]],Table5[[Tulu/kulu liik]:[Kontode koondnimetus]],4,FALSE)</f>
        <v>Muud tegevuskulud</v>
      </c>
      <c r="O1137" s="3" t="str">
        <f>VLOOKUP(Table2[[#This Row],[Tulu/kulu liik2]],Table5[],6,FALSE)</f>
        <v>Majandamiskulud</v>
      </c>
      <c r="P1137" s="3" t="str">
        <f>VLOOKUP(Table2[[#This Row],[Tulu/kulu liik2]],Table5[],5,FALSE)</f>
        <v>Põhitegevuse kulu</v>
      </c>
    </row>
    <row r="1138" spans="1:16" x14ac:dyDescent="0.25">
      <c r="A1138" t="str">
        <f t="shared" si="34"/>
        <v>10</v>
      </c>
      <c r="B1138" t="s">
        <v>372</v>
      </c>
      <c r="C1138" s="3" t="str">
        <f>VLOOKUP(Table2[[#This Row],[Tegevusala]],Table4[],2,FALSE)</f>
        <v xml:space="preserve"> Tammiku Kodu</v>
      </c>
      <c r="D1138" s="3" t="str">
        <f>VLOOKUP(Table2[[#This Row],[Tegevusala]],Table4[[Tegevusala kood]:[Tegevusala alanimetus]],4,FALSE)</f>
        <v>Eakate sotsiaalhoolekande asutused</v>
      </c>
      <c r="E1138" s="3" t="str">
        <f>VLOOKUP(Table2[[#This Row],[Tegevusala nimetus2]],Table4[[Tegevusala nimetus]:[Tegevusala koondnimetus]],2,FALSE)</f>
        <v>Sotsiaalne kaitse</v>
      </c>
      <c r="F1138" t="s">
        <v>1594</v>
      </c>
      <c r="G1138" t="s">
        <v>1253</v>
      </c>
      <c r="H1138" s="40">
        <v>2060</v>
      </c>
      <c r="I1138" s="2" t="s">
        <v>1636</v>
      </c>
      <c r="J1138">
        <v>5522</v>
      </c>
      <c r="K1138" s="3" t="str">
        <f>VLOOKUP(Table2[[#This Row],[Konto]],Table5[[Konto]:[Konto nimetus]],2,FALSE)</f>
        <v>Meditsiinikulud ja hügieenitarbed</v>
      </c>
      <c r="L1138">
        <v>55</v>
      </c>
      <c r="M1138" t="str">
        <f t="shared" si="35"/>
        <v>55</v>
      </c>
      <c r="N1138" s="3" t="str">
        <f>VLOOKUP(Table2[[#This Row],[Tulu/kulu liik2]],Table5[[Tulu/kulu liik]:[Kontode koondnimetus]],4,FALSE)</f>
        <v>Muud tegevuskulud</v>
      </c>
      <c r="O1138" s="3" t="str">
        <f>VLOOKUP(Table2[[#This Row],[Tulu/kulu liik2]],Table5[],6,FALSE)</f>
        <v>Majandamiskulud</v>
      </c>
      <c r="P1138" s="3" t="str">
        <f>VLOOKUP(Table2[[#This Row],[Tulu/kulu liik2]],Table5[],5,FALSE)</f>
        <v>Põhitegevuse kulu</v>
      </c>
    </row>
    <row r="1139" spans="1:16" x14ac:dyDescent="0.25">
      <c r="A1139" t="str">
        <f t="shared" si="34"/>
        <v>10</v>
      </c>
      <c r="B1139" t="s">
        <v>372</v>
      </c>
      <c r="C1139" s="3" t="str">
        <f>VLOOKUP(Table2[[#This Row],[Tegevusala]],Table4[],2,FALSE)</f>
        <v xml:space="preserve"> Tammiku Kodu</v>
      </c>
      <c r="D1139" s="3" t="str">
        <f>VLOOKUP(Table2[[#This Row],[Tegevusala]],Table4[[Tegevusala kood]:[Tegevusala alanimetus]],4,FALSE)</f>
        <v>Eakate sotsiaalhoolekande asutused</v>
      </c>
      <c r="E1139" s="3" t="str">
        <f>VLOOKUP(Table2[[#This Row],[Tegevusala nimetus2]],Table4[[Tegevusala nimetus]:[Tegevusala koondnimetus]],2,FALSE)</f>
        <v>Sotsiaalne kaitse</v>
      </c>
      <c r="F1139" t="s">
        <v>1594</v>
      </c>
      <c r="G1139" t="s">
        <v>1632</v>
      </c>
      <c r="H1139" s="40">
        <v>300</v>
      </c>
      <c r="I1139" s="2" t="s">
        <v>1637</v>
      </c>
      <c r="J1139">
        <v>5522</v>
      </c>
      <c r="K1139" s="3" t="str">
        <f>VLOOKUP(Table2[[#This Row],[Konto]],Table5[[Konto]:[Konto nimetus]],2,FALSE)</f>
        <v>Meditsiinikulud ja hügieenitarbed</v>
      </c>
      <c r="L1139">
        <v>55</v>
      </c>
      <c r="M1139" t="str">
        <f t="shared" si="35"/>
        <v>55</v>
      </c>
      <c r="N1139" s="3" t="str">
        <f>VLOOKUP(Table2[[#This Row],[Tulu/kulu liik2]],Table5[[Tulu/kulu liik]:[Kontode koondnimetus]],4,FALSE)</f>
        <v>Muud tegevuskulud</v>
      </c>
      <c r="O1139" s="3" t="str">
        <f>VLOOKUP(Table2[[#This Row],[Tulu/kulu liik2]],Table5[],6,FALSE)</f>
        <v>Majandamiskulud</v>
      </c>
      <c r="P1139" s="3" t="str">
        <f>VLOOKUP(Table2[[#This Row],[Tulu/kulu liik2]],Table5[],5,FALSE)</f>
        <v>Põhitegevuse kulu</v>
      </c>
    </row>
    <row r="1140" spans="1:16" x14ac:dyDescent="0.25">
      <c r="A1140" t="str">
        <f t="shared" si="34"/>
        <v>10</v>
      </c>
      <c r="B1140" t="s">
        <v>372</v>
      </c>
      <c r="C1140" s="3" t="str">
        <f>VLOOKUP(Table2[[#This Row],[Tegevusala]],Table4[],2,FALSE)</f>
        <v xml:space="preserve"> Tammiku Kodu</v>
      </c>
      <c r="D1140" s="3" t="str">
        <f>VLOOKUP(Table2[[#This Row],[Tegevusala]],Table4[[Tegevusala kood]:[Tegevusala alanimetus]],4,FALSE)</f>
        <v>Eakate sotsiaalhoolekande asutused</v>
      </c>
      <c r="E1140" s="3" t="str">
        <f>VLOOKUP(Table2[[#This Row],[Tegevusala nimetus2]],Table4[[Tegevusala nimetus]:[Tegevusala koondnimetus]],2,FALSE)</f>
        <v>Sotsiaalne kaitse</v>
      </c>
      <c r="F1140" t="s">
        <v>1594</v>
      </c>
      <c r="G1140" t="s">
        <v>1638</v>
      </c>
      <c r="H1140" s="40">
        <v>1000</v>
      </c>
      <c r="J1140">
        <v>5525</v>
      </c>
      <c r="K1140" s="3" t="str">
        <f>VLOOKUP(Table2[[#This Row],[Konto]],Table5[[Konto]:[Konto nimetus]],2,FALSE)</f>
        <v>Kommunikatsiooni-, kultuuri- ja vaba aja sisustamise kulud</v>
      </c>
      <c r="L1140">
        <v>55</v>
      </c>
      <c r="M1140" t="str">
        <f t="shared" si="35"/>
        <v>55</v>
      </c>
      <c r="N1140" s="3" t="str">
        <f>VLOOKUP(Table2[[#This Row],[Tulu/kulu liik2]],Table5[[Tulu/kulu liik]:[Kontode koondnimetus]],4,FALSE)</f>
        <v>Muud tegevuskulud</v>
      </c>
      <c r="O1140" s="3" t="str">
        <f>VLOOKUP(Table2[[#This Row],[Tulu/kulu liik2]],Table5[],6,FALSE)</f>
        <v>Majandamiskulud</v>
      </c>
      <c r="P1140" s="3" t="str">
        <f>VLOOKUP(Table2[[#This Row],[Tulu/kulu liik2]],Table5[],5,FALSE)</f>
        <v>Põhitegevuse kulu</v>
      </c>
    </row>
    <row r="1141" spans="1:16" x14ac:dyDescent="0.25">
      <c r="A1141" t="str">
        <f t="shared" si="34"/>
        <v>10</v>
      </c>
      <c r="B1141" t="s">
        <v>372</v>
      </c>
      <c r="C1141" s="3" t="str">
        <f>VLOOKUP(Table2[[#This Row],[Tegevusala]],Table4[],2,FALSE)</f>
        <v xml:space="preserve"> Tammiku Kodu</v>
      </c>
      <c r="D1141" s="3" t="str">
        <f>VLOOKUP(Table2[[#This Row],[Tegevusala]],Table4[[Tegevusala kood]:[Tegevusala alanimetus]],4,FALSE)</f>
        <v>Eakate sotsiaalhoolekande asutused</v>
      </c>
      <c r="E1141" s="3" t="str">
        <f>VLOOKUP(Table2[[#This Row],[Tegevusala nimetus2]],Table4[[Tegevusala nimetus]:[Tegevusala koondnimetus]],2,FALSE)</f>
        <v>Sotsiaalne kaitse</v>
      </c>
      <c r="F1141" t="s">
        <v>1594</v>
      </c>
      <c r="G1141" t="s">
        <v>1639</v>
      </c>
      <c r="H1141" s="40">
        <v>940</v>
      </c>
      <c r="J1141">
        <v>5540</v>
      </c>
      <c r="K1141" s="3" t="str">
        <f>VLOOKUP(Table2[[#This Row],[Konto]],Table5[[Konto]:[Konto nimetus]],2,FALSE)</f>
        <v>Mitmesugused majanduskulud</v>
      </c>
      <c r="L1141">
        <v>55</v>
      </c>
      <c r="M1141" t="str">
        <f t="shared" si="35"/>
        <v>55</v>
      </c>
      <c r="N1141" s="3" t="str">
        <f>VLOOKUP(Table2[[#This Row],[Tulu/kulu liik2]],Table5[[Tulu/kulu liik]:[Kontode koondnimetus]],4,FALSE)</f>
        <v>Muud tegevuskulud</v>
      </c>
      <c r="O1141" s="3" t="str">
        <f>VLOOKUP(Table2[[#This Row],[Tulu/kulu liik2]],Table5[],6,FALSE)</f>
        <v>Majandamiskulud</v>
      </c>
      <c r="P1141" s="3" t="str">
        <f>VLOOKUP(Table2[[#This Row],[Tulu/kulu liik2]],Table5[],5,FALSE)</f>
        <v>Põhitegevuse kulu</v>
      </c>
    </row>
    <row r="1142" spans="1:16" x14ac:dyDescent="0.25">
      <c r="A1142" t="str">
        <f t="shared" si="34"/>
        <v>10</v>
      </c>
      <c r="B1142" t="s">
        <v>372</v>
      </c>
      <c r="C1142" s="3" t="str">
        <f>VLOOKUP(Table2[[#This Row],[Tegevusala]],Table4[],2,FALSE)</f>
        <v xml:space="preserve"> Tammiku Kodu</v>
      </c>
      <c r="D1142" s="3" t="str">
        <f>VLOOKUP(Table2[[#This Row],[Tegevusala]],Table4[[Tegevusala kood]:[Tegevusala alanimetus]],4,FALSE)</f>
        <v>Eakate sotsiaalhoolekande asutused</v>
      </c>
      <c r="E1142" s="3" t="str">
        <f>VLOOKUP(Table2[[#This Row],[Tegevusala nimetus2]],Table4[[Tegevusala nimetus]:[Tegevusala koondnimetus]],2,FALSE)</f>
        <v>Sotsiaalne kaitse</v>
      </c>
      <c r="F1142" t="s">
        <v>1594</v>
      </c>
      <c r="G1142" t="s">
        <v>177</v>
      </c>
      <c r="H1142" s="40">
        <v>1500</v>
      </c>
      <c r="I1142" s="2" t="s">
        <v>1614</v>
      </c>
      <c r="J1142">
        <v>5511</v>
      </c>
      <c r="K1142" s="3" t="str">
        <f>VLOOKUP(Table2[[#This Row],[Konto]],Table5[[Konto]:[Konto nimetus]],2,FALSE)</f>
        <v>Kinnistute, hoonete ja ruumide majandamiskulud</v>
      </c>
      <c r="L1142">
        <v>55</v>
      </c>
      <c r="M1142" t="str">
        <f t="shared" si="35"/>
        <v>55</v>
      </c>
      <c r="N1142" s="3" t="str">
        <f>VLOOKUP(Table2[[#This Row],[Tulu/kulu liik2]],Table5[[Tulu/kulu liik]:[Kontode koondnimetus]],4,FALSE)</f>
        <v>Muud tegevuskulud</v>
      </c>
      <c r="O1142" s="3" t="str">
        <f>VLOOKUP(Table2[[#This Row],[Tulu/kulu liik2]],Table5[],6,FALSE)</f>
        <v>Majandamiskulud</v>
      </c>
      <c r="P1142" s="3" t="str">
        <f>VLOOKUP(Table2[[#This Row],[Tulu/kulu liik2]],Table5[],5,FALSE)</f>
        <v>Põhitegevuse kulu</v>
      </c>
    </row>
    <row r="1143" spans="1:16" x14ac:dyDescent="0.25">
      <c r="A1143" t="str">
        <f t="shared" si="34"/>
        <v>10</v>
      </c>
      <c r="B1143" t="s">
        <v>372</v>
      </c>
      <c r="C1143" s="3" t="str">
        <f>VLOOKUP(Table2[[#This Row],[Tegevusala]],Table4[],2,FALSE)</f>
        <v xml:space="preserve"> Tammiku Kodu</v>
      </c>
      <c r="D1143" s="3" t="str">
        <f>VLOOKUP(Table2[[#This Row],[Tegevusala]],Table4[[Tegevusala kood]:[Tegevusala alanimetus]],4,FALSE)</f>
        <v>Eakate sotsiaalhoolekande asutused</v>
      </c>
      <c r="E1143" s="3" t="str">
        <f>VLOOKUP(Table2[[#This Row],[Tegevusala nimetus2]],Table4[[Tegevusala nimetus]:[Tegevusala koondnimetus]],2,FALSE)</f>
        <v>Sotsiaalne kaitse</v>
      </c>
      <c r="F1143" t="s">
        <v>1594</v>
      </c>
      <c r="G1143" t="s">
        <v>178</v>
      </c>
      <c r="H1143" s="40">
        <v>4150</v>
      </c>
      <c r="I1143" s="2" t="s">
        <v>1615</v>
      </c>
      <c r="J1143">
        <v>5511</v>
      </c>
      <c r="K1143" s="3" t="str">
        <f>VLOOKUP(Table2[[#This Row],[Konto]],Table5[[Konto]:[Konto nimetus]],2,FALSE)</f>
        <v>Kinnistute, hoonete ja ruumide majandamiskulud</v>
      </c>
      <c r="L1143">
        <v>55</v>
      </c>
      <c r="M1143" t="str">
        <f t="shared" si="35"/>
        <v>55</v>
      </c>
      <c r="N1143" s="3" t="str">
        <f>VLOOKUP(Table2[[#This Row],[Tulu/kulu liik2]],Table5[[Tulu/kulu liik]:[Kontode koondnimetus]],4,FALSE)</f>
        <v>Muud tegevuskulud</v>
      </c>
      <c r="O1143" s="3" t="str">
        <f>VLOOKUP(Table2[[#This Row],[Tulu/kulu liik2]],Table5[],6,FALSE)</f>
        <v>Majandamiskulud</v>
      </c>
      <c r="P1143" s="3" t="str">
        <f>VLOOKUP(Table2[[#This Row],[Tulu/kulu liik2]],Table5[],5,FALSE)</f>
        <v>Põhitegevuse kulu</v>
      </c>
    </row>
    <row r="1144" spans="1:16" x14ac:dyDescent="0.25">
      <c r="A1144" t="str">
        <f t="shared" si="34"/>
        <v>10</v>
      </c>
      <c r="B1144" t="s">
        <v>372</v>
      </c>
      <c r="C1144" s="3" t="str">
        <f>VLOOKUP(Table2[[#This Row],[Tegevusala]],Table4[],2,FALSE)</f>
        <v xml:space="preserve"> Tammiku Kodu</v>
      </c>
      <c r="D1144" s="3" t="str">
        <f>VLOOKUP(Table2[[#This Row],[Tegevusala]],Table4[[Tegevusala kood]:[Tegevusala alanimetus]],4,FALSE)</f>
        <v>Eakate sotsiaalhoolekande asutused</v>
      </c>
      <c r="E1144" s="3" t="str">
        <f>VLOOKUP(Table2[[#This Row],[Tegevusala nimetus2]],Table4[[Tegevusala nimetus]:[Tegevusala koondnimetus]],2,FALSE)</f>
        <v>Sotsiaalne kaitse</v>
      </c>
      <c r="F1144" t="s">
        <v>1594</v>
      </c>
      <c r="G1144" t="s">
        <v>443</v>
      </c>
      <c r="H1144" s="40">
        <v>2760</v>
      </c>
      <c r="I1144" s="2" t="s">
        <v>1616</v>
      </c>
      <c r="J1144">
        <v>5511</v>
      </c>
      <c r="K1144" s="3" t="str">
        <f>VLOOKUP(Table2[[#This Row],[Konto]],Table5[[Konto]:[Konto nimetus]],2,FALSE)</f>
        <v>Kinnistute, hoonete ja ruumide majandamiskulud</v>
      </c>
      <c r="L1144">
        <v>55</v>
      </c>
      <c r="M1144" t="str">
        <f t="shared" si="35"/>
        <v>55</v>
      </c>
      <c r="N1144" s="3" t="str">
        <f>VLOOKUP(Table2[[#This Row],[Tulu/kulu liik2]],Table5[[Tulu/kulu liik]:[Kontode koondnimetus]],4,FALSE)</f>
        <v>Muud tegevuskulud</v>
      </c>
      <c r="O1144" s="3" t="str">
        <f>VLOOKUP(Table2[[#This Row],[Tulu/kulu liik2]],Table5[],6,FALSE)</f>
        <v>Majandamiskulud</v>
      </c>
      <c r="P1144" s="3" t="str">
        <f>VLOOKUP(Table2[[#This Row],[Tulu/kulu liik2]],Table5[],5,FALSE)</f>
        <v>Põhitegevuse kulu</v>
      </c>
    </row>
    <row r="1145" spans="1:16" x14ac:dyDescent="0.25">
      <c r="A1145" t="str">
        <f t="shared" si="34"/>
        <v>10</v>
      </c>
      <c r="B1145" t="s">
        <v>372</v>
      </c>
      <c r="C1145" s="3" t="str">
        <f>VLOOKUP(Table2[[#This Row],[Tegevusala]],Table4[],2,FALSE)</f>
        <v xml:space="preserve"> Tammiku Kodu</v>
      </c>
      <c r="D1145" s="3" t="str">
        <f>VLOOKUP(Table2[[#This Row],[Tegevusala]],Table4[[Tegevusala kood]:[Tegevusala alanimetus]],4,FALSE)</f>
        <v>Eakate sotsiaalhoolekande asutused</v>
      </c>
      <c r="E1145" s="3" t="str">
        <f>VLOOKUP(Table2[[#This Row],[Tegevusala nimetus2]],Table4[[Tegevusala nimetus]:[Tegevusala koondnimetus]],2,FALSE)</f>
        <v>Sotsiaalne kaitse</v>
      </c>
      <c r="F1145" t="s">
        <v>1594</v>
      </c>
      <c r="G1145" t="s">
        <v>1607</v>
      </c>
      <c r="H1145" s="40">
        <v>4100</v>
      </c>
      <c r="I1145" s="2" t="s">
        <v>1617</v>
      </c>
      <c r="J1145">
        <v>5511</v>
      </c>
      <c r="K1145" s="3" t="str">
        <f>VLOOKUP(Table2[[#This Row],[Konto]],Table5[[Konto]:[Konto nimetus]],2,FALSE)</f>
        <v>Kinnistute, hoonete ja ruumide majandamiskulud</v>
      </c>
      <c r="L1145">
        <v>55</v>
      </c>
      <c r="M1145" t="str">
        <f t="shared" si="35"/>
        <v>55</v>
      </c>
      <c r="N1145" s="3" t="str">
        <f>VLOOKUP(Table2[[#This Row],[Tulu/kulu liik2]],Table5[[Tulu/kulu liik]:[Kontode koondnimetus]],4,FALSE)</f>
        <v>Muud tegevuskulud</v>
      </c>
      <c r="O1145" s="3" t="str">
        <f>VLOOKUP(Table2[[#This Row],[Tulu/kulu liik2]],Table5[],6,FALSE)</f>
        <v>Majandamiskulud</v>
      </c>
      <c r="P1145" s="3" t="str">
        <f>VLOOKUP(Table2[[#This Row],[Tulu/kulu liik2]],Table5[],5,FALSE)</f>
        <v>Põhitegevuse kulu</v>
      </c>
    </row>
    <row r="1146" spans="1:16" x14ac:dyDescent="0.25">
      <c r="A1146" t="str">
        <f t="shared" si="34"/>
        <v>10</v>
      </c>
      <c r="B1146" t="s">
        <v>372</v>
      </c>
      <c r="C1146" s="3" t="str">
        <f>VLOOKUP(Table2[[#This Row],[Tegevusala]],Table4[],2,FALSE)</f>
        <v xml:space="preserve"> Tammiku Kodu</v>
      </c>
      <c r="D1146" s="3" t="str">
        <f>VLOOKUP(Table2[[#This Row],[Tegevusala]],Table4[[Tegevusala kood]:[Tegevusala alanimetus]],4,FALSE)</f>
        <v>Eakate sotsiaalhoolekande asutused</v>
      </c>
      <c r="E1146" s="3" t="str">
        <f>VLOOKUP(Table2[[#This Row],[Tegevusala nimetus2]],Table4[[Tegevusala nimetus]:[Tegevusala koondnimetus]],2,FALSE)</f>
        <v>Sotsiaalne kaitse</v>
      </c>
      <c r="F1146" t="s">
        <v>1594</v>
      </c>
      <c r="G1146" t="s">
        <v>1608</v>
      </c>
      <c r="H1146" s="40">
        <v>4300</v>
      </c>
      <c r="I1146" s="2" t="s">
        <v>1618</v>
      </c>
      <c r="J1146">
        <v>5511</v>
      </c>
      <c r="K1146" s="3" t="str">
        <f>VLOOKUP(Table2[[#This Row],[Konto]],Table5[[Konto]:[Konto nimetus]],2,FALSE)</f>
        <v>Kinnistute, hoonete ja ruumide majandamiskulud</v>
      </c>
      <c r="L1146">
        <v>55</v>
      </c>
      <c r="M1146" t="str">
        <f t="shared" si="35"/>
        <v>55</v>
      </c>
      <c r="N1146" s="3" t="str">
        <f>VLOOKUP(Table2[[#This Row],[Tulu/kulu liik2]],Table5[[Tulu/kulu liik]:[Kontode koondnimetus]],4,FALSE)</f>
        <v>Muud tegevuskulud</v>
      </c>
      <c r="O1146" s="3" t="str">
        <f>VLOOKUP(Table2[[#This Row],[Tulu/kulu liik2]],Table5[],6,FALSE)</f>
        <v>Majandamiskulud</v>
      </c>
      <c r="P1146" s="3" t="str">
        <f>VLOOKUP(Table2[[#This Row],[Tulu/kulu liik2]],Table5[],5,FALSE)</f>
        <v>Põhitegevuse kulu</v>
      </c>
    </row>
    <row r="1147" spans="1:16" x14ac:dyDescent="0.25">
      <c r="A1147" t="str">
        <f t="shared" si="34"/>
        <v>10</v>
      </c>
      <c r="B1147" t="s">
        <v>372</v>
      </c>
      <c r="C1147" s="3" t="str">
        <f>VLOOKUP(Table2[[#This Row],[Tegevusala]],Table4[],2,FALSE)</f>
        <v xml:space="preserve"> Tammiku Kodu</v>
      </c>
      <c r="D1147" s="3" t="str">
        <f>VLOOKUP(Table2[[#This Row],[Tegevusala]],Table4[[Tegevusala kood]:[Tegevusala alanimetus]],4,FALSE)</f>
        <v>Eakate sotsiaalhoolekande asutused</v>
      </c>
      <c r="E1147" s="3" t="str">
        <f>VLOOKUP(Table2[[#This Row],[Tegevusala nimetus2]],Table4[[Tegevusala nimetus]:[Tegevusala koondnimetus]],2,FALSE)</f>
        <v>Sotsiaalne kaitse</v>
      </c>
      <c r="F1147" t="s">
        <v>1594</v>
      </c>
      <c r="G1147" t="s">
        <v>1609</v>
      </c>
      <c r="H1147" s="40">
        <v>288</v>
      </c>
      <c r="I1147" s="2" t="s">
        <v>1619</v>
      </c>
      <c r="J1147">
        <v>5511</v>
      </c>
      <c r="K1147" s="3" t="str">
        <f>VLOOKUP(Table2[[#This Row],[Konto]],Table5[[Konto]:[Konto nimetus]],2,FALSE)</f>
        <v>Kinnistute, hoonete ja ruumide majandamiskulud</v>
      </c>
      <c r="L1147">
        <v>55</v>
      </c>
      <c r="M1147" t="str">
        <f t="shared" si="35"/>
        <v>55</v>
      </c>
      <c r="N1147" s="3" t="str">
        <f>VLOOKUP(Table2[[#This Row],[Tulu/kulu liik2]],Table5[[Tulu/kulu liik]:[Kontode koondnimetus]],4,FALSE)</f>
        <v>Muud tegevuskulud</v>
      </c>
      <c r="O1147" s="3" t="str">
        <f>VLOOKUP(Table2[[#This Row],[Tulu/kulu liik2]],Table5[],6,FALSE)</f>
        <v>Majandamiskulud</v>
      </c>
      <c r="P1147" s="3" t="str">
        <f>VLOOKUP(Table2[[#This Row],[Tulu/kulu liik2]],Table5[],5,FALSE)</f>
        <v>Põhitegevuse kulu</v>
      </c>
    </row>
    <row r="1148" spans="1:16" x14ac:dyDescent="0.25">
      <c r="A1148" t="str">
        <f t="shared" si="34"/>
        <v>10</v>
      </c>
      <c r="B1148" t="s">
        <v>372</v>
      </c>
      <c r="C1148" s="3" t="str">
        <f>VLOOKUP(Table2[[#This Row],[Tegevusala]],Table4[],2,FALSE)</f>
        <v xml:space="preserve"> Tammiku Kodu</v>
      </c>
      <c r="D1148" s="3" t="str">
        <f>VLOOKUP(Table2[[#This Row],[Tegevusala]],Table4[[Tegevusala kood]:[Tegevusala alanimetus]],4,FALSE)</f>
        <v>Eakate sotsiaalhoolekande asutused</v>
      </c>
      <c r="E1148" s="3" t="str">
        <f>VLOOKUP(Table2[[#This Row],[Tegevusala nimetus2]],Table4[[Tegevusala nimetus]:[Tegevusala koondnimetus]],2,FALSE)</f>
        <v>Sotsiaalne kaitse</v>
      </c>
      <c r="F1148" t="s">
        <v>1594</v>
      </c>
      <c r="G1148" t="s">
        <v>1610</v>
      </c>
      <c r="H1148" s="40">
        <v>150</v>
      </c>
      <c r="I1148" s="2" t="s">
        <v>1620</v>
      </c>
      <c r="J1148">
        <v>5511</v>
      </c>
      <c r="K1148" s="3" t="str">
        <f>VLOOKUP(Table2[[#This Row],[Konto]],Table5[[Konto]:[Konto nimetus]],2,FALSE)</f>
        <v>Kinnistute, hoonete ja ruumide majandamiskulud</v>
      </c>
      <c r="L1148">
        <v>55</v>
      </c>
      <c r="M1148" t="str">
        <f t="shared" si="35"/>
        <v>55</v>
      </c>
      <c r="N1148" s="3" t="str">
        <f>VLOOKUP(Table2[[#This Row],[Tulu/kulu liik2]],Table5[[Tulu/kulu liik]:[Kontode koondnimetus]],4,FALSE)</f>
        <v>Muud tegevuskulud</v>
      </c>
      <c r="O1148" s="3" t="str">
        <f>VLOOKUP(Table2[[#This Row],[Tulu/kulu liik2]],Table5[],6,FALSE)</f>
        <v>Majandamiskulud</v>
      </c>
      <c r="P1148" s="3" t="str">
        <f>VLOOKUP(Table2[[#This Row],[Tulu/kulu liik2]],Table5[],5,FALSE)</f>
        <v>Põhitegevuse kulu</v>
      </c>
    </row>
    <row r="1149" spans="1:16" x14ac:dyDescent="0.25">
      <c r="A1149" t="str">
        <f t="shared" si="34"/>
        <v>10</v>
      </c>
      <c r="B1149" t="s">
        <v>372</v>
      </c>
      <c r="C1149" s="3" t="str">
        <f>VLOOKUP(Table2[[#This Row],[Tegevusala]],Table4[],2,FALSE)</f>
        <v xml:space="preserve"> Tammiku Kodu</v>
      </c>
      <c r="D1149" s="3" t="str">
        <f>VLOOKUP(Table2[[#This Row],[Tegevusala]],Table4[[Tegevusala kood]:[Tegevusala alanimetus]],4,FALSE)</f>
        <v>Eakate sotsiaalhoolekande asutused</v>
      </c>
      <c r="E1149" s="3" t="str">
        <f>VLOOKUP(Table2[[#This Row],[Tegevusala nimetus2]],Table4[[Tegevusala nimetus]:[Tegevusala koondnimetus]],2,FALSE)</f>
        <v>Sotsiaalne kaitse</v>
      </c>
      <c r="F1149" t="s">
        <v>1594</v>
      </c>
      <c r="G1149" t="s">
        <v>1611</v>
      </c>
      <c r="H1149" s="40">
        <v>654</v>
      </c>
      <c r="I1149" s="2" t="s">
        <v>1621</v>
      </c>
      <c r="J1149">
        <v>5511</v>
      </c>
      <c r="K1149" s="3" t="str">
        <f>VLOOKUP(Table2[[#This Row],[Konto]],Table5[[Konto]:[Konto nimetus]],2,FALSE)</f>
        <v>Kinnistute, hoonete ja ruumide majandamiskulud</v>
      </c>
      <c r="L1149">
        <v>55</v>
      </c>
      <c r="M1149" t="str">
        <f t="shared" si="35"/>
        <v>55</v>
      </c>
      <c r="N1149" s="3" t="str">
        <f>VLOOKUP(Table2[[#This Row],[Tulu/kulu liik2]],Table5[[Tulu/kulu liik]:[Kontode koondnimetus]],4,FALSE)</f>
        <v>Muud tegevuskulud</v>
      </c>
      <c r="O1149" s="3" t="str">
        <f>VLOOKUP(Table2[[#This Row],[Tulu/kulu liik2]],Table5[],6,FALSE)</f>
        <v>Majandamiskulud</v>
      </c>
      <c r="P1149" s="3" t="str">
        <f>VLOOKUP(Table2[[#This Row],[Tulu/kulu liik2]],Table5[],5,FALSE)</f>
        <v>Põhitegevuse kulu</v>
      </c>
    </row>
    <row r="1150" spans="1:16" x14ac:dyDescent="0.25">
      <c r="A1150" t="str">
        <f t="shared" si="34"/>
        <v>10</v>
      </c>
      <c r="B1150" t="s">
        <v>372</v>
      </c>
      <c r="C1150" s="3" t="str">
        <f>VLOOKUP(Table2[[#This Row],[Tegevusala]],Table4[],2,FALSE)</f>
        <v xml:space="preserve"> Tammiku Kodu</v>
      </c>
      <c r="D1150" s="3" t="str">
        <f>VLOOKUP(Table2[[#This Row],[Tegevusala]],Table4[[Tegevusala kood]:[Tegevusala alanimetus]],4,FALSE)</f>
        <v>Eakate sotsiaalhoolekande asutused</v>
      </c>
      <c r="E1150" s="3" t="str">
        <f>VLOOKUP(Table2[[#This Row],[Tegevusala nimetus2]],Table4[[Tegevusala nimetus]:[Tegevusala koondnimetus]],2,FALSE)</f>
        <v>Sotsiaalne kaitse</v>
      </c>
      <c r="F1150" t="s">
        <v>1594</v>
      </c>
      <c r="G1150" t="s">
        <v>1612</v>
      </c>
      <c r="H1150" s="40">
        <v>296</v>
      </c>
      <c r="I1150" s="2" t="s">
        <v>1623</v>
      </c>
      <c r="J1150">
        <v>5511</v>
      </c>
      <c r="K1150" s="3" t="str">
        <f>VLOOKUP(Table2[[#This Row],[Konto]],Table5[[Konto]:[Konto nimetus]],2,FALSE)</f>
        <v>Kinnistute, hoonete ja ruumide majandamiskulud</v>
      </c>
      <c r="L1150">
        <v>55</v>
      </c>
      <c r="M1150" t="str">
        <f t="shared" si="35"/>
        <v>55</v>
      </c>
      <c r="N1150" s="3" t="str">
        <f>VLOOKUP(Table2[[#This Row],[Tulu/kulu liik2]],Table5[[Tulu/kulu liik]:[Kontode koondnimetus]],4,FALSE)</f>
        <v>Muud tegevuskulud</v>
      </c>
      <c r="O1150" s="3" t="str">
        <f>VLOOKUP(Table2[[#This Row],[Tulu/kulu liik2]],Table5[],6,FALSE)</f>
        <v>Majandamiskulud</v>
      </c>
      <c r="P1150" s="3" t="str">
        <f>VLOOKUP(Table2[[#This Row],[Tulu/kulu liik2]],Table5[],5,FALSE)</f>
        <v>Põhitegevuse kulu</v>
      </c>
    </row>
    <row r="1151" spans="1:16" x14ac:dyDescent="0.25">
      <c r="A1151" t="str">
        <f t="shared" si="34"/>
        <v>10</v>
      </c>
      <c r="B1151" t="s">
        <v>372</v>
      </c>
      <c r="C1151" s="3" t="str">
        <f>VLOOKUP(Table2[[#This Row],[Tegevusala]],Table4[],2,FALSE)</f>
        <v xml:space="preserve"> Tammiku Kodu</v>
      </c>
      <c r="D1151" s="3" t="str">
        <f>VLOOKUP(Table2[[#This Row],[Tegevusala]],Table4[[Tegevusala kood]:[Tegevusala alanimetus]],4,FALSE)</f>
        <v>Eakate sotsiaalhoolekande asutused</v>
      </c>
      <c r="E1151" s="3" t="str">
        <f>VLOOKUP(Table2[[#This Row],[Tegevusala nimetus2]],Table4[[Tegevusala nimetus]:[Tegevusala koondnimetus]],2,FALSE)</f>
        <v>Sotsiaalne kaitse</v>
      </c>
      <c r="F1151" t="s">
        <v>1594</v>
      </c>
      <c r="G1151" t="s">
        <v>1613</v>
      </c>
      <c r="H1151" s="40">
        <v>180</v>
      </c>
      <c r="I1151" s="2" t="s">
        <v>1622</v>
      </c>
      <c r="J1151">
        <v>5511</v>
      </c>
      <c r="K1151" s="3" t="str">
        <f>VLOOKUP(Table2[[#This Row],[Konto]],Table5[[Konto]:[Konto nimetus]],2,FALSE)</f>
        <v>Kinnistute, hoonete ja ruumide majandamiskulud</v>
      </c>
      <c r="L1151">
        <v>55</v>
      </c>
      <c r="M1151" t="str">
        <f t="shared" si="35"/>
        <v>55</v>
      </c>
      <c r="N1151" s="3" t="str">
        <f>VLOOKUP(Table2[[#This Row],[Tulu/kulu liik2]],Table5[[Tulu/kulu liik]:[Kontode koondnimetus]],4,FALSE)</f>
        <v>Muud tegevuskulud</v>
      </c>
      <c r="O1151" s="3" t="str">
        <f>VLOOKUP(Table2[[#This Row],[Tulu/kulu liik2]],Table5[],6,FALSE)</f>
        <v>Majandamiskulud</v>
      </c>
      <c r="P1151" s="3" t="str">
        <f>VLOOKUP(Table2[[#This Row],[Tulu/kulu liik2]],Table5[],5,FALSE)</f>
        <v>Põhitegevuse kulu</v>
      </c>
    </row>
    <row r="1152" spans="1:16" x14ac:dyDescent="0.25">
      <c r="A1152" t="str">
        <f t="shared" si="34"/>
        <v>10</v>
      </c>
      <c r="B1152" t="s">
        <v>372</v>
      </c>
      <c r="C1152" s="3" t="str">
        <f>VLOOKUP(Table2[[#This Row],[Tegevusala]],Table4[],2,FALSE)</f>
        <v xml:space="preserve"> Tammiku Kodu</v>
      </c>
      <c r="D1152" s="3" t="str">
        <f>VLOOKUP(Table2[[#This Row],[Tegevusala]],Table4[[Tegevusala kood]:[Tegevusala alanimetus]],4,FALSE)</f>
        <v>Eakate sotsiaalhoolekande asutused</v>
      </c>
      <c r="E1152" s="3" t="str">
        <f>VLOOKUP(Table2[[#This Row],[Tegevusala nimetus2]],Table4[[Tegevusala nimetus]:[Tegevusala koondnimetus]],2,FALSE)</f>
        <v>Sotsiaalne kaitse</v>
      </c>
      <c r="F1152" t="s">
        <v>1594</v>
      </c>
      <c r="G1152" t="s">
        <v>1626</v>
      </c>
      <c r="H1152" s="40">
        <v>1100</v>
      </c>
      <c r="J1152">
        <v>5514</v>
      </c>
      <c r="K1152" s="3" t="str">
        <f>VLOOKUP(Table2[[#This Row],[Konto]],Table5[[Konto]:[Konto nimetus]],2,FALSE)</f>
        <v>Info- ja kommunikatsioonitehnoliigised kulud</v>
      </c>
      <c r="L1152">
        <v>55</v>
      </c>
      <c r="M1152" t="str">
        <f t="shared" si="35"/>
        <v>55</v>
      </c>
      <c r="N1152" s="3" t="str">
        <f>VLOOKUP(Table2[[#This Row],[Tulu/kulu liik2]],Table5[[Tulu/kulu liik]:[Kontode koondnimetus]],4,FALSE)</f>
        <v>Muud tegevuskulud</v>
      </c>
      <c r="O1152" s="3" t="str">
        <f>VLOOKUP(Table2[[#This Row],[Tulu/kulu liik2]],Table5[],6,FALSE)</f>
        <v>Majandamiskulud</v>
      </c>
      <c r="P1152" s="3" t="str">
        <f>VLOOKUP(Table2[[#This Row],[Tulu/kulu liik2]],Table5[],5,FALSE)</f>
        <v>Põhitegevuse kulu</v>
      </c>
    </row>
    <row r="1153" spans="1:16" hidden="1" x14ac:dyDescent="0.25">
      <c r="A1153" t="str">
        <f t="shared" si="34"/>
        <v>10</v>
      </c>
      <c r="B1153" t="s">
        <v>374</v>
      </c>
      <c r="C1153" s="3" t="str">
        <f>VLOOKUP(Table2[[#This Row],[Tegevusala]],Table4[],2,FALSE)</f>
        <v xml:space="preserve"> Ulvi Hooldekodu</v>
      </c>
      <c r="D1153" s="3" t="str">
        <f>VLOOKUP(Table2[[#This Row],[Tegevusala]],Table4[[Tegevusala kood]:[Tegevusala alanimetus]],4,FALSE)</f>
        <v>Eakate sotsiaalhoolekande asutused</v>
      </c>
      <c r="E1153" s="3" t="str">
        <f>VLOOKUP(Table2[[#This Row],[Tegevusala nimetus2]],Table4[[Tegevusala nimetus]:[Tegevusala koondnimetus]],2,FALSE)</f>
        <v>Sotsiaalne kaitse</v>
      </c>
      <c r="F1153" t="s">
        <v>648</v>
      </c>
      <c r="G1153" t="s">
        <v>2238</v>
      </c>
      <c r="H1153" s="40">
        <v>400000</v>
      </c>
      <c r="J1153">
        <v>1551</v>
      </c>
      <c r="K1153" s="3" t="str">
        <f>VLOOKUP(Table2[[#This Row],[Konto]],Table5[[Konto]:[Konto nimetus]],2,FALSE)</f>
        <v>Rajatiste ja hoonete soetamine ja renoveerimine</v>
      </c>
      <c r="L1153">
        <v>15</v>
      </c>
      <c r="M1153" t="str">
        <f t="shared" si="35"/>
        <v>15</v>
      </c>
      <c r="N1153" s="3" t="str">
        <f>VLOOKUP(Table2[[#This Row],[Tulu/kulu liik2]],Table5[[Tulu/kulu liik]:[Kontode koondnimetus]],4,FALSE)</f>
        <v>Põhivara soetus (-)</v>
      </c>
      <c r="O1153" s="3" t="str">
        <f>VLOOKUP(Table2[[#This Row],[Tulu/kulu liik2]],Table5[],6,FALSE)</f>
        <v>Põhivara soetus (-)</v>
      </c>
      <c r="P1153" s="3" t="str">
        <f>VLOOKUP(Table2[[#This Row],[Tulu/kulu liik2]],Table5[],5,FALSE)</f>
        <v>Investeerimistegevus</v>
      </c>
    </row>
    <row r="1154" spans="1:16" hidden="1" x14ac:dyDescent="0.25">
      <c r="A1154" t="str">
        <f t="shared" ref="A1154:A1217" si="36">LEFT(B1154,2)</f>
        <v>10</v>
      </c>
      <c r="B1154" t="s">
        <v>374</v>
      </c>
      <c r="C1154" s="3" t="str">
        <f>VLOOKUP(Table2[[#This Row],[Tegevusala]],Table4[],2,FALSE)</f>
        <v xml:space="preserve"> Ulvi Hooldekodu</v>
      </c>
      <c r="D1154" s="3" t="str">
        <f>VLOOKUP(Table2[[#This Row],[Tegevusala]],Table4[[Tegevusala kood]:[Tegevusala alanimetus]],4,FALSE)</f>
        <v>Eakate sotsiaalhoolekande asutused</v>
      </c>
      <c r="E1154" s="3" t="str">
        <f>VLOOKUP(Table2[[#This Row],[Tegevusala nimetus2]],Table4[[Tegevusala nimetus]:[Tegevusala koondnimetus]],2,FALSE)</f>
        <v>Sotsiaalne kaitse</v>
      </c>
      <c r="F1154" t="s">
        <v>648</v>
      </c>
      <c r="G1154" t="s">
        <v>1590</v>
      </c>
      <c r="H1154" s="40">
        <v>-200000</v>
      </c>
      <c r="I1154" s="2" t="s">
        <v>1591</v>
      </c>
      <c r="J1154">
        <v>20385</v>
      </c>
      <c r="K1154" s="3" t="str">
        <f>VLOOKUP(Table2[[#This Row],[Konto]],Table5[[Konto]:[Konto nimetus]],2,FALSE)</f>
        <v>Põhivara soetuseks saadav sihtfinantseerimine</v>
      </c>
      <c r="L1154">
        <v>3502</v>
      </c>
      <c r="M1154" t="str">
        <f t="shared" ref="M1154:M1217" si="37">LEFT(J1154,2)</f>
        <v>20</v>
      </c>
      <c r="N1154" s="3" t="str">
        <f>VLOOKUP(Table2[[#This Row],[Tulu/kulu liik2]],Table5[[Tulu/kulu liik]:[Kontode koondnimetus]],4,FALSE)</f>
        <v>Põhivara soetuseks saadav sihtfinantseerimine (+)</v>
      </c>
      <c r="O1154" s="3" t="str">
        <f>VLOOKUP(Table2[[#This Row],[Tulu/kulu liik2]],Table5[],6,FALSE)</f>
        <v>Põhivara soetuseks saadav sihtfinantseerimine (+)</v>
      </c>
      <c r="P1154" s="3" t="str">
        <f>VLOOKUP(Table2[[#This Row],[Tulu/kulu liik2]],Table5[],5,FALSE)</f>
        <v>Investeerimistegevus</v>
      </c>
    </row>
    <row r="1155" spans="1:16" x14ac:dyDescent="0.25">
      <c r="A1155" t="str">
        <f t="shared" si="36"/>
        <v>10</v>
      </c>
      <c r="B1155" s="3" t="s">
        <v>374</v>
      </c>
      <c r="C1155" s="3" t="str">
        <f>VLOOKUP(Table2[[#This Row],[Tegevusala]],Table4[],2,FALSE)</f>
        <v xml:space="preserve"> Ulvi Hooldekodu</v>
      </c>
      <c r="D1155" s="3" t="str">
        <f>VLOOKUP(Table2[[#This Row],[Tegevusala]],Table4[[Tegevusala kood]:[Tegevusala alanimetus]],4,FALSE)</f>
        <v>Eakate sotsiaalhoolekande asutused</v>
      </c>
      <c r="E1155" s="3" t="str">
        <f>VLOOKUP(Table2[[#This Row],[Tegevusala nimetus2]],Table4[[Tegevusala nimetus]:[Tegevusala koondnimetus]],2,FALSE)</f>
        <v>Sotsiaalne kaitse</v>
      </c>
      <c r="F1155" t="s">
        <v>1641</v>
      </c>
      <c r="G1155" t="s">
        <v>400</v>
      </c>
      <c r="H1155" s="40">
        <v>120</v>
      </c>
      <c r="J1155">
        <v>5500</v>
      </c>
      <c r="K1155" s="3" t="str">
        <f>VLOOKUP(Table2[[#This Row],[Konto]],Table5[[Konto]:[Konto nimetus]],2,FALSE)</f>
        <v>Administreerimiskulud</v>
      </c>
      <c r="L1155">
        <v>55</v>
      </c>
      <c r="M1155" t="str">
        <f t="shared" si="37"/>
        <v>55</v>
      </c>
      <c r="N1155" s="3" t="str">
        <f>VLOOKUP(Table2[[#This Row],[Tulu/kulu liik2]],Table5[[Tulu/kulu liik]:[Kontode koondnimetus]],4,FALSE)</f>
        <v>Muud tegevuskulud</v>
      </c>
      <c r="O1155" s="3" t="str">
        <f>VLOOKUP(Table2[[#This Row],[Tulu/kulu liik2]],Table5[],6,FALSE)</f>
        <v>Majandamiskulud</v>
      </c>
      <c r="P1155" s="3" t="str">
        <f>VLOOKUP(Table2[[#This Row],[Tulu/kulu liik2]],Table5[],5,FALSE)</f>
        <v>Põhitegevuse kulu</v>
      </c>
    </row>
    <row r="1156" spans="1:16" x14ac:dyDescent="0.25">
      <c r="A1156" t="str">
        <f t="shared" si="36"/>
        <v>10</v>
      </c>
      <c r="B1156" s="3" t="s">
        <v>374</v>
      </c>
      <c r="C1156" s="3" t="str">
        <f>VLOOKUP(Table2[[#This Row],[Tegevusala]],Table4[],2,FALSE)</f>
        <v xml:space="preserve"> Ulvi Hooldekodu</v>
      </c>
      <c r="D1156" s="3" t="str">
        <f>VLOOKUP(Table2[[#This Row],[Tegevusala]],Table4[[Tegevusala kood]:[Tegevusala alanimetus]],4,FALSE)</f>
        <v>Eakate sotsiaalhoolekande asutused</v>
      </c>
      <c r="E1156" s="3" t="str">
        <f>VLOOKUP(Table2[[#This Row],[Tegevusala nimetus2]],Table4[[Tegevusala nimetus]:[Tegevusala koondnimetus]],2,FALSE)</f>
        <v>Sotsiaalne kaitse</v>
      </c>
      <c r="F1156" t="s">
        <v>1641</v>
      </c>
      <c r="G1156" t="s">
        <v>1643</v>
      </c>
      <c r="H1156" s="40">
        <v>170</v>
      </c>
      <c r="J1156">
        <v>5500</v>
      </c>
      <c r="K1156" s="3" t="str">
        <f>VLOOKUP(Table2[[#This Row],[Konto]],Table5[[Konto]:[Konto nimetus]],2,FALSE)</f>
        <v>Administreerimiskulud</v>
      </c>
      <c r="L1156">
        <v>55</v>
      </c>
      <c r="M1156" t="str">
        <f t="shared" si="37"/>
        <v>55</v>
      </c>
      <c r="N1156" s="3" t="str">
        <f>VLOOKUP(Table2[[#This Row],[Tulu/kulu liik2]],Table5[[Tulu/kulu liik]:[Kontode koondnimetus]],4,FALSE)</f>
        <v>Muud tegevuskulud</v>
      </c>
      <c r="O1156" s="3" t="str">
        <f>VLOOKUP(Table2[[#This Row],[Tulu/kulu liik2]],Table5[],6,FALSE)</f>
        <v>Majandamiskulud</v>
      </c>
      <c r="P1156" s="3" t="str">
        <f>VLOOKUP(Table2[[#This Row],[Tulu/kulu liik2]],Table5[],5,FALSE)</f>
        <v>Põhitegevuse kulu</v>
      </c>
    </row>
    <row r="1157" spans="1:16" x14ac:dyDescent="0.25">
      <c r="A1157" t="str">
        <f t="shared" si="36"/>
        <v>10</v>
      </c>
      <c r="B1157" s="3" t="s">
        <v>374</v>
      </c>
      <c r="C1157" s="3" t="str">
        <f>VLOOKUP(Table2[[#This Row],[Tegevusala]],Table4[],2,FALSE)</f>
        <v xml:space="preserve"> Ulvi Hooldekodu</v>
      </c>
      <c r="D1157" s="3" t="str">
        <f>VLOOKUP(Table2[[#This Row],[Tegevusala]],Table4[[Tegevusala kood]:[Tegevusala alanimetus]],4,FALSE)</f>
        <v>Eakate sotsiaalhoolekande asutused</v>
      </c>
      <c r="E1157" s="3" t="str">
        <f>VLOOKUP(Table2[[#This Row],[Tegevusala nimetus2]],Table4[[Tegevusala nimetus]:[Tegevusala koondnimetus]],2,FALSE)</f>
        <v>Sotsiaalne kaitse</v>
      </c>
      <c r="F1157" t="s">
        <v>1641</v>
      </c>
      <c r="G1157" t="s">
        <v>1644</v>
      </c>
      <c r="H1157" s="40">
        <v>200</v>
      </c>
      <c r="J1157">
        <v>5500</v>
      </c>
      <c r="K1157" s="3" t="str">
        <f>VLOOKUP(Table2[[#This Row],[Konto]],Table5[[Konto]:[Konto nimetus]],2,FALSE)</f>
        <v>Administreerimiskulud</v>
      </c>
      <c r="L1157">
        <v>55</v>
      </c>
      <c r="M1157" t="str">
        <f t="shared" si="37"/>
        <v>55</v>
      </c>
      <c r="N1157" s="3" t="str">
        <f>VLOOKUP(Table2[[#This Row],[Tulu/kulu liik2]],Table5[[Tulu/kulu liik]:[Kontode koondnimetus]],4,FALSE)</f>
        <v>Muud tegevuskulud</v>
      </c>
      <c r="O1157" s="3" t="str">
        <f>VLOOKUP(Table2[[#This Row],[Tulu/kulu liik2]],Table5[],6,FALSE)</f>
        <v>Majandamiskulud</v>
      </c>
      <c r="P1157" s="3" t="str">
        <f>VLOOKUP(Table2[[#This Row],[Tulu/kulu liik2]],Table5[],5,FALSE)</f>
        <v>Põhitegevuse kulu</v>
      </c>
    </row>
    <row r="1158" spans="1:16" x14ac:dyDescent="0.25">
      <c r="A1158" t="str">
        <f t="shared" si="36"/>
        <v>10</v>
      </c>
      <c r="B1158" s="3" t="s">
        <v>374</v>
      </c>
      <c r="C1158" s="3" t="str">
        <f>VLOOKUP(Table2[[#This Row],[Tegevusala]],Table4[],2,FALSE)</f>
        <v xml:space="preserve"> Ulvi Hooldekodu</v>
      </c>
      <c r="D1158" s="3" t="str">
        <f>VLOOKUP(Table2[[#This Row],[Tegevusala]],Table4[[Tegevusala kood]:[Tegevusala alanimetus]],4,FALSE)</f>
        <v>Eakate sotsiaalhoolekande asutused</v>
      </c>
      <c r="E1158" s="3" t="str">
        <f>VLOOKUP(Table2[[#This Row],[Tegevusala nimetus2]],Table4[[Tegevusala nimetus]:[Tegevusala koondnimetus]],2,FALSE)</f>
        <v>Sotsiaalne kaitse</v>
      </c>
      <c r="F1158" t="s">
        <v>1641</v>
      </c>
      <c r="G1158" t="s">
        <v>1521</v>
      </c>
      <c r="H1158" s="40">
        <v>650</v>
      </c>
      <c r="J1158">
        <v>5504</v>
      </c>
      <c r="K1158" s="3" t="str">
        <f>VLOOKUP(Table2[[#This Row],[Konto]],Table5[[Konto]:[Konto nimetus]],2,FALSE)</f>
        <v>Koolituskulud</v>
      </c>
      <c r="L1158">
        <v>55</v>
      </c>
      <c r="M1158" t="str">
        <f t="shared" si="37"/>
        <v>55</v>
      </c>
      <c r="N1158" s="3" t="str">
        <f>VLOOKUP(Table2[[#This Row],[Tulu/kulu liik2]],Table5[[Tulu/kulu liik]:[Kontode koondnimetus]],4,FALSE)</f>
        <v>Muud tegevuskulud</v>
      </c>
      <c r="O1158" s="3" t="str">
        <f>VLOOKUP(Table2[[#This Row],[Tulu/kulu liik2]],Table5[],6,FALSE)</f>
        <v>Majandamiskulud</v>
      </c>
      <c r="P1158" s="3" t="str">
        <f>VLOOKUP(Table2[[#This Row],[Tulu/kulu liik2]],Table5[],5,FALSE)</f>
        <v>Põhitegevuse kulu</v>
      </c>
    </row>
    <row r="1159" spans="1:16" x14ac:dyDescent="0.25">
      <c r="A1159" t="str">
        <f t="shared" si="36"/>
        <v>10</v>
      </c>
      <c r="B1159" s="3" t="s">
        <v>374</v>
      </c>
      <c r="C1159" s="3" t="str">
        <f>VLOOKUP(Table2[[#This Row],[Tegevusala]],Table4[],2,FALSE)</f>
        <v xml:space="preserve"> Ulvi Hooldekodu</v>
      </c>
      <c r="D1159" s="3" t="str">
        <f>VLOOKUP(Table2[[#This Row],[Tegevusala]],Table4[[Tegevusala kood]:[Tegevusala alanimetus]],4,FALSE)</f>
        <v>Eakate sotsiaalhoolekande asutused</v>
      </c>
      <c r="E1159" s="3" t="str">
        <f>VLOOKUP(Table2[[#This Row],[Tegevusala nimetus2]],Table4[[Tegevusala nimetus]:[Tegevusala koondnimetus]],2,FALSE)</f>
        <v>Sotsiaalne kaitse</v>
      </c>
      <c r="F1159" t="s">
        <v>1641</v>
      </c>
      <c r="G1159" t="s">
        <v>1650</v>
      </c>
      <c r="H1159" s="40">
        <v>1650</v>
      </c>
      <c r="I1159" s="2" t="s">
        <v>1651</v>
      </c>
      <c r="J1159">
        <v>5513</v>
      </c>
      <c r="K1159" s="3" t="str">
        <f>VLOOKUP(Table2[[#This Row],[Konto]],Table5[[Konto]:[Konto nimetus]],2,FALSE)</f>
        <v>Sõidukite ülalpidamise kulud</v>
      </c>
      <c r="L1159">
        <v>55</v>
      </c>
      <c r="M1159" t="str">
        <f t="shared" si="37"/>
        <v>55</v>
      </c>
      <c r="N1159" s="3" t="str">
        <f>VLOOKUP(Table2[[#This Row],[Tulu/kulu liik2]],Table5[[Tulu/kulu liik]:[Kontode koondnimetus]],4,FALSE)</f>
        <v>Muud tegevuskulud</v>
      </c>
      <c r="O1159" s="3" t="str">
        <f>VLOOKUP(Table2[[#This Row],[Tulu/kulu liik2]],Table5[],6,FALSE)</f>
        <v>Majandamiskulud</v>
      </c>
      <c r="P1159" s="3" t="str">
        <f>VLOOKUP(Table2[[#This Row],[Tulu/kulu liik2]],Table5[],5,FALSE)</f>
        <v>Põhitegevuse kulu</v>
      </c>
    </row>
    <row r="1160" spans="1:16" x14ac:dyDescent="0.25">
      <c r="A1160" t="str">
        <f t="shared" si="36"/>
        <v>10</v>
      </c>
      <c r="B1160" s="3" t="s">
        <v>374</v>
      </c>
      <c r="C1160" s="3" t="str">
        <f>VLOOKUP(Table2[[#This Row],[Tegevusala]],Table4[],2,FALSE)</f>
        <v xml:space="preserve"> Ulvi Hooldekodu</v>
      </c>
      <c r="D1160" s="3" t="str">
        <f>VLOOKUP(Table2[[#This Row],[Tegevusala]],Table4[[Tegevusala kood]:[Tegevusala alanimetus]],4,FALSE)</f>
        <v>Eakate sotsiaalhoolekande asutused</v>
      </c>
      <c r="E1160" s="3" t="str">
        <f>VLOOKUP(Table2[[#This Row],[Tegevusala nimetus2]],Table4[[Tegevusala nimetus]:[Tegevusala koondnimetus]],2,FALSE)</f>
        <v>Sotsiaalne kaitse</v>
      </c>
      <c r="F1160" t="s">
        <v>1641</v>
      </c>
      <c r="G1160" t="s">
        <v>1654</v>
      </c>
      <c r="H1160" s="40">
        <v>600</v>
      </c>
      <c r="J1160">
        <v>5515</v>
      </c>
      <c r="K1160" s="3" t="str">
        <f>VLOOKUP(Table2[[#This Row],[Konto]],Table5[[Konto]:[Konto nimetus]],2,FALSE)</f>
        <v>Inventari kulud, v.a infotehnoloogia ja kaitseotstarbelised kulud</v>
      </c>
      <c r="L1160">
        <v>55</v>
      </c>
      <c r="M1160" t="str">
        <f t="shared" si="37"/>
        <v>55</v>
      </c>
      <c r="N1160" s="3" t="str">
        <f>VLOOKUP(Table2[[#This Row],[Tulu/kulu liik2]],Table5[[Tulu/kulu liik]:[Kontode koondnimetus]],4,FALSE)</f>
        <v>Muud tegevuskulud</v>
      </c>
      <c r="O1160" s="3" t="str">
        <f>VLOOKUP(Table2[[#This Row],[Tulu/kulu liik2]],Table5[],6,FALSE)</f>
        <v>Majandamiskulud</v>
      </c>
      <c r="P1160" s="3" t="str">
        <f>VLOOKUP(Table2[[#This Row],[Tulu/kulu liik2]],Table5[],5,FALSE)</f>
        <v>Põhitegevuse kulu</v>
      </c>
    </row>
    <row r="1161" spans="1:16" x14ac:dyDescent="0.25">
      <c r="A1161" t="str">
        <f t="shared" si="36"/>
        <v>10</v>
      </c>
      <c r="B1161" s="3" t="s">
        <v>374</v>
      </c>
      <c r="C1161" s="3" t="str">
        <f>VLOOKUP(Table2[[#This Row],[Tegevusala]],Table4[],2,FALSE)</f>
        <v xml:space="preserve"> Ulvi Hooldekodu</v>
      </c>
      <c r="D1161" s="3" t="str">
        <f>VLOOKUP(Table2[[#This Row],[Tegevusala]],Table4[[Tegevusala kood]:[Tegevusala alanimetus]],4,FALSE)</f>
        <v>Eakate sotsiaalhoolekande asutused</v>
      </c>
      <c r="E1161" s="3" t="str">
        <f>VLOOKUP(Table2[[#This Row],[Tegevusala nimetus2]],Table4[[Tegevusala nimetus]:[Tegevusala koondnimetus]],2,FALSE)</f>
        <v>Sotsiaalne kaitse</v>
      </c>
      <c r="F1161" t="s">
        <v>1641</v>
      </c>
      <c r="G1161" t="s">
        <v>1655</v>
      </c>
      <c r="H1161" s="40">
        <v>230</v>
      </c>
      <c r="J1161">
        <v>5515</v>
      </c>
      <c r="K1161" s="3" t="str">
        <f>VLOOKUP(Table2[[#This Row],[Konto]],Table5[[Konto]:[Konto nimetus]],2,FALSE)</f>
        <v>Inventari kulud, v.a infotehnoloogia ja kaitseotstarbelised kulud</v>
      </c>
      <c r="L1161">
        <v>55</v>
      </c>
      <c r="M1161" t="str">
        <f t="shared" si="37"/>
        <v>55</v>
      </c>
      <c r="N1161" s="3" t="str">
        <f>VLOOKUP(Table2[[#This Row],[Tulu/kulu liik2]],Table5[[Tulu/kulu liik]:[Kontode koondnimetus]],4,FALSE)</f>
        <v>Muud tegevuskulud</v>
      </c>
      <c r="O1161" s="3" t="str">
        <f>VLOOKUP(Table2[[#This Row],[Tulu/kulu liik2]],Table5[],6,FALSE)</f>
        <v>Majandamiskulud</v>
      </c>
      <c r="P1161" s="3" t="str">
        <f>VLOOKUP(Table2[[#This Row],[Tulu/kulu liik2]],Table5[],5,FALSE)</f>
        <v>Põhitegevuse kulu</v>
      </c>
    </row>
    <row r="1162" spans="1:16" x14ac:dyDescent="0.25">
      <c r="A1162" t="str">
        <f t="shared" si="36"/>
        <v>10</v>
      </c>
      <c r="B1162" s="3" t="s">
        <v>374</v>
      </c>
      <c r="C1162" s="3" t="str">
        <f>VLOOKUP(Table2[[#This Row],[Tegevusala]],Table4[],2,FALSE)</f>
        <v xml:space="preserve"> Ulvi Hooldekodu</v>
      </c>
      <c r="D1162" s="3" t="str">
        <f>VLOOKUP(Table2[[#This Row],[Tegevusala]],Table4[[Tegevusala kood]:[Tegevusala alanimetus]],4,FALSE)</f>
        <v>Eakate sotsiaalhoolekande asutused</v>
      </c>
      <c r="E1162" s="3" t="str">
        <f>VLOOKUP(Table2[[#This Row],[Tegevusala nimetus2]],Table4[[Tegevusala nimetus]:[Tegevusala koondnimetus]],2,FALSE)</f>
        <v>Sotsiaalne kaitse</v>
      </c>
      <c r="F1162" t="s">
        <v>1641</v>
      </c>
      <c r="G1162" t="s">
        <v>1656</v>
      </c>
      <c r="H1162" s="40">
        <v>600</v>
      </c>
      <c r="J1162">
        <v>5515</v>
      </c>
      <c r="K1162" s="3" t="str">
        <f>VLOOKUP(Table2[[#This Row],[Konto]],Table5[[Konto]:[Konto nimetus]],2,FALSE)</f>
        <v>Inventari kulud, v.a infotehnoloogia ja kaitseotstarbelised kulud</v>
      </c>
      <c r="L1162">
        <v>55</v>
      </c>
      <c r="M1162" t="str">
        <f t="shared" si="37"/>
        <v>55</v>
      </c>
      <c r="N1162" s="3" t="str">
        <f>VLOOKUP(Table2[[#This Row],[Tulu/kulu liik2]],Table5[[Tulu/kulu liik]:[Kontode koondnimetus]],4,FALSE)</f>
        <v>Muud tegevuskulud</v>
      </c>
      <c r="O1162" s="3" t="str">
        <f>VLOOKUP(Table2[[#This Row],[Tulu/kulu liik2]],Table5[],6,FALSE)</f>
        <v>Majandamiskulud</v>
      </c>
      <c r="P1162" s="3" t="str">
        <f>VLOOKUP(Table2[[#This Row],[Tulu/kulu liik2]],Table5[],5,FALSE)</f>
        <v>Põhitegevuse kulu</v>
      </c>
    </row>
    <row r="1163" spans="1:16" x14ac:dyDescent="0.25">
      <c r="A1163" t="str">
        <f t="shared" si="36"/>
        <v>10</v>
      </c>
      <c r="B1163" s="3" t="s">
        <v>374</v>
      </c>
      <c r="C1163" s="3" t="str">
        <f>VLOOKUP(Table2[[#This Row],[Tegevusala]],Table4[],2,FALSE)</f>
        <v xml:space="preserve"> Ulvi Hooldekodu</v>
      </c>
      <c r="D1163" s="3" t="str">
        <f>VLOOKUP(Table2[[#This Row],[Tegevusala]],Table4[[Tegevusala kood]:[Tegevusala alanimetus]],4,FALSE)</f>
        <v>Eakate sotsiaalhoolekande asutused</v>
      </c>
      <c r="E1163" s="3" t="str">
        <f>VLOOKUP(Table2[[#This Row],[Tegevusala nimetus2]],Table4[[Tegevusala nimetus]:[Tegevusala koondnimetus]],2,FALSE)</f>
        <v>Sotsiaalne kaitse</v>
      </c>
      <c r="F1163" t="s">
        <v>1641</v>
      </c>
      <c r="G1163" t="s">
        <v>1657</v>
      </c>
      <c r="H1163" s="40">
        <v>500</v>
      </c>
      <c r="J1163">
        <v>5515</v>
      </c>
      <c r="K1163" s="3" t="str">
        <f>VLOOKUP(Table2[[#This Row],[Konto]],Table5[[Konto]:[Konto nimetus]],2,FALSE)</f>
        <v>Inventari kulud, v.a infotehnoloogia ja kaitseotstarbelised kulud</v>
      </c>
      <c r="L1163">
        <v>55</v>
      </c>
      <c r="M1163" t="str">
        <f t="shared" si="37"/>
        <v>55</v>
      </c>
      <c r="N1163" s="3" t="str">
        <f>VLOOKUP(Table2[[#This Row],[Tulu/kulu liik2]],Table5[[Tulu/kulu liik]:[Kontode koondnimetus]],4,FALSE)</f>
        <v>Muud tegevuskulud</v>
      </c>
      <c r="O1163" s="3" t="str">
        <f>VLOOKUP(Table2[[#This Row],[Tulu/kulu liik2]],Table5[],6,FALSE)</f>
        <v>Majandamiskulud</v>
      </c>
      <c r="P1163" s="3" t="str">
        <f>VLOOKUP(Table2[[#This Row],[Tulu/kulu liik2]],Table5[],5,FALSE)</f>
        <v>Põhitegevuse kulu</v>
      </c>
    </row>
    <row r="1164" spans="1:16" x14ac:dyDescent="0.25">
      <c r="A1164" t="str">
        <f t="shared" si="36"/>
        <v>10</v>
      </c>
      <c r="B1164" s="3" t="s">
        <v>374</v>
      </c>
      <c r="C1164" s="3" t="str">
        <f>VLOOKUP(Table2[[#This Row],[Tegevusala]],Table4[],2,FALSE)</f>
        <v xml:space="preserve"> Ulvi Hooldekodu</v>
      </c>
      <c r="D1164" s="3" t="str">
        <f>VLOOKUP(Table2[[#This Row],[Tegevusala]],Table4[[Tegevusala kood]:[Tegevusala alanimetus]],4,FALSE)</f>
        <v>Eakate sotsiaalhoolekande asutused</v>
      </c>
      <c r="E1164" s="3" t="str">
        <f>VLOOKUP(Table2[[#This Row],[Tegevusala nimetus2]],Table4[[Tegevusala nimetus]:[Tegevusala koondnimetus]],2,FALSE)</f>
        <v>Sotsiaalne kaitse</v>
      </c>
      <c r="F1164" t="s">
        <v>1641</v>
      </c>
      <c r="G1164" t="s">
        <v>1658</v>
      </c>
      <c r="H1164" s="40">
        <v>0</v>
      </c>
      <c r="I1164" s="2" t="s">
        <v>2147</v>
      </c>
      <c r="J1164">
        <v>5515</v>
      </c>
      <c r="K1164" s="3" t="str">
        <f>VLOOKUP(Table2[[#This Row],[Konto]],Table5[[Konto]:[Konto nimetus]],2,FALSE)</f>
        <v>Inventari kulud, v.a infotehnoloogia ja kaitseotstarbelised kulud</v>
      </c>
      <c r="L1164">
        <v>55</v>
      </c>
      <c r="M1164" t="str">
        <f t="shared" si="37"/>
        <v>55</v>
      </c>
      <c r="N1164" s="3" t="str">
        <f>VLOOKUP(Table2[[#This Row],[Tulu/kulu liik2]],Table5[[Tulu/kulu liik]:[Kontode koondnimetus]],4,FALSE)</f>
        <v>Muud tegevuskulud</v>
      </c>
      <c r="O1164" s="3" t="str">
        <f>VLOOKUP(Table2[[#This Row],[Tulu/kulu liik2]],Table5[],6,FALSE)</f>
        <v>Majandamiskulud</v>
      </c>
      <c r="P1164" s="3" t="str">
        <f>VLOOKUP(Table2[[#This Row],[Tulu/kulu liik2]],Table5[],5,FALSE)</f>
        <v>Põhitegevuse kulu</v>
      </c>
    </row>
    <row r="1165" spans="1:16" x14ac:dyDescent="0.25">
      <c r="A1165" t="str">
        <f t="shared" si="36"/>
        <v>10</v>
      </c>
      <c r="B1165" s="3" t="s">
        <v>374</v>
      </c>
      <c r="C1165" s="3" t="str">
        <f>VLOOKUP(Table2[[#This Row],[Tegevusala]],Table4[],2,FALSE)</f>
        <v xml:space="preserve"> Ulvi Hooldekodu</v>
      </c>
      <c r="D1165" s="3" t="str">
        <f>VLOOKUP(Table2[[#This Row],[Tegevusala]],Table4[[Tegevusala kood]:[Tegevusala alanimetus]],4,FALSE)</f>
        <v>Eakate sotsiaalhoolekande asutused</v>
      </c>
      <c r="E1165" s="3" t="str">
        <f>VLOOKUP(Table2[[#This Row],[Tegevusala nimetus2]],Table4[[Tegevusala nimetus]:[Tegevusala koondnimetus]],2,FALSE)</f>
        <v>Sotsiaalne kaitse</v>
      </c>
      <c r="F1165" t="s">
        <v>1641</v>
      </c>
      <c r="G1165" t="s">
        <v>1659</v>
      </c>
      <c r="H1165" s="40">
        <v>200</v>
      </c>
      <c r="J1165">
        <v>5515</v>
      </c>
      <c r="K1165" s="3" t="str">
        <f>VLOOKUP(Table2[[#This Row],[Konto]],Table5[[Konto]:[Konto nimetus]],2,FALSE)</f>
        <v>Inventari kulud, v.a infotehnoloogia ja kaitseotstarbelised kulud</v>
      </c>
      <c r="L1165">
        <v>55</v>
      </c>
      <c r="M1165" t="str">
        <f t="shared" si="37"/>
        <v>55</v>
      </c>
      <c r="N1165" s="3" t="str">
        <f>VLOOKUP(Table2[[#This Row],[Tulu/kulu liik2]],Table5[[Tulu/kulu liik]:[Kontode koondnimetus]],4,FALSE)</f>
        <v>Muud tegevuskulud</v>
      </c>
      <c r="O1165" s="3" t="str">
        <f>VLOOKUP(Table2[[#This Row],[Tulu/kulu liik2]],Table5[],6,FALSE)</f>
        <v>Majandamiskulud</v>
      </c>
      <c r="P1165" s="3" t="str">
        <f>VLOOKUP(Table2[[#This Row],[Tulu/kulu liik2]],Table5[],5,FALSE)</f>
        <v>Põhitegevuse kulu</v>
      </c>
    </row>
    <row r="1166" spans="1:16" x14ac:dyDescent="0.25">
      <c r="A1166" t="str">
        <f t="shared" si="36"/>
        <v>10</v>
      </c>
      <c r="B1166" s="3" t="s">
        <v>374</v>
      </c>
      <c r="C1166" s="3" t="str">
        <f>VLOOKUP(Table2[[#This Row],[Tegevusala]],Table4[],2,FALSE)</f>
        <v xml:space="preserve"> Ulvi Hooldekodu</v>
      </c>
      <c r="D1166" s="3" t="str">
        <f>VLOOKUP(Table2[[#This Row],[Tegevusala]],Table4[[Tegevusala kood]:[Tegevusala alanimetus]],4,FALSE)</f>
        <v>Eakate sotsiaalhoolekande asutused</v>
      </c>
      <c r="E1166" s="3" t="str">
        <f>VLOOKUP(Table2[[#This Row],[Tegevusala nimetus2]],Table4[[Tegevusala nimetus]:[Tegevusala koondnimetus]],2,FALSE)</f>
        <v>Sotsiaalne kaitse</v>
      </c>
      <c r="F1166" t="s">
        <v>1641</v>
      </c>
      <c r="G1166" t="s">
        <v>1660</v>
      </c>
      <c r="H1166" s="40">
        <v>0</v>
      </c>
      <c r="I1166" s="2" t="s">
        <v>2147</v>
      </c>
      <c r="J1166">
        <v>5515</v>
      </c>
      <c r="K1166" s="3" t="str">
        <f>VLOOKUP(Table2[[#This Row],[Konto]],Table5[[Konto]:[Konto nimetus]],2,FALSE)</f>
        <v>Inventari kulud, v.a infotehnoloogia ja kaitseotstarbelised kulud</v>
      </c>
      <c r="L1166">
        <v>55</v>
      </c>
      <c r="M1166" t="str">
        <f t="shared" si="37"/>
        <v>55</v>
      </c>
      <c r="N1166" s="3" t="str">
        <f>VLOOKUP(Table2[[#This Row],[Tulu/kulu liik2]],Table5[[Tulu/kulu liik]:[Kontode koondnimetus]],4,FALSE)</f>
        <v>Muud tegevuskulud</v>
      </c>
      <c r="O1166" s="3" t="str">
        <f>VLOOKUP(Table2[[#This Row],[Tulu/kulu liik2]],Table5[],6,FALSE)</f>
        <v>Majandamiskulud</v>
      </c>
      <c r="P1166" s="3" t="str">
        <f>VLOOKUP(Table2[[#This Row],[Tulu/kulu liik2]],Table5[],5,FALSE)</f>
        <v>Põhitegevuse kulu</v>
      </c>
    </row>
    <row r="1167" spans="1:16" x14ac:dyDescent="0.25">
      <c r="A1167" t="str">
        <f t="shared" si="36"/>
        <v>10</v>
      </c>
      <c r="B1167" s="3" t="s">
        <v>374</v>
      </c>
      <c r="C1167" s="3" t="str">
        <f>VLOOKUP(Table2[[#This Row],[Tegevusala]],Table4[],2,FALSE)</f>
        <v xml:space="preserve"> Ulvi Hooldekodu</v>
      </c>
      <c r="D1167" s="3" t="str">
        <f>VLOOKUP(Table2[[#This Row],[Tegevusala]],Table4[[Tegevusala kood]:[Tegevusala alanimetus]],4,FALSE)</f>
        <v>Eakate sotsiaalhoolekande asutused</v>
      </c>
      <c r="E1167" s="3" t="str">
        <f>VLOOKUP(Table2[[#This Row],[Tegevusala nimetus2]],Table4[[Tegevusala nimetus]:[Tegevusala koondnimetus]],2,FALSE)</f>
        <v>Sotsiaalne kaitse</v>
      </c>
      <c r="F1167" t="s">
        <v>1641</v>
      </c>
      <c r="G1167" t="s">
        <v>1138</v>
      </c>
      <c r="H1167" s="40">
        <v>24012</v>
      </c>
      <c r="J1167">
        <v>5521</v>
      </c>
      <c r="K1167" s="3" t="str">
        <f>VLOOKUP(Table2[[#This Row],[Konto]],Table5[[Konto]:[Konto nimetus]],2,FALSE)</f>
        <v>Toiduained ja toitlustusteenused</v>
      </c>
      <c r="L1167">
        <v>55</v>
      </c>
      <c r="M1167" t="str">
        <f t="shared" si="37"/>
        <v>55</v>
      </c>
      <c r="N1167" s="3" t="str">
        <f>VLOOKUP(Table2[[#This Row],[Tulu/kulu liik2]],Table5[[Tulu/kulu liik]:[Kontode koondnimetus]],4,FALSE)</f>
        <v>Muud tegevuskulud</v>
      </c>
      <c r="O1167" s="3" t="str">
        <f>VLOOKUP(Table2[[#This Row],[Tulu/kulu liik2]],Table5[],6,FALSE)</f>
        <v>Majandamiskulud</v>
      </c>
      <c r="P1167" s="3" t="str">
        <f>VLOOKUP(Table2[[#This Row],[Tulu/kulu liik2]],Table5[],5,FALSE)</f>
        <v>Põhitegevuse kulu</v>
      </c>
    </row>
    <row r="1168" spans="1:16" x14ac:dyDescent="0.25">
      <c r="A1168" t="str">
        <f t="shared" si="36"/>
        <v>10</v>
      </c>
      <c r="B1168" s="3" t="s">
        <v>374</v>
      </c>
      <c r="C1168" s="3" t="str">
        <f>VLOOKUP(Table2[[#This Row],[Tegevusala]],Table4[],2,FALSE)</f>
        <v xml:space="preserve"> Ulvi Hooldekodu</v>
      </c>
      <c r="D1168" s="3" t="str">
        <f>VLOOKUP(Table2[[#This Row],[Tegevusala]],Table4[[Tegevusala kood]:[Tegevusala alanimetus]],4,FALSE)</f>
        <v>Eakate sotsiaalhoolekande asutused</v>
      </c>
      <c r="E1168" s="3" t="str">
        <f>VLOOKUP(Table2[[#This Row],[Tegevusala nimetus2]],Table4[[Tegevusala nimetus]:[Tegevusala koondnimetus]],2,FALSE)</f>
        <v>Sotsiaalne kaitse</v>
      </c>
      <c r="F1168" t="s">
        <v>1641</v>
      </c>
      <c r="G1168" t="s">
        <v>1661</v>
      </c>
      <c r="H1168" s="40">
        <v>2200</v>
      </c>
      <c r="J1168">
        <v>5521</v>
      </c>
      <c r="K1168" s="3" t="str">
        <f>VLOOKUP(Table2[[#This Row],[Konto]],Table5[[Konto]:[Konto nimetus]],2,FALSE)</f>
        <v>Toiduained ja toitlustusteenused</v>
      </c>
      <c r="L1168">
        <v>55</v>
      </c>
      <c r="M1168" t="str">
        <f t="shared" si="37"/>
        <v>55</v>
      </c>
      <c r="N1168" s="3" t="str">
        <f>VLOOKUP(Table2[[#This Row],[Tulu/kulu liik2]],Table5[[Tulu/kulu liik]:[Kontode koondnimetus]],4,FALSE)</f>
        <v>Muud tegevuskulud</v>
      </c>
      <c r="O1168" s="3" t="str">
        <f>VLOOKUP(Table2[[#This Row],[Tulu/kulu liik2]],Table5[],6,FALSE)</f>
        <v>Majandamiskulud</v>
      </c>
      <c r="P1168" s="3" t="str">
        <f>VLOOKUP(Table2[[#This Row],[Tulu/kulu liik2]],Table5[],5,FALSE)</f>
        <v>Põhitegevuse kulu</v>
      </c>
    </row>
    <row r="1169" spans="1:16" x14ac:dyDescent="0.25">
      <c r="A1169" t="str">
        <f t="shared" si="36"/>
        <v>10</v>
      </c>
      <c r="B1169" s="3" t="s">
        <v>374</v>
      </c>
      <c r="C1169" s="3" t="str">
        <f>VLOOKUP(Table2[[#This Row],[Tegevusala]],Table4[],2,FALSE)</f>
        <v xml:space="preserve"> Ulvi Hooldekodu</v>
      </c>
      <c r="D1169" s="3" t="str">
        <f>VLOOKUP(Table2[[#This Row],[Tegevusala]],Table4[[Tegevusala kood]:[Tegevusala alanimetus]],4,FALSE)</f>
        <v>Eakate sotsiaalhoolekande asutused</v>
      </c>
      <c r="E1169" s="3" t="str">
        <f>VLOOKUP(Table2[[#This Row],[Tegevusala nimetus2]],Table4[[Tegevusala nimetus]:[Tegevusala koondnimetus]],2,FALSE)</f>
        <v>Sotsiaalne kaitse</v>
      </c>
      <c r="F1169" t="s">
        <v>1641</v>
      </c>
      <c r="G1169" t="s">
        <v>1662</v>
      </c>
      <c r="H1169" s="40">
        <v>200</v>
      </c>
      <c r="J1169">
        <v>5522</v>
      </c>
      <c r="K1169" s="3" t="str">
        <f>VLOOKUP(Table2[[#This Row],[Konto]],Table5[[Konto]:[Konto nimetus]],2,FALSE)</f>
        <v>Meditsiinikulud ja hügieenitarbed</v>
      </c>
      <c r="L1169">
        <v>55</v>
      </c>
      <c r="M1169" t="str">
        <f t="shared" si="37"/>
        <v>55</v>
      </c>
      <c r="N1169" s="3" t="str">
        <f>VLOOKUP(Table2[[#This Row],[Tulu/kulu liik2]],Table5[[Tulu/kulu liik]:[Kontode koondnimetus]],4,FALSE)</f>
        <v>Muud tegevuskulud</v>
      </c>
      <c r="O1169" s="3" t="str">
        <f>VLOOKUP(Table2[[#This Row],[Tulu/kulu liik2]],Table5[],6,FALSE)</f>
        <v>Majandamiskulud</v>
      </c>
      <c r="P1169" s="3" t="str">
        <f>VLOOKUP(Table2[[#This Row],[Tulu/kulu liik2]],Table5[],5,FALSE)</f>
        <v>Põhitegevuse kulu</v>
      </c>
    </row>
    <row r="1170" spans="1:16" x14ac:dyDescent="0.25">
      <c r="A1170" t="str">
        <f t="shared" si="36"/>
        <v>10</v>
      </c>
      <c r="B1170" s="3" t="s">
        <v>374</v>
      </c>
      <c r="C1170" s="3" t="str">
        <f>VLOOKUP(Table2[[#This Row],[Tegevusala]],Table4[],2,FALSE)</f>
        <v xml:space="preserve"> Ulvi Hooldekodu</v>
      </c>
      <c r="D1170" s="3" t="str">
        <f>VLOOKUP(Table2[[#This Row],[Tegevusala]],Table4[[Tegevusala kood]:[Tegevusala alanimetus]],4,FALSE)</f>
        <v>Eakate sotsiaalhoolekande asutused</v>
      </c>
      <c r="E1170" s="3" t="str">
        <f>VLOOKUP(Table2[[#This Row],[Tegevusala nimetus2]],Table4[[Tegevusala nimetus]:[Tegevusala koondnimetus]],2,FALSE)</f>
        <v>Sotsiaalne kaitse</v>
      </c>
      <c r="F1170" t="s">
        <v>1641</v>
      </c>
      <c r="G1170" t="s">
        <v>1663</v>
      </c>
      <c r="H1170" s="40">
        <v>0</v>
      </c>
      <c r="I1170" s="2" t="s">
        <v>2147</v>
      </c>
      <c r="J1170">
        <v>5511</v>
      </c>
      <c r="K1170" s="3" t="str">
        <f>VLOOKUP(Table2[[#This Row],[Konto]],Table5[[Konto]:[Konto nimetus]],2,FALSE)</f>
        <v>Kinnistute, hoonete ja ruumide majandamiskulud</v>
      </c>
      <c r="L1170">
        <v>55</v>
      </c>
      <c r="M1170" t="str">
        <f t="shared" si="37"/>
        <v>55</v>
      </c>
      <c r="N1170" s="3" t="str">
        <f>VLOOKUP(Table2[[#This Row],[Tulu/kulu liik2]],Table5[[Tulu/kulu liik]:[Kontode koondnimetus]],4,FALSE)</f>
        <v>Muud tegevuskulud</v>
      </c>
      <c r="O1170" s="3" t="str">
        <f>VLOOKUP(Table2[[#This Row],[Tulu/kulu liik2]],Table5[],6,FALSE)</f>
        <v>Majandamiskulud</v>
      </c>
      <c r="P1170" s="3" t="str">
        <f>VLOOKUP(Table2[[#This Row],[Tulu/kulu liik2]],Table5[],5,FALSE)</f>
        <v>Põhitegevuse kulu</v>
      </c>
    </row>
    <row r="1171" spans="1:16" x14ac:dyDescent="0.25">
      <c r="A1171" t="str">
        <f t="shared" si="36"/>
        <v>10</v>
      </c>
      <c r="B1171" s="3" t="s">
        <v>374</v>
      </c>
      <c r="C1171" s="3" t="str">
        <f>VLOOKUP(Table2[[#This Row],[Tegevusala]],Table4[],2,FALSE)</f>
        <v xml:space="preserve"> Ulvi Hooldekodu</v>
      </c>
      <c r="D1171" s="3" t="str">
        <f>VLOOKUP(Table2[[#This Row],[Tegevusala]],Table4[[Tegevusala kood]:[Tegevusala alanimetus]],4,FALSE)</f>
        <v>Eakate sotsiaalhoolekande asutused</v>
      </c>
      <c r="E1171" s="3" t="str">
        <f>VLOOKUP(Table2[[#This Row],[Tegevusala nimetus2]],Table4[[Tegevusala nimetus]:[Tegevusala koondnimetus]],2,FALSE)</f>
        <v>Sotsiaalne kaitse</v>
      </c>
      <c r="F1171" t="s">
        <v>1641</v>
      </c>
      <c r="G1171" t="s">
        <v>1664</v>
      </c>
      <c r="H1171" s="40">
        <v>1600</v>
      </c>
      <c r="J1171">
        <v>5525</v>
      </c>
      <c r="K1171" s="3" t="str">
        <f>VLOOKUP(Table2[[#This Row],[Konto]],Table5[[Konto]:[Konto nimetus]],2,FALSE)</f>
        <v>Kommunikatsiooni-, kultuuri- ja vaba aja sisustamise kulud</v>
      </c>
      <c r="L1171">
        <v>55</v>
      </c>
      <c r="M1171" t="str">
        <f t="shared" si="37"/>
        <v>55</v>
      </c>
      <c r="N1171" s="3" t="str">
        <f>VLOOKUP(Table2[[#This Row],[Tulu/kulu liik2]],Table5[[Tulu/kulu liik]:[Kontode koondnimetus]],4,FALSE)</f>
        <v>Muud tegevuskulud</v>
      </c>
      <c r="O1171" s="3" t="str">
        <f>VLOOKUP(Table2[[#This Row],[Tulu/kulu liik2]],Table5[],6,FALSE)</f>
        <v>Majandamiskulud</v>
      </c>
      <c r="P1171" s="3" t="str">
        <f>VLOOKUP(Table2[[#This Row],[Tulu/kulu liik2]],Table5[],5,FALSE)</f>
        <v>Põhitegevuse kulu</v>
      </c>
    </row>
    <row r="1172" spans="1:16" x14ac:dyDescent="0.25">
      <c r="A1172" t="str">
        <f t="shared" si="36"/>
        <v>10</v>
      </c>
      <c r="B1172" s="3" t="s">
        <v>374</v>
      </c>
      <c r="C1172" s="3" t="str">
        <f>VLOOKUP(Table2[[#This Row],[Tegevusala]],Table4[],2,FALSE)</f>
        <v xml:space="preserve"> Ulvi Hooldekodu</v>
      </c>
      <c r="D1172" s="3" t="str">
        <f>VLOOKUP(Table2[[#This Row],[Tegevusala]],Table4[[Tegevusala kood]:[Tegevusala alanimetus]],4,FALSE)</f>
        <v>Eakate sotsiaalhoolekande asutused</v>
      </c>
      <c r="E1172" s="3" t="str">
        <f>VLOOKUP(Table2[[#This Row],[Tegevusala nimetus2]],Table4[[Tegevusala nimetus]:[Tegevusala koondnimetus]],2,FALSE)</f>
        <v>Sotsiaalne kaitse</v>
      </c>
      <c r="F1172" t="s">
        <v>1641</v>
      </c>
      <c r="G1172" t="s">
        <v>1665</v>
      </c>
      <c r="H1172" s="40">
        <v>500</v>
      </c>
      <c r="J1172">
        <v>5532</v>
      </c>
      <c r="K1172" s="3" t="str">
        <f>VLOOKUP(Table2[[#This Row],[Konto]],Table5[[Konto]:[Konto nimetus]],2,FALSE)</f>
        <v>Eri- ja vormiriietus</v>
      </c>
      <c r="L1172">
        <v>55</v>
      </c>
      <c r="M1172" t="str">
        <f t="shared" si="37"/>
        <v>55</v>
      </c>
      <c r="N1172" s="3" t="str">
        <f>VLOOKUP(Table2[[#This Row],[Tulu/kulu liik2]],Table5[[Tulu/kulu liik]:[Kontode koondnimetus]],4,FALSE)</f>
        <v>Muud tegevuskulud</v>
      </c>
      <c r="O1172" s="3" t="str">
        <f>VLOOKUP(Table2[[#This Row],[Tulu/kulu liik2]],Table5[],6,FALSE)</f>
        <v>Majandamiskulud</v>
      </c>
      <c r="P1172" s="3" t="str">
        <f>VLOOKUP(Table2[[#This Row],[Tulu/kulu liik2]],Table5[],5,FALSE)</f>
        <v>Põhitegevuse kulu</v>
      </c>
    </row>
    <row r="1173" spans="1:16" x14ac:dyDescent="0.25">
      <c r="A1173" t="str">
        <f t="shared" si="36"/>
        <v>10</v>
      </c>
      <c r="B1173" s="3" t="s">
        <v>374</v>
      </c>
      <c r="C1173" s="3" t="str">
        <f>VLOOKUP(Table2[[#This Row],[Tegevusala]],Table4[],2,FALSE)</f>
        <v xml:space="preserve"> Ulvi Hooldekodu</v>
      </c>
      <c r="D1173" s="3" t="str">
        <f>VLOOKUP(Table2[[#This Row],[Tegevusala]],Table4[[Tegevusala kood]:[Tegevusala alanimetus]],4,FALSE)</f>
        <v>Eakate sotsiaalhoolekande asutused</v>
      </c>
      <c r="E1173" s="3" t="str">
        <f>VLOOKUP(Table2[[#This Row],[Tegevusala nimetus2]],Table4[[Tegevusala nimetus]:[Tegevusala koondnimetus]],2,FALSE)</f>
        <v>Sotsiaalne kaitse</v>
      </c>
      <c r="F1173" t="s">
        <v>1641</v>
      </c>
      <c r="G1173" t="s">
        <v>1667</v>
      </c>
      <c r="H1173" s="40">
        <v>300</v>
      </c>
      <c r="J1173">
        <v>5526</v>
      </c>
      <c r="K1173" s="3" t="str">
        <f>VLOOKUP(Table2[[#This Row],[Konto]],Table5[[Konto]:[Konto nimetus]],2,FALSE)</f>
        <v>Sotsiaalteenused</v>
      </c>
      <c r="L1173">
        <v>55</v>
      </c>
      <c r="M1173" t="str">
        <f t="shared" si="37"/>
        <v>55</v>
      </c>
      <c r="N1173" s="3" t="str">
        <f>VLOOKUP(Table2[[#This Row],[Tulu/kulu liik2]],Table5[[Tulu/kulu liik]:[Kontode koondnimetus]],4,FALSE)</f>
        <v>Muud tegevuskulud</v>
      </c>
      <c r="O1173" s="3" t="str">
        <f>VLOOKUP(Table2[[#This Row],[Tulu/kulu liik2]],Table5[],6,FALSE)</f>
        <v>Majandamiskulud</v>
      </c>
      <c r="P1173" s="3" t="str">
        <f>VLOOKUP(Table2[[#This Row],[Tulu/kulu liik2]],Table5[],5,FALSE)</f>
        <v>Põhitegevuse kulu</v>
      </c>
    </row>
    <row r="1174" spans="1:16" x14ac:dyDescent="0.25">
      <c r="A1174" t="str">
        <f t="shared" si="36"/>
        <v>10</v>
      </c>
      <c r="B1174" s="3" t="s">
        <v>374</v>
      </c>
      <c r="C1174" s="3" t="str">
        <f>VLOOKUP(Table2[[#This Row],[Tegevusala]],Table4[],2,FALSE)</f>
        <v xml:space="preserve"> Ulvi Hooldekodu</v>
      </c>
      <c r="D1174" s="3" t="str">
        <f>VLOOKUP(Table2[[#This Row],[Tegevusala]],Table4[[Tegevusala kood]:[Tegevusala alanimetus]],4,FALSE)</f>
        <v>Eakate sotsiaalhoolekande asutused</v>
      </c>
      <c r="E1174" s="3" t="str">
        <f>VLOOKUP(Table2[[#This Row],[Tegevusala nimetus2]],Table4[[Tegevusala nimetus]:[Tegevusala koondnimetus]],2,FALSE)</f>
        <v>Sotsiaalne kaitse</v>
      </c>
      <c r="F1174" t="s">
        <v>1641</v>
      </c>
      <c r="G1174" t="s">
        <v>1668</v>
      </c>
      <c r="H1174" s="40">
        <v>1000</v>
      </c>
      <c r="I1174" s="2" t="s">
        <v>1666</v>
      </c>
      <c r="J1174">
        <v>5526</v>
      </c>
      <c r="K1174" s="3" t="str">
        <f>VLOOKUP(Table2[[#This Row],[Konto]],Table5[[Konto]:[Konto nimetus]],2,FALSE)</f>
        <v>Sotsiaalteenused</v>
      </c>
      <c r="L1174">
        <v>55</v>
      </c>
      <c r="M1174" t="str">
        <f t="shared" si="37"/>
        <v>55</v>
      </c>
      <c r="N1174" s="3" t="str">
        <f>VLOOKUP(Table2[[#This Row],[Tulu/kulu liik2]],Table5[[Tulu/kulu liik]:[Kontode koondnimetus]],4,FALSE)</f>
        <v>Muud tegevuskulud</v>
      </c>
      <c r="O1174" s="3" t="str">
        <f>VLOOKUP(Table2[[#This Row],[Tulu/kulu liik2]],Table5[],6,FALSE)</f>
        <v>Majandamiskulud</v>
      </c>
      <c r="P1174" s="3" t="str">
        <f>VLOOKUP(Table2[[#This Row],[Tulu/kulu liik2]],Table5[],5,FALSE)</f>
        <v>Põhitegevuse kulu</v>
      </c>
    </row>
    <row r="1175" spans="1:16" x14ac:dyDescent="0.25">
      <c r="A1175" t="str">
        <f t="shared" si="36"/>
        <v>10</v>
      </c>
      <c r="B1175" s="3" t="s">
        <v>374</v>
      </c>
      <c r="C1175" s="3" t="str">
        <f>VLOOKUP(Table2[[#This Row],[Tegevusala]],Table4[],2,FALSE)</f>
        <v xml:space="preserve"> Ulvi Hooldekodu</v>
      </c>
      <c r="D1175" s="3" t="str">
        <f>VLOOKUP(Table2[[#This Row],[Tegevusala]],Table4[[Tegevusala kood]:[Tegevusala alanimetus]],4,FALSE)</f>
        <v>Eakate sotsiaalhoolekande asutused</v>
      </c>
      <c r="E1175" s="3" t="str">
        <f>VLOOKUP(Table2[[#This Row],[Tegevusala nimetus2]],Table4[[Tegevusala nimetus]:[Tegevusala koondnimetus]],2,FALSE)</f>
        <v>Sotsiaalne kaitse</v>
      </c>
      <c r="F1175" t="s">
        <v>1641</v>
      </c>
      <c r="G1175" t="s">
        <v>1649</v>
      </c>
      <c r="H1175" s="40">
        <v>9000</v>
      </c>
      <c r="J1175">
        <v>5511</v>
      </c>
      <c r="K1175" s="3" t="str">
        <f>VLOOKUP(Table2[[#This Row],[Konto]],Table5[[Konto]:[Konto nimetus]],2,FALSE)</f>
        <v>Kinnistute, hoonete ja ruumide majandamiskulud</v>
      </c>
      <c r="L1175">
        <v>55</v>
      </c>
      <c r="M1175" t="str">
        <f t="shared" si="37"/>
        <v>55</v>
      </c>
      <c r="N1175" s="3" t="str">
        <f>VLOOKUP(Table2[[#This Row],[Tulu/kulu liik2]],Table5[[Tulu/kulu liik]:[Kontode koondnimetus]],4,FALSE)</f>
        <v>Muud tegevuskulud</v>
      </c>
      <c r="O1175" s="3" t="str">
        <f>VLOOKUP(Table2[[#This Row],[Tulu/kulu liik2]],Table5[],6,FALSE)</f>
        <v>Majandamiskulud</v>
      </c>
      <c r="P1175" s="3" t="str">
        <f>VLOOKUP(Table2[[#This Row],[Tulu/kulu liik2]],Table5[],5,FALSE)</f>
        <v>Põhitegevuse kulu</v>
      </c>
    </row>
    <row r="1176" spans="1:16" x14ac:dyDescent="0.25">
      <c r="A1176" t="str">
        <f t="shared" si="36"/>
        <v>10</v>
      </c>
      <c r="B1176" s="3" t="s">
        <v>374</v>
      </c>
      <c r="C1176" s="3" t="str">
        <f>VLOOKUP(Table2[[#This Row],[Tegevusala]],Table4[],2,FALSE)</f>
        <v xml:space="preserve"> Ulvi Hooldekodu</v>
      </c>
      <c r="D1176" s="3" t="str">
        <f>VLOOKUP(Table2[[#This Row],[Tegevusala]],Table4[[Tegevusala kood]:[Tegevusala alanimetus]],4,FALSE)</f>
        <v>Eakate sotsiaalhoolekande asutused</v>
      </c>
      <c r="E1176" s="3" t="str">
        <f>VLOOKUP(Table2[[#This Row],[Tegevusala nimetus2]],Table4[[Tegevusala nimetus]:[Tegevusala koondnimetus]],2,FALSE)</f>
        <v>Sotsiaalne kaitse</v>
      </c>
      <c r="F1176" t="s">
        <v>1641</v>
      </c>
      <c r="G1176" t="s">
        <v>178</v>
      </c>
      <c r="H1176" s="40">
        <v>6000</v>
      </c>
      <c r="J1176">
        <v>5511</v>
      </c>
      <c r="K1176" s="3" t="str">
        <f>VLOOKUP(Table2[[#This Row],[Konto]],Table5[[Konto]:[Konto nimetus]],2,FALSE)</f>
        <v>Kinnistute, hoonete ja ruumide majandamiskulud</v>
      </c>
      <c r="L1176">
        <v>55</v>
      </c>
      <c r="M1176" t="str">
        <f t="shared" si="37"/>
        <v>55</v>
      </c>
      <c r="N1176" s="3" t="str">
        <f>VLOOKUP(Table2[[#This Row],[Tulu/kulu liik2]],Table5[[Tulu/kulu liik]:[Kontode koondnimetus]],4,FALSE)</f>
        <v>Muud tegevuskulud</v>
      </c>
      <c r="O1176" s="3" t="str">
        <f>VLOOKUP(Table2[[#This Row],[Tulu/kulu liik2]],Table5[],6,FALSE)</f>
        <v>Majandamiskulud</v>
      </c>
      <c r="P1176" s="3" t="str">
        <f>VLOOKUP(Table2[[#This Row],[Tulu/kulu liik2]],Table5[],5,FALSE)</f>
        <v>Põhitegevuse kulu</v>
      </c>
    </row>
    <row r="1177" spans="1:16" x14ac:dyDescent="0.25">
      <c r="A1177" t="str">
        <f t="shared" si="36"/>
        <v>10</v>
      </c>
      <c r="B1177" s="3" t="s">
        <v>374</v>
      </c>
      <c r="C1177" s="3" t="str">
        <f>VLOOKUP(Table2[[#This Row],[Tegevusala]],Table4[],2,FALSE)</f>
        <v xml:space="preserve"> Ulvi Hooldekodu</v>
      </c>
      <c r="D1177" s="3" t="str">
        <f>VLOOKUP(Table2[[#This Row],[Tegevusala]],Table4[[Tegevusala kood]:[Tegevusala alanimetus]],4,FALSE)</f>
        <v>Eakate sotsiaalhoolekande asutused</v>
      </c>
      <c r="E1177" s="3" t="str">
        <f>VLOOKUP(Table2[[#This Row],[Tegevusala nimetus2]],Table4[[Tegevusala nimetus]:[Tegevusala koondnimetus]],2,FALSE)</f>
        <v>Sotsiaalne kaitse</v>
      </c>
      <c r="F1177" t="s">
        <v>1641</v>
      </c>
      <c r="G1177" t="s">
        <v>443</v>
      </c>
      <c r="H1177" s="40">
        <v>2400</v>
      </c>
      <c r="J1177">
        <v>5511</v>
      </c>
      <c r="K1177" s="3" t="str">
        <f>VLOOKUP(Table2[[#This Row],[Konto]],Table5[[Konto]:[Konto nimetus]],2,FALSE)</f>
        <v>Kinnistute, hoonete ja ruumide majandamiskulud</v>
      </c>
      <c r="L1177">
        <v>55</v>
      </c>
      <c r="M1177" t="str">
        <f t="shared" si="37"/>
        <v>55</v>
      </c>
      <c r="N1177" s="3" t="str">
        <f>VLOOKUP(Table2[[#This Row],[Tulu/kulu liik2]],Table5[[Tulu/kulu liik]:[Kontode koondnimetus]],4,FALSE)</f>
        <v>Muud tegevuskulud</v>
      </c>
      <c r="O1177" s="3" t="str">
        <f>VLOOKUP(Table2[[#This Row],[Tulu/kulu liik2]],Table5[],6,FALSE)</f>
        <v>Majandamiskulud</v>
      </c>
      <c r="P1177" s="3" t="str">
        <f>VLOOKUP(Table2[[#This Row],[Tulu/kulu liik2]],Table5[],5,FALSE)</f>
        <v>Põhitegevuse kulu</v>
      </c>
    </row>
    <row r="1178" spans="1:16" x14ac:dyDescent="0.25">
      <c r="A1178" t="str">
        <f t="shared" si="36"/>
        <v>10</v>
      </c>
      <c r="B1178" s="3" t="s">
        <v>374</v>
      </c>
      <c r="C1178" s="3" t="str">
        <f>VLOOKUP(Table2[[#This Row],[Tegevusala]],Table4[],2,FALSE)</f>
        <v xml:space="preserve"> Ulvi Hooldekodu</v>
      </c>
      <c r="D1178" s="3" t="str">
        <f>VLOOKUP(Table2[[#This Row],[Tegevusala]],Table4[[Tegevusala kood]:[Tegevusala alanimetus]],4,FALSE)</f>
        <v>Eakate sotsiaalhoolekande asutused</v>
      </c>
      <c r="E1178" s="3" t="str">
        <f>VLOOKUP(Table2[[#This Row],[Tegevusala nimetus2]],Table4[[Tegevusala nimetus]:[Tegevusala koondnimetus]],2,FALSE)</f>
        <v>Sotsiaalne kaitse</v>
      </c>
      <c r="F1178" t="s">
        <v>1641</v>
      </c>
      <c r="G1178" t="s">
        <v>1648</v>
      </c>
      <c r="H1178" s="40">
        <v>1000</v>
      </c>
      <c r="J1178">
        <v>5511</v>
      </c>
      <c r="K1178" s="3" t="str">
        <f>VLOOKUP(Table2[[#This Row],[Konto]],Table5[[Konto]:[Konto nimetus]],2,FALSE)</f>
        <v>Kinnistute, hoonete ja ruumide majandamiskulud</v>
      </c>
      <c r="L1178">
        <v>55</v>
      </c>
      <c r="M1178" t="str">
        <f t="shared" si="37"/>
        <v>55</v>
      </c>
      <c r="N1178" s="3" t="str">
        <f>VLOOKUP(Table2[[#This Row],[Tulu/kulu liik2]],Table5[[Tulu/kulu liik]:[Kontode koondnimetus]],4,FALSE)</f>
        <v>Muud tegevuskulud</v>
      </c>
      <c r="O1178" s="3" t="str">
        <f>VLOOKUP(Table2[[#This Row],[Tulu/kulu liik2]],Table5[],6,FALSE)</f>
        <v>Majandamiskulud</v>
      </c>
      <c r="P1178" s="3" t="str">
        <f>VLOOKUP(Table2[[#This Row],[Tulu/kulu liik2]],Table5[],5,FALSE)</f>
        <v>Põhitegevuse kulu</v>
      </c>
    </row>
    <row r="1179" spans="1:16" x14ac:dyDescent="0.25">
      <c r="A1179" t="str">
        <f t="shared" si="36"/>
        <v>10</v>
      </c>
      <c r="B1179" s="3" t="s">
        <v>374</v>
      </c>
      <c r="C1179" s="3" t="str">
        <f>VLOOKUP(Table2[[#This Row],[Tegevusala]],Table4[],2,FALSE)</f>
        <v xml:space="preserve"> Ulvi Hooldekodu</v>
      </c>
      <c r="D1179" s="3" t="str">
        <f>VLOOKUP(Table2[[#This Row],[Tegevusala]],Table4[[Tegevusala kood]:[Tegevusala alanimetus]],4,FALSE)</f>
        <v>Eakate sotsiaalhoolekande asutused</v>
      </c>
      <c r="E1179" s="3" t="str">
        <f>VLOOKUP(Table2[[#This Row],[Tegevusala nimetus2]],Table4[[Tegevusala nimetus]:[Tegevusala koondnimetus]],2,FALSE)</f>
        <v>Sotsiaalne kaitse</v>
      </c>
      <c r="F1179" t="s">
        <v>1641</v>
      </c>
      <c r="G1179" t="s">
        <v>1647</v>
      </c>
      <c r="H1179" s="40">
        <v>900</v>
      </c>
      <c r="J1179">
        <v>5511</v>
      </c>
      <c r="K1179" s="3" t="str">
        <f>VLOOKUP(Table2[[#This Row],[Konto]],Table5[[Konto]:[Konto nimetus]],2,FALSE)</f>
        <v>Kinnistute, hoonete ja ruumide majandamiskulud</v>
      </c>
      <c r="L1179">
        <v>55</v>
      </c>
      <c r="M1179" t="str">
        <f t="shared" si="37"/>
        <v>55</v>
      </c>
      <c r="N1179" s="3" t="str">
        <f>VLOOKUP(Table2[[#This Row],[Tulu/kulu liik2]],Table5[[Tulu/kulu liik]:[Kontode koondnimetus]],4,FALSE)</f>
        <v>Muud tegevuskulud</v>
      </c>
      <c r="O1179" s="3" t="str">
        <f>VLOOKUP(Table2[[#This Row],[Tulu/kulu liik2]],Table5[],6,FALSE)</f>
        <v>Majandamiskulud</v>
      </c>
      <c r="P1179" s="3" t="str">
        <f>VLOOKUP(Table2[[#This Row],[Tulu/kulu liik2]],Table5[],5,FALSE)</f>
        <v>Põhitegevuse kulu</v>
      </c>
    </row>
    <row r="1180" spans="1:16" x14ac:dyDescent="0.25">
      <c r="A1180" t="str">
        <f t="shared" si="36"/>
        <v>10</v>
      </c>
      <c r="B1180" s="3" t="s">
        <v>374</v>
      </c>
      <c r="C1180" s="3" t="str">
        <f>VLOOKUP(Table2[[#This Row],[Tegevusala]],Table4[],2,FALSE)</f>
        <v xml:space="preserve"> Ulvi Hooldekodu</v>
      </c>
      <c r="D1180" s="3" t="str">
        <f>VLOOKUP(Table2[[#This Row],[Tegevusala]],Table4[[Tegevusala kood]:[Tegevusala alanimetus]],4,FALSE)</f>
        <v>Eakate sotsiaalhoolekande asutused</v>
      </c>
      <c r="E1180" s="3" t="str">
        <f>VLOOKUP(Table2[[#This Row],[Tegevusala nimetus2]],Table4[[Tegevusala nimetus]:[Tegevusala koondnimetus]],2,FALSE)</f>
        <v>Sotsiaalne kaitse</v>
      </c>
      <c r="F1180" t="s">
        <v>1641</v>
      </c>
      <c r="G1180" t="s">
        <v>1646</v>
      </c>
      <c r="H1180" s="40">
        <v>6000</v>
      </c>
      <c r="J1180">
        <v>5511</v>
      </c>
      <c r="K1180" s="3" t="str">
        <f>VLOOKUP(Table2[[#This Row],[Konto]],Table5[[Konto]:[Konto nimetus]],2,FALSE)</f>
        <v>Kinnistute, hoonete ja ruumide majandamiskulud</v>
      </c>
      <c r="L1180">
        <v>55</v>
      </c>
      <c r="M1180" t="str">
        <f t="shared" si="37"/>
        <v>55</v>
      </c>
      <c r="N1180" s="3" t="str">
        <f>VLOOKUP(Table2[[#This Row],[Tulu/kulu liik2]],Table5[[Tulu/kulu liik]:[Kontode koondnimetus]],4,FALSE)</f>
        <v>Muud tegevuskulud</v>
      </c>
      <c r="O1180" s="3" t="str">
        <f>VLOOKUP(Table2[[#This Row],[Tulu/kulu liik2]],Table5[],6,FALSE)</f>
        <v>Majandamiskulud</v>
      </c>
      <c r="P1180" s="3" t="str">
        <f>VLOOKUP(Table2[[#This Row],[Tulu/kulu liik2]],Table5[],5,FALSE)</f>
        <v>Põhitegevuse kulu</v>
      </c>
    </row>
    <row r="1181" spans="1:16" x14ac:dyDescent="0.25">
      <c r="A1181" t="str">
        <f t="shared" si="36"/>
        <v>10</v>
      </c>
      <c r="B1181" s="3" t="s">
        <v>374</v>
      </c>
      <c r="C1181" s="3" t="str">
        <f>VLOOKUP(Table2[[#This Row],[Tegevusala]],Table4[],2,FALSE)</f>
        <v xml:space="preserve"> Ulvi Hooldekodu</v>
      </c>
      <c r="D1181" s="3" t="str">
        <f>VLOOKUP(Table2[[#This Row],[Tegevusala]],Table4[[Tegevusala kood]:[Tegevusala alanimetus]],4,FALSE)</f>
        <v>Eakate sotsiaalhoolekande asutused</v>
      </c>
      <c r="E1181" s="3" t="str">
        <f>VLOOKUP(Table2[[#This Row],[Tegevusala nimetus2]],Table4[[Tegevusala nimetus]:[Tegevusala koondnimetus]],2,FALSE)</f>
        <v>Sotsiaalne kaitse</v>
      </c>
      <c r="F1181" t="s">
        <v>1641</v>
      </c>
      <c r="G1181" t="s">
        <v>1645</v>
      </c>
      <c r="H1181" s="40">
        <v>180</v>
      </c>
      <c r="J1181">
        <v>5511</v>
      </c>
      <c r="K1181" s="3" t="str">
        <f>VLOOKUP(Table2[[#This Row],[Konto]],Table5[[Konto]:[Konto nimetus]],2,FALSE)</f>
        <v>Kinnistute, hoonete ja ruumide majandamiskulud</v>
      </c>
      <c r="L1181">
        <v>55</v>
      </c>
      <c r="M1181" t="str">
        <f t="shared" si="37"/>
        <v>55</v>
      </c>
      <c r="N1181" s="3" t="str">
        <f>VLOOKUP(Table2[[#This Row],[Tulu/kulu liik2]],Table5[[Tulu/kulu liik]:[Kontode koondnimetus]],4,FALSE)</f>
        <v>Muud tegevuskulud</v>
      </c>
      <c r="O1181" s="3" t="str">
        <f>VLOOKUP(Table2[[#This Row],[Tulu/kulu liik2]],Table5[],6,FALSE)</f>
        <v>Majandamiskulud</v>
      </c>
      <c r="P1181" s="3" t="str">
        <f>VLOOKUP(Table2[[#This Row],[Tulu/kulu liik2]],Table5[],5,FALSE)</f>
        <v>Põhitegevuse kulu</v>
      </c>
    </row>
    <row r="1182" spans="1:16" x14ac:dyDescent="0.25">
      <c r="A1182" t="str">
        <f t="shared" si="36"/>
        <v>10</v>
      </c>
      <c r="B1182" s="3" t="s">
        <v>374</v>
      </c>
      <c r="C1182" s="3" t="str">
        <f>VLOOKUP(Table2[[#This Row],[Tegevusala]],Table4[],2,FALSE)</f>
        <v xml:space="preserve"> Ulvi Hooldekodu</v>
      </c>
      <c r="D1182" s="3" t="str">
        <f>VLOOKUP(Table2[[#This Row],[Tegevusala]],Table4[[Tegevusala kood]:[Tegevusala alanimetus]],4,FALSE)</f>
        <v>Eakate sotsiaalhoolekande asutused</v>
      </c>
      <c r="E1182" s="3" t="str">
        <f>VLOOKUP(Table2[[#This Row],[Tegevusala nimetus2]],Table4[[Tegevusala nimetus]:[Tegevusala koondnimetus]],2,FALSE)</f>
        <v>Sotsiaalne kaitse</v>
      </c>
      <c r="F1182" t="s">
        <v>1641</v>
      </c>
      <c r="G1182" t="s">
        <v>1653</v>
      </c>
      <c r="H1182" s="40">
        <v>650</v>
      </c>
      <c r="J1182">
        <v>5514</v>
      </c>
      <c r="K1182" s="3" t="str">
        <f>VLOOKUP(Table2[[#This Row],[Konto]],Table5[[Konto]:[Konto nimetus]],2,FALSE)</f>
        <v>Info- ja kommunikatsioonitehnoliigised kulud</v>
      </c>
      <c r="L1182">
        <v>55</v>
      </c>
      <c r="M1182" t="str">
        <f t="shared" si="37"/>
        <v>55</v>
      </c>
      <c r="N1182" s="3" t="str">
        <f>VLOOKUP(Table2[[#This Row],[Tulu/kulu liik2]],Table5[[Tulu/kulu liik]:[Kontode koondnimetus]],4,FALSE)</f>
        <v>Muud tegevuskulud</v>
      </c>
      <c r="O1182" s="3" t="str">
        <f>VLOOKUP(Table2[[#This Row],[Tulu/kulu liik2]],Table5[],6,FALSE)</f>
        <v>Majandamiskulud</v>
      </c>
      <c r="P1182" s="3" t="str">
        <f>VLOOKUP(Table2[[#This Row],[Tulu/kulu liik2]],Table5[],5,FALSE)</f>
        <v>Põhitegevuse kulu</v>
      </c>
    </row>
    <row r="1183" spans="1:16" x14ac:dyDescent="0.25">
      <c r="A1183" t="str">
        <f t="shared" si="36"/>
        <v>10</v>
      </c>
      <c r="B1183" s="3" t="s">
        <v>374</v>
      </c>
      <c r="C1183" s="3" t="str">
        <f>VLOOKUP(Table2[[#This Row],[Tegevusala]],Table4[],2,FALSE)</f>
        <v xml:space="preserve"> Ulvi Hooldekodu</v>
      </c>
      <c r="D1183" s="3" t="str">
        <f>VLOOKUP(Table2[[#This Row],[Tegevusala]],Table4[[Tegevusala kood]:[Tegevusala alanimetus]],4,FALSE)</f>
        <v>Eakate sotsiaalhoolekande asutused</v>
      </c>
      <c r="E1183" s="3" t="str">
        <f>VLOOKUP(Table2[[#This Row],[Tegevusala nimetus2]],Table4[[Tegevusala nimetus]:[Tegevusala koondnimetus]],2,FALSE)</f>
        <v>Sotsiaalne kaitse</v>
      </c>
      <c r="F1183" t="s">
        <v>1641</v>
      </c>
      <c r="G1183" t="s">
        <v>1652</v>
      </c>
      <c r="H1183" s="40">
        <v>100</v>
      </c>
      <c r="J1183">
        <v>5514</v>
      </c>
      <c r="K1183" s="3" t="str">
        <f>VLOOKUP(Table2[[#This Row],[Konto]],Table5[[Konto]:[Konto nimetus]],2,FALSE)</f>
        <v>Info- ja kommunikatsioonitehnoliigised kulud</v>
      </c>
      <c r="L1183">
        <v>55</v>
      </c>
      <c r="M1183" t="str">
        <f t="shared" si="37"/>
        <v>55</v>
      </c>
      <c r="N1183" s="3" t="str">
        <f>VLOOKUP(Table2[[#This Row],[Tulu/kulu liik2]],Table5[[Tulu/kulu liik]:[Kontode koondnimetus]],4,FALSE)</f>
        <v>Muud tegevuskulud</v>
      </c>
      <c r="O1183" s="3" t="str">
        <f>VLOOKUP(Table2[[#This Row],[Tulu/kulu liik2]],Table5[],6,FALSE)</f>
        <v>Majandamiskulud</v>
      </c>
      <c r="P1183" s="3" t="str">
        <f>VLOOKUP(Table2[[#This Row],[Tulu/kulu liik2]],Table5[],5,FALSE)</f>
        <v>Põhitegevuse kulu</v>
      </c>
    </row>
    <row r="1184" spans="1:16" x14ac:dyDescent="0.25">
      <c r="A1184" t="str">
        <f t="shared" si="36"/>
        <v>10</v>
      </c>
      <c r="B1184" s="3" t="s">
        <v>374</v>
      </c>
      <c r="C1184" s="3" t="str">
        <f>VLOOKUP(Table2[[#This Row],[Tegevusala]],Table4[],2,FALSE)</f>
        <v xml:space="preserve"> Ulvi Hooldekodu</v>
      </c>
      <c r="D1184" s="3" t="str">
        <f>VLOOKUP(Table2[[#This Row],[Tegevusala]],Table4[[Tegevusala kood]:[Tegevusala alanimetus]],4,FALSE)</f>
        <v>Eakate sotsiaalhoolekande asutused</v>
      </c>
      <c r="E1184" s="3" t="str">
        <f>VLOOKUP(Table2[[#This Row],[Tegevusala nimetus2]],Table4[[Tegevusala nimetus]:[Tegevusala koondnimetus]],2,FALSE)</f>
        <v>Sotsiaalne kaitse</v>
      </c>
      <c r="F1184" t="s">
        <v>1641</v>
      </c>
      <c r="G1184" t="s">
        <v>1661</v>
      </c>
      <c r="H1184" s="40">
        <v>-2200</v>
      </c>
      <c r="I1184" s="2" t="s">
        <v>2150</v>
      </c>
      <c r="J1184">
        <v>5521</v>
      </c>
      <c r="K1184" s="3" t="str">
        <f>VLOOKUP(Table2[[#This Row],[Konto]],Table5[[Konto]:[Konto nimetus]],2,FALSE)</f>
        <v>Toiduained ja toitlustusteenused</v>
      </c>
      <c r="L1184">
        <v>55</v>
      </c>
      <c r="M1184" t="str">
        <f t="shared" si="37"/>
        <v>55</v>
      </c>
      <c r="N1184" s="3" t="str">
        <f>VLOOKUP(Table2[[#This Row],[Tulu/kulu liik2]],Table5[[Tulu/kulu liik]:[Kontode koondnimetus]],4,FALSE)</f>
        <v>Muud tegevuskulud</v>
      </c>
      <c r="O1184" s="34" t="str">
        <f>VLOOKUP(Table2[[#This Row],[Tulu/kulu liik2]],Table5[],6,FALSE)</f>
        <v>Majandamiskulud</v>
      </c>
      <c r="P1184" s="3" t="str">
        <f>VLOOKUP(Table2[[#This Row],[Tulu/kulu liik2]],Table5[],5,FALSE)</f>
        <v>Põhitegevuse kulu</v>
      </c>
    </row>
    <row r="1185" spans="1:16" x14ac:dyDescent="0.25">
      <c r="A1185" t="str">
        <f t="shared" si="36"/>
        <v>10</v>
      </c>
      <c r="B1185" s="3" t="s">
        <v>374</v>
      </c>
      <c r="C1185" s="3" t="str">
        <f>VLOOKUP(Table2[[#This Row],[Tegevusala]],Table4[],2,FALSE)</f>
        <v xml:space="preserve"> Ulvi Hooldekodu</v>
      </c>
      <c r="D1185" s="3" t="str">
        <f>VLOOKUP(Table2[[#This Row],[Tegevusala]],Table4[[Tegevusala kood]:[Tegevusala alanimetus]],4,FALSE)</f>
        <v>Eakate sotsiaalhoolekande asutused</v>
      </c>
      <c r="E1185" s="3" t="str">
        <f>VLOOKUP(Table2[[#This Row],[Tegevusala nimetus2]],Table4[[Tegevusala nimetus]:[Tegevusala koondnimetus]],2,FALSE)</f>
        <v>Sotsiaalne kaitse</v>
      </c>
      <c r="F1185" t="s">
        <v>1641</v>
      </c>
      <c r="G1185" t="s">
        <v>1662</v>
      </c>
      <c r="H1185" s="40">
        <v>12000</v>
      </c>
      <c r="J1185">
        <v>5522</v>
      </c>
      <c r="K1185" s="3" t="str">
        <f>VLOOKUP(Table2[[#This Row],[Konto]],Table5[[Konto]:[Konto nimetus]],2,FALSE)</f>
        <v>Meditsiinikulud ja hügieenitarbed</v>
      </c>
      <c r="L1185">
        <v>55</v>
      </c>
      <c r="M1185" t="str">
        <f t="shared" si="37"/>
        <v>55</v>
      </c>
      <c r="N1185" s="3" t="str">
        <f>VLOOKUP(Table2[[#This Row],[Tulu/kulu liik2]],Table5[[Tulu/kulu liik]:[Kontode koondnimetus]],4,FALSE)</f>
        <v>Muud tegevuskulud</v>
      </c>
      <c r="O1185" s="34" t="str">
        <f>VLOOKUP(Table2[[#This Row],[Tulu/kulu liik2]],Table5[],6,FALSE)</f>
        <v>Majandamiskulud</v>
      </c>
      <c r="P1185" s="3" t="str">
        <f>VLOOKUP(Table2[[#This Row],[Tulu/kulu liik2]],Table5[],5,FALSE)</f>
        <v>Põhitegevuse kulu</v>
      </c>
    </row>
    <row r="1186" spans="1:16" x14ac:dyDescent="0.25">
      <c r="A1186" t="str">
        <f t="shared" si="36"/>
        <v>10</v>
      </c>
      <c r="B1186" s="3" t="s">
        <v>374</v>
      </c>
      <c r="C1186" s="3" t="str">
        <f>VLOOKUP(Table2[[#This Row],[Tegevusala]],Table4[],2,FALSE)</f>
        <v xml:space="preserve"> Ulvi Hooldekodu</v>
      </c>
      <c r="D1186" s="3" t="str">
        <f>VLOOKUP(Table2[[#This Row],[Tegevusala]],Table4[[Tegevusala kood]:[Tegevusala alanimetus]],4,FALSE)</f>
        <v>Eakate sotsiaalhoolekande asutused</v>
      </c>
      <c r="E1186" s="3" t="str">
        <f>VLOOKUP(Table2[[#This Row],[Tegevusala nimetus2]],Table4[[Tegevusala nimetus]:[Tegevusala koondnimetus]],2,FALSE)</f>
        <v>Sotsiaalne kaitse</v>
      </c>
      <c r="F1186" t="s">
        <v>1641</v>
      </c>
      <c r="G1186" t="s">
        <v>1662</v>
      </c>
      <c r="H1186" s="40">
        <v>-12000</v>
      </c>
      <c r="I1186" s="2" t="s">
        <v>2151</v>
      </c>
      <c r="J1186">
        <v>5522</v>
      </c>
      <c r="K1186" s="3" t="str">
        <f>VLOOKUP(Table2[[#This Row],[Konto]],Table5[[Konto]:[Konto nimetus]],2,FALSE)</f>
        <v>Meditsiinikulud ja hügieenitarbed</v>
      </c>
      <c r="L1186">
        <v>55</v>
      </c>
      <c r="M1186" t="str">
        <f t="shared" si="37"/>
        <v>55</v>
      </c>
      <c r="N1186" s="3" t="str">
        <f>VLOOKUP(Table2[[#This Row],[Tulu/kulu liik2]],Table5[[Tulu/kulu liik]:[Kontode koondnimetus]],4,FALSE)</f>
        <v>Muud tegevuskulud</v>
      </c>
      <c r="O1186" s="34" t="str">
        <f>VLOOKUP(Table2[[#This Row],[Tulu/kulu liik2]],Table5[],6,FALSE)</f>
        <v>Majandamiskulud</v>
      </c>
      <c r="P1186" s="3" t="str">
        <f>VLOOKUP(Table2[[#This Row],[Tulu/kulu liik2]],Table5[],5,FALSE)</f>
        <v>Põhitegevuse kulu</v>
      </c>
    </row>
    <row r="1187" spans="1:16" x14ac:dyDescent="0.25">
      <c r="A1187" s="33" t="str">
        <f t="shared" si="36"/>
        <v>10</v>
      </c>
      <c r="B1187" s="33" t="s">
        <v>376</v>
      </c>
      <c r="C1187" s="34" t="str">
        <f>VLOOKUP(Table2[[#This Row],[Tegevusala]],Table4[],2,FALSE)</f>
        <v xml:space="preserve"> Muud asutused</v>
      </c>
      <c r="D1187" s="34" t="str">
        <f>VLOOKUP(Table2[[#This Row],[Tegevusala]],Table4[[Tegevusala kood]:[Tegevusala alanimetus]],4,FALSE)</f>
        <v>Eakate sotsiaalhoolekande asutused</v>
      </c>
      <c r="E1187" s="34" t="str">
        <f>VLOOKUP(Table2[[#This Row],[Tegevusala nimetus2]],Table4[[Tegevusala nimetus]:[Tegevusala koondnimetus]],2,FALSE)</f>
        <v>Sotsiaalne kaitse</v>
      </c>
      <c r="F1187" s="33" t="s">
        <v>462</v>
      </c>
      <c r="G1187" s="33" t="s">
        <v>700</v>
      </c>
      <c r="H1187" s="47">
        <v>70000</v>
      </c>
      <c r="I1187" s="35"/>
      <c r="J1187" s="33">
        <v>5526</v>
      </c>
      <c r="K1187" s="34" t="str">
        <f>VLOOKUP(Table2[[#This Row],[Konto]],Table5[[Konto]:[Konto nimetus]],2,FALSE)</f>
        <v>Sotsiaalteenused</v>
      </c>
      <c r="L1187" s="33">
        <v>55</v>
      </c>
      <c r="M1187" s="33" t="str">
        <f t="shared" si="37"/>
        <v>55</v>
      </c>
      <c r="N1187" s="34" t="str">
        <f>VLOOKUP(Table2[[#This Row],[Tulu/kulu liik2]],Table5[[Tulu/kulu liik]:[Kontode koondnimetus]],4,FALSE)</f>
        <v>Muud tegevuskulud</v>
      </c>
      <c r="O1187" s="34" t="str">
        <f>VLOOKUP(Table2[[#This Row],[Tulu/kulu liik2]],Table5[],6,FALSE)</f>
        <v>Majandamiskulud</v>
      </c>
      <c r="P1187" s="34" t="str">
        <f>VLOOKUP(Table2[[#This Row],[Tulu/kulu liik2]],Table5[],5,FALSE)</f>
        <v>Põhitegevuse kulu</v>
      </c>
    </row>
    <row r="1188" spans="1:16" x14ac:dyDescent="0.25">
      <c r="A1188" t="str">
        <f t="shared" si="36"/>
        <v>10</v>
      </c>
      <c r="B1188" t="s">
        <v>378</v>
      </c>
      <c r="C1188" s="3" t="str">
        <f>VLOOKUP(Table2[[#This Row],[Tegevusala]],Table4[],2,FALSE)</f>
        <v xml:space="preserve"> Vinni Päevakeskus</v>
      </c>
      <c r="D1188" s="3" t="str">
        <f>VLOOKUP(Table2[[#This Row],[Tegevusala]],Table4[[Tegevusala kood]:[Tegevusala alanimetus]],4,FALSE)</f>
        <v>Eakate sotsiaalhoolekande asutused</v>
      </c>
      <c r="E1188" s="3" t="str">
        <f>VLOOKUP(Table2[[#This Row],[Tegevusala nimetus2]],Table4[[Tegevusala nimetus]:[Tegevusala koondnimetus]],2,FALSE)</f>
        <v>Sotsiaalne kaitse</v>
      </c>
      <c r="F1188" t="s">
        <v>437</v>
      </c>
      <c r="G1188" t="s">
        <v>438</v>
      </c>
      <c r="H1188" s="40">
        <v>40</v>
      </c>
      <c r="J1188">
        <v>5500</v>
      </c>
      <c r="K1188" s="3" t="str">
        <f>VLOOKUP(Table2[[#This Row],[Konto]],Table5[[Konto]:[Konto nimetus]],2,FALSE)</f>
        <v>Administreerimiskulud</v>
      </c>
      <c r="L1188">
        <v>55</v>
      </c>
      <c r="M1188" t="str">
        <f t="shared" si="37"/>
        <v>55</v>
      </c>
      <c r="N1188" t="str">
        <f>VLOOKUP(Table2[[#This Row],[Tulu/kulu liik2]],Table5[[Tulu/kulu liik]:[Kontode koondnimetus]],4,FALSE)</f>
        <v>Muud tegevuskulud</v>
      </c>
      <c r="O1188" t="str">
        <f>VLOOKUP(Table2[[#This Row],[Tulu/kulu liik2]],Table5[],6,FALSE)</f>
        <v>Majandamiskulud</v>
      </c>
      <c r="P1188" s="3" t="str">
        <f>VLOOKUP(Table2[[#This Row],[Tulu/kulu liik2]],Table5[],5,FALSE)</f>
        <v>Põhitegevuse kulu</v>
      </c>
    </row>
    <row r="1189" spans="1:16" x14ac:dyDescent="0.25">
      <c r="A1189" t="str">
        <f t="shared" si="36"/>
        <v>10</v>
      </c>
      <c r="B1189" t="s">
        <v>378</v>
      </c>
      <c r="C1189" s="3" t="str">
        <f>VLOOKUP(Table2[[#This Row],[Tegevusala]],Table4[],2,FALSE)</f>
        <v xml:space="preserve"> Vinni Päevakeskus</v>
      </c>
      <c r="D1189" s="3" t="str">
        <f>VLOOKUP(Table2[[#This Row],[Tegevusala]],Table4[[Tegevusala kood]:[Tegevusala alanimetus]],4,FALSE)</f>
        <v>Eakate sotsiaalhoolekande asutused</v>
      </c>
      <c r="E1189" s="3" t="str">
        <f>VLOOKUP(Table2[[#This Row],[Tegevusala nimetus2]],Table4[[Tegevusala nimetus]:[Tegevusala koondnimetus]],2,FALSE)</f>
        <v>Sotsiaalne kaitse</v>
      </c>
      <c r="F1189" t="s">
        <v>437</v>
      </c>
      <c r="G1189" t="s">
        <v>439</v>
      </c>
      <c r="H1189" s="40">
        <v>50</v>
      </c>
      <c r="J1189">
        <v>5500</v>
      </c>
      <c r="K1189" s="3" t="str">
        <f>VLOOKUP(Table2[[#This Row],[Konto]],Table5[[Konto]:[Konto nimetus]],2,FALSE)</f>
        <v>Administreerimiskulud</v>
      </c>
      <c r="L1189">
        <v>55</v>
      </c>
      <c r="M1189" t="str">
        <f t="shared" si="37"/>
        <v>55</v>
      </c>
      <c r="N1189" t="str">
        <f>VLOOKUP(Table2[[#This Row],[Tulu/kulu liik2]],Table5[[Tulu/kulu liik]:[Kontode koondnimetus]],4,FALSE)</f>
        <v>Muud tegevuskulud</v>
      </c>
      <c r="O1189" t="str">
        <f>VLOOKUP(Table2[[#This Row],[Tulu/kulu liik2]],Table5[],6,FALSE)</f>
        <v>Majandamiskulud</v>
      </c>
      <c r="P1189" s="3" t="str">
        <f>VLOOKUP(Table2[[#This Row],[Tulu/kulu liik2]],Table5[],5,FALSE)</f>
        <v>Põhitegevuse kulu</v>
      </c>
    </row>
    <row r="1190" spans="1:16" x14ac:dyDescent="0.25">
      <c r="A1190" t="str">
        <f t="shared" si="36"/>
        <v>10</v>
      </c>
      <c r="B1190" t="s">
        <v>378</v>
      </c>
      <c r="C1190" s="3" t="str">
        <f>VLOOKUP(Table2[[#This Row],[Tegevusala]],Table4[],2,FALSE)</f>
        <v xml:space="preserve"> Vinni Päevakeskus</v>
      </c>
      <c r="D1190" s="3" t="str">
        <f>VLOOKUP(Table2[[#This Row],[Tegevusala]],Table4[[Tegevusala kood]:[Tegevusala alanimetus]],4,FALSE)</f>
        <v>Eakate sotsiaalhoolekande asutused</v>
      </c>
      <c r="E1190" s="3" t="str">
        <f>VLOOKUP(Table2[[#This Row],[Tegevusala nimetus2]],Table4[[Tegevusala nimetus]:[Tegevusala koondnimetus]],2,FALSE)</f>
        <v>Sotsiaalne kaitse</v>
      </c>
      <c r="F1190" t="s">
        <v>437</v>
      </c>
      <c r="G1190" t="s">
        <v>440</v>
      </c>
      <c r="H1190" s="40">
        <v>200</v>
      </c>
      <c r="J1190">
        <v>5500</v>
      </c>
      <c r="K1190" s="3" t="str">
        <f>VLOOKUP(Table2[[#This Row],[Konto]],Table5[[Konto]:[Konto nimetus]],2,FALSE)</f>
        <v>Administreerimiskulud</v>
      </c>
      <c r="L1190">
        <v>55</v>
      </c>
      <c r="M1190" t="str">
        <f t="shared" si="37"/>
        <v>55</v>
      </c>
      <c r="N1190" t="str">
        <f>VLOOKUP(Table2[[#This Row],[Tulu/kulu liik2]],Table5[[Tulu/kulu liik]:[Kontode koondnimetus]],4,FALSE)</f>
        <v>Muud tegevuskulud</v>
      </c>
      <c r="O1190" t="str">
        <f>VLOOKUP(Table2[[#This Row],[Tulu/kulu liik2]],Table5[],6,FALSE)</f>
        <v>Majandamiskulud</v>
      </c>
      <c r="P1190" s="3" t="str">
        <f>VLOOKUP(Table2[[#This Row],[Tulu/kulu liik2]],Table5[],5,FALSE)</f>
        <v>Põhitegevuse kulu</v>
      </c>
    </row>
    <row r="1191" spans="1:16" x14ac:dyDescent="0.25">
      <c r="A1191" t="str">
        <f t="shared" si="36"/>
        <v>10</v>
      </c>
      <c r="B1191" t="s">
        <v>378</v>
      </c>
      <c r="C1191" s="3" t="str">
        <f>VLOOKUP(Table2[[#This Row],[Tegevusala]],Table4[],2,FALSE)</f>
        <v xml:space="preserve"> Vinni Päevakeskus</v>
      </c>
      <c r="D1191" s="3" t="str">
        <f>VLOOKUP(Table2[[#This Row],[Tegevusala]],Table4[[Tegevusala kood]:[Tegevusala alanimetus]],4,FALSE)</f>
        <v>Eakate sotsiaalhoolekande asutused</v>
      </c>
      <c r="E1191" s="3" t="str">
        <f>VLOOKUP(Table2[[#This Row],[Tegevusala nimetus2]],Table4[[Tegevusala nimetus]:[Tegevusala koondnimetus]],2,FALSE)</f>
        <v>Sotsiaalne kaitse</v>
      </c>
      <c r="F1191" t="s">
        <v>437</v>
      </c>
      <c r="G1191" t="s">
        <v>102</v>
      </c>
      <c r="H1191" s="40">
        <v>50</v>
      </c>
      <c r="J1191">
        <v>5504</v>
      </c>
      <c r="K1191" s="3" t="str">
        <f>VLOOKUP(Table2[[#This Row],[Konto]],Table5[[Konto]:[Konto nimetus]],2,FALSE)</f>
        <v>Koolituskulud</v>
      </c>
      <c r="L1191">
        <v>55</v>
      </c>
      <c r="M1191" t="str">
        <f t="shared" si="37"/>
        <v>55</v>
      </c>
      <c r="N1191" t="str">
        <f>VLOOKUP(Table2[[#This Row],[Tulu/kulu liik2]],Table5[[Tulu/kulu liik]:[Kontode koondnimetus]],4,FALSE)</f>
        <v>Muud tegevuskulud</v>
      </c>
      <c r="O1191" t="str">
        <f>VLOOKUP(Table2[[#This Row],[Tulu/kulu liik2]],Table5[],6,FALSE)</f>
        <v>Majandamiskulud</v>
      </c>
      <c r="P1191" s="3" t="str">
        <f>VLOOKUP(Table2[[#This Row],[Tulu/kulu liik2]],Table5[],5,FALSE)</f>
        <v>Põhitegevuse kulu</v>
      </c>
    </row>
    <row r="1192" spans="1:16" x14ac:dyDescent="0.25">
      <c r="A1192" t="str">
        <f t="shared" si="36"/>
        <v>10</v>
      </c>
      <c r="B1192" t="s">
        <v>378</v>
      </c>
      <c r="C1192" s="3" t="str">
        <f>VLOOKUP(Table2[[#This Row],[Tegevusala]],Table4[],2,FALSE)</f>
        <v xml:space="preserve"> Vinni Päevakeskus</v>
      </c>
      <c r="D1192" s="3" t="str">
        <f>VLOOKUP(Table2[[#This Row],[Tegevusala]],Table4[[Tegevusala kood]:[Tegevusala alanimetus]],4,FALSE)</f>
        <v>Eakate sotsiaalhoolekande asutused</v>
      </c>
      <c r="E1192" s="3" t="str">
        <f>VLOOKUP(Table2[[#This Row],[Tegevusala nimetus2]],Table4[[Tegevusala nimetus]:[Tegevusala koondnimetus]],2,FALSE)</f>
        <v>Sotsiaalne kaitse</v>
      </c>
      <c r="F1192" t="s">
        <v>437</v>
      </c>
      <c r="G1192" t="s">
        <v>442</v>
      </c>
      <c r="H1192" s="40">
        <v>760</v>
      </c>
      <c r="J1192">
        <v>5513</v>
      </c>
      <c r="K1192" s="3" t="str">
        <f>VLOOKUP(Table2[[#This Row],[Konto]],Table5[[Konto]:[Konto nimetus]],2,FALSE)</f>
        <v>Sõidukite ülalpidamise kulud</v>
      </c>
      <c r="L1192">
        <v>55</v>
      </c>
      <c r="M1192" t="str">
        <f t="shared" si="37"/>
        <v>55</v>
      </c>
      <c r="N1192" t="str">
        <f>VLOOKUP(Table2[[#This Row],[Tulu/kulu liik2]],Table5[[Tulu/kulu liik]:[Kontode koondnimetus]],4,FALSE)</f>
        <v>Muud tegevuskulud</v>
      </c>
      <c r="O1192" t="str">
        <f>VLOOKUP(Table2[[#This Row],[Tulu/kulu liik2]],Table5[],6,FALSE)</f>
        <v>Majandamiskulud</v>
      </c>
      <c r="P1192" s="3" t="str">
        <f>VLOOKUP(Table2[[#This Row],[Tulu/kulu liik2]],Table5[],5,FALSE)</f>
        <v>Põhitegevuse kulu</v>
      </c>
    </row>
    <row r="1193" spans="1:16" x14ac:dyDescent="0.25">
      <c r="A1193" t="str">
        <f t="shared" si="36"/>
        <v>10</v>
      </c>
      <c r="B1193" t="s">
        <v>378</v>
      </c>
      <c r="C1193" s="3" t="str">
        <f>VLOOKUP(Table2[[#This Row],[Tegevusala]],Table4[],2,FALSE)</f>
        <v xml:space="preserve"> Vinni Päevakeskus</v>
      </c>
      <c r="D1193" s="3" t="str">
        <f>VLOOKUP(Table2[[#This Row],[Tegevusala]],Table4[[Tegevusala kood]:[Tegevusala alanimetus]],4,FALSE)</f>
        <v>Eakate sotsiaalhoolekande asutused</v>
      </c>
      <c r="E1193" s="3" t="str">
        <f>VLOOKUP(Table2[[#This Row],[Tegevusala nimetus2]],Table4[[Tegevusala nimetus]:[Tegevusala koondnimetus]],2,FALSE)</f>
        <v>Sotsiaalne kaitse</v>
      </c>
      <c r="F1193" t="s">
        <v>437</v>
      </c>
      <c r="G1193" t="s">
        <v>445</v>
      </c>
      <c r="H1193" s="40">
        <v>200</v>
      </c>
      <c r="J1193">
        <v>5525</v>
      </c>
      <c r="K1193" s="3" t="str">
        <f>VLOOKUP(Table2[[#This Row],[Konto]],Table5[[Konto]:[Konto nimetus]],2,FALSE)</f>
        <v>Kommunikatsiooni-, kultuuri- ja vaba aja sisustamise kulud</v>
      </c>
      <c r="L1193">
        <v>55</v>
      </c>
      <c r="M1193" t="str">
        <f t="shared" si="37"/>
        <v>55</v>
      </c>
      <c r="N1193" t="str">
        <f>VLOOKUP(Table2[[#This Row],[Tulu/kulu liik2]],Table5[[Tulu/kulu liik]:[Kontode koondnimetus]],4,FALSE)</f>
        <v>Muud tegevuskulud</v>
      </c>
      <c r="O1193" t="str">
        <f>VLOOKUP(Table2[[#This Row],[Tulu/kulu liik2]],Table5[],6,FALSE)</f>
        <v>Majandamiskulud</v>
      </c>
      <c r="P1193" s="3" t="str">
        <f>VLOOKUP(Table2[[#This Row],[Tulu/kulu liik2]],Table5[],5,FALSE)</f>
        <v>Põhitegevuse kulu</v>
      </c>
    </row>
    <row r="1194" spans="1:16" x14ac:dyDescent="0.25">
      <c r="A1194" t="str">
        <f t="shared" si="36"/>
        <v>10</v>
      </c>
      <c r="B1194" t="s">
        <v>378</v>
      </c>
      <c r="C1194" s="3" t="str">
        <f>VLOOKUP(Table2[[#This Row],[Tegevusala]],Table4[],2,FALSE)</f>
        <v xml:space="preserve"> Vinni Päevakeskus</v>
      </c>
      <c r="D1194" s="3" t="str">
        <f>VLOOKUP(Table2[[#This Row],[Tegevusala]],Table4[[Tegevusala kood]:[Tegevusala alanimetus]],4,FALSE)</f>
        <v>Eakate sotsiaalhoolekande asutused</v>
      </c>
      <c r="E1194" s="3" t="str">
        <f>VLOOKUP(Table2[[#This Row],[Tegevusala nimetus2]],Table4[[Tegevusala nimetus]:[Tegevusala koondnimetus]],2,FALSE)</f>
        <v>Sotsiaalne kaitse</v>
      </c>
      <c r="F1194" t="s">
        <v>437</v>
      </c>
      <c r="G1194" t="s">
        <v>446</v>
      </c>
      <c r="H1194" s="40">
        <v>100</v>
      </c>
      <c r="J1194">
        <v>5525</v>
      </c>
      <c r="K1194" s="3" t="str">
        <f>VLOOKUP(Table2[[#This Row],[Konto]],Table5[[Konto]:[Konto nimetus]],2,FALSE)</f>
        <v>Kommunikatsiooni-, kultuuri- ja vaba aja sisustamise kulud</v>
      </c>
      <c r="L1194">
        <v>55</v>
      </c>
      <c r="M1194" t="str">
        <f t="shared" si="37"/>
        <v>55</v>
      </c>
      <c r="N1194" t="str">
        <f>VLOOKUP(Table2[[#This Row],[Tulu/kulu liik2]],Table5[[Tulu/kulu liik]:[Kontode koondnimetus]],4,FALSE)</f>
        <v>Muud tegevuskulud</v>
      </c>
      <c r="O1194" t="str">
        <f>VLOOKUP(Table2[[#This Row],[Tulu/kulu liik2]],Table5[],6,FALSE)</f>
        <v>Majandamiskulud</v>
      </c>
      <c r="P1194" s="3" t="str">
        <f>VLOOKUP(Table2[[#This Row],[Tulu/kulu liik2]],Table5[],5,FALSE)</f>
        <v>Põhitegevuse kulu</v>
      </c>
    </row>
    <row r="1195" spans="1:16" x14ac:dyDescent="0.25">
      <c r="A1195" t="str">
        <f t="shared" si="36"/>
        <v>10</v>
      </c>
      <c r="B1195" t="s">
        <v>378</v>
      </c>
      <c r="C1195" s="3" t="str">
        <f>VLOOKUP(Table2[[#This Row],[Tegevusala]],Table4[],2,FALSE)</f>
        <v xml:space="preserve"> Vinni Päevakeskus</v>
      </c>
      <c r="D1195" s="3" t="str">
        <f>VLOOKUP(Table2[[#This Row],[Tegevusala]],Table4[[Tegevusala kood]:[Tegevusala alanimetus]],4,FALSE)</f>
        <v>Eakate sotsiaalhoolekande asutused</v>
      </c>
      <c r="E1195" s="3" t="str">
        <f>VLOOKUP(Table2[[#This Row],[Tegevusala nimetus2]],Table4[[Tegevusala nimetus]:[Tegevusala koondnimetus]],2,FALSE)</f>
        <v>Sotsiaalne kaitse</v>
      </c>
      <c r="F1195" t="s">
        <v>437</v>
      </c>
      <c r="G1195" t="s">
        <v>447</v>
      </c>
      <c r="H1195" s="40">
        <v>640</v>
      </c>
      <c r="J1195">
        <v>5525</v>
      </c>
      <c r="K1195" s="3" t="str">
        <f>VLOOKUP(Table2[[#This Row],[Konto]],Table5[[Konto]:[Konto nimetus]],2,FALSE)</f>
        <v>Kommunikatsiooni-, kultuuri- ja vaba aja sisustamise kulud</v>
      </c>
      <c r="L1195">
        <v>55</v>
      </c>
      <c r="M1195" t="str">
        <f t="shared" si="37"/>
        <v>55</v>
      </c>
      <c r="N1195" t="str">
        <f>VLOOKUP(Table2[[#This Row],[Tulu/kulu liik2]],Table5[[Tulu/kulu liik]:[Kontode koondnimetus]],4,FALSE)</f>
        <v>Muud tegevuskulud</v>
      </c>
      <c r="O1195" t="str">
        <f>VLOOKUP(Table2[[#This Row],[Tulu/kulu liik2]],Table5[],6,FALSE)</f>
        <v>Majandamiskulud</v>
      </c>
      <c r="P1195" s="3" t="str">
        <f>VLOOKUP(Table2[[#This Row],[Tulu/kulu liik2]],Table5[],5,FALSE)</f>
        <v>Põhitegevuse kulu</v>
      </c>
    </row>
    <row r="1196" spans="1:16" x14ac:dyDescent="0.25">
      <c r="A1196" t="str">
        <f t="shared" si="36"/>
        <v>10</v>
      </c>
      <c r="B1196" t="s">
        <v>378</v>
      </c>
      <c r="C1196" s="3" t="str">
        <f>VLOOKUP(Table2[[#This Row],[Tegevusala]],Table4[],2,FALSE)</f>
        <v xml:space="preserve"> Vinni Päevakeskus</v>
      </c>
      <c r="D1196" s="3" t="str">
        <f>VLOOKUP(Table2[[#This Row],[Tegevusala]],Table4[[Tegevusala kood]:[Tegevusala alanimetus]],4,FALSE)</f>
        <v>Eakate sotsiaalhoolekande asutused</v>
      </c>
      <c r="E1196" s="3" t="str">
        <f>VLOOKUP(Table2[[#This Row],[Tegevusala nimetus2]],Table4[[Tegevusala nimetus]:[Tegevusala koondnimetus]],2,FALSE)</f>
        <v>Sotsiaalne kaitse</v>
      </c>
      <c r="F1196" t="s">
        <v>437</v>
      </c>
      <c r="G1196" t="s">
        <v>448</v>
      </c>
      <c r="H1196" s="40">
        <v>1350</v>
      </c>
      <c r="J1196">
        <v>5525</v>
      </c>
      <c r="K1196" s="3" t="str">
        <f>VLOOKUP(Table2[[#This Row],[Konto]],Table5[[Konto]:[Konto nimetus]],2,FALSE)</f>
        <v>Kommunikatsiooni-, kultuuri- ja vaba aja sisustamise kulud</v>
      </c>
      <c r="L1196">
        <v>55</v>
      </c>
      <c r="M1196" t="str">
        <f t="shared" si="37"/>
        <v>55</v>
      </c>
      <c r="N1196" t="str">
        <f>VLOOKUP(Table2[[#This Row],[Tulu/kulu liik2]],Table5[[Tulu/kulu liik]:[Kontode koondnimetus]],4,FALSE)</f>
        <v>Muud tegevuskulud</v>
      </c>
      <c r="O1196" t="str">
        <f>VLOOKUP(Table2[[#This Row],[Tulu/kulu liik2]],Table5[],6,FALSE)</f>
        <v>Majandamiskulud</v>
      </c>
      <c r="P1196" s="3" t="str">
        <f>VLOOKUP(Table2[[#This Row],[Tulu/kulu liik2]],Table5[],5,FALSE)</f>
        <v>Põhitegevuse kulu</v>
      </c>
    </row>
    <row r="1197" spans="1:16" x14ac:dyDescent="0.25">
      <c r="A1197" t="str">
        <f t="shared" si="36"/>
        <v>10</v>
      </c>
      <c r="B1197" t="s">
        <v>378</v>
      </c>
      <c r="C1197" s="3" t="str">
        <f>VLOOKUP(Table2[[#This Row],[Tegevusala]],Table4[],2,FALSE)</f>
        <v xml:space="preserve"> Vinni Päevakeskus</v>
      </c>
      <c r="D1197" s="3" t="str">
        <f>VLOOKUP(Table2[[#This Row],[Tegevusala]],Table4[[Tegevusala kood]:[Tegevusala alanimetus]],4,FALSE)</f>
        <v>Eakate sotsiaalhoolekande asutused</v>
      </c>
      <c r="E1197" s="3" t="str">
        <f>VLOOKUP(Table2[[#This Row],[Tegevusala nimetus2]],Table4[[Tegevusala nimetus]:[Tegevusala koondnimetus]],2,FALSE)</f>
        <v>Sotsiaalne kaitse</v>
      </c>
      <c r="F1197" t="s">
        <v>437</v>
      </c>
      <c r="G1197" t="s">
        <v>449</v>
      </c>
      <c r="H1197" s="40">
        <v>500</v>
      </c>
      <c r="J1197">
        <v>5525</v>
      </c>
      <c r="K1197" s="3" t="str">
        <f>VLOOKUP(Table2[[#This Row],[Konto]],Table5[[Konto]:[Konto nimetus]],2,FALSE)</f>
        <v>Kommunikatsiooni-, kultuuri- ja vaba aja sisustamise kulud</v>
      </c>
      <c r="L1197">
        <v>55</v>
      </c>
      <c r="M1197" t="str">
        <f t="shared" si="37"/>
        <v>55</v>
      </c>
      <c r="N1197" t="str">
        <f>VLOOKUP(Table2[[#This Row],[Tulu/kulu liik2]],Table5[[Tulu/kulu liik]:[Kontode koondnimetus]],4,FALSE)</f>
        <v>Muud tegevuskulud</v>
      </c>
      <c r="O1197" t="str">
        <f>VLOOKUP(Table2[[#This Row],[Tulu/kulu liik2]],Table5[],6,FALSE)</f>
        <v>Majandamiskulud</v>
      </c>
      <c r="P1197" s="3" t="str">
        <f>VLOOKUP(Table2[[#This Row],[Tulu/kulu liik2]],Table5[],5,FALSE)</f>
        <v>Põhitegevuse kulu</v>
      </c>
    </row>
    <row r="1198" spans="1:16" x14ac:dyDescent="0.25">
      <c r="A1198" t="str">
        <f t="shared" si="36"/>
        <v>10</v>
      </c>
      <c r="B1198" t="s">
        <v>378</v>
      </c>
      <c r="C1198" s="3" t="str">
        <f>VLOOKUP(Table2[[#This Row],[Tegevusala]],Table4[],2,FALSE)</f>
        <v xml:space="preserve"> Vinni Päevakeskus</v>
      </c>
      <c r="D1198" s="3" t="str">
        <f>VLOOKUP(Table2[[#This Row],[Tegevusala]],Table4[[Tegevusala kood]:[Tegevusala alanimetus]],4,FALSE)</f>
        <v>Eakate sotsiaalhoolekande asutused</v>
      </c>
      <c r="E1198" s="3" t="str">
        <f>VLOOKUP(Table2[[#This Row],[Tegevusala nimetus2]],Table4[[Tegevusala nimetus]:[Tegevusala koondnimetus]],2,FALSE)</f>
        <v>Sotsiaalne kaitse</v>
      </c>
      <c r="F1198" t="s">
        <v>437</v>
      </c>
      <c r="G1198" t="s">
        <v>441</v>
      </c>
      <c r="H1198" s="40">
        <v>100</v>
      </c>
      <c r="J1198">
        <v>5511</v>
      </c>
      <c r="K1198" s="3" t="str">
        <f>VLOOKUP(Table2[[#This Row],[Konto]],Table5[[Konto]:[Konto nimetus]],2,FALSE)</f>
        <v>Kinnistute, hoonete ja ruumide majandamiskulud</v>
      </c>
      <c r="L1198">
        <v>55</v>
      </c>
      <c r="M1198" t="str">
        <f t="shared" si="37"/>
        <v>55</v>
      </c>
      <c r="N1198" t="str">
        <f>VLOOKUP(Table2[[#This Row],[Tulu/kulu liik2]],Table5[[Tulu/kulu liik]:[Kontode koondnimetus]],4,FALSE)</f>
        <v>Muud tegevuskulud</v>
      </c>
      <c r="O1198" t="str">
        <f>VLOOKUP(Table2[[#This Row],[Tulu/kulu liik2]],Table5[],6,FALSE)</f>
        <v>Majandamiskulud</v>
      </c>
      <c r="P1198" s="3" t="str">
        <f>VLOOKUP(Table2[[#This Row],[Tulu/kulu liik2]],Table5[],5,FALSE)</f>
        <v>Põhitegevuse kulu</v>
      </c>
    </row>
    <row r="1199" spans="1:16" x14ac:dyDescent="0.25">
      <c r="A1199" t="str">
        <f t="shared" si="36"/>
        <v>10</v>
      </c>
      <c r="B1199" t="s">
        <v>378</v>
      </c>
      <c r="C1199" s="3" t="str">
        <f>VLOOKUP(Table2[[#This Row],[Tegevusala]],Table4[],2,FALSE)</f>
        <v xml:space="preserve"> Vinni Päevakeskus</v>
      </c>
      <c r="D1199" s="3" t="str">
        <f>VLOOKUP(Table2[[#This Row],[Tegevusala]],Table4[[Tegevusala kood]:[Tegevusala alanimetus]],4,FALSE)</f>
        <v>Eakate sotsiaalhoolekande asutused</v>
      </c>
      <c r="E1199" s="3" t="str">
        <f>VLOOKUP(Table2[[#This Row],[Tegevusala nimetus2]],Table4[[Tegevusala nimetus]:[Tegevusala koondnimetus]],2,FALSE)</f>
        <v>Sotsiaalne kaitse</v>
      </c>
      <c r="F1199" t="s">
        <v>437</v>
      </c>
      <c r="G1199" t="s">
        <v>443</v>
      </c>
      <c r="H1199" s="40">
        <v>50</v>
      </c>
      <c r="J1199">
        <v>5511</v>
      </c>
      <c r="K1199" s="3" t="str">
        <f>VLOOKUP(Table2[[#This Row],[Konto]],Table5[[Konto]:[Konto nimetus]],2,FALSE)</f>
        <v>Kinnistute, hoonete ja ruumide majandamiskulud</v>
      </c>
      <c r="L1199">
        <v>55</v>
      </c>
      <c r="M1199" t="str">
        <f t="shared" si="37"/>
        <v>55</v>
      </c>
      <c r="N1199" t="str">
        <f>VLOOKUP(Table2[[#This Row],[Tulu/kulu liik2]],Table5[[Tulu/kulu liik]:[Kontode koondnimetus]],4,FALSE)</f>
        <v>Muud tegevuskulud</v>
      </c>
      <c r="O1199" t="str">
        <f>VLOOKUP(Table2[[#This Row],[Tulu/kulu liik2]],Table5[],6,FALSE)</f>
        <v>Majandamiskulud</v>
      </c>
      <c r="P1199" s="3" t="str">
        <f>VLOOKUP(Table2[[#This Row],[Tulu/kulu liik2]],Table5[],5,FALSE)</f>
        <v>Põhitegevuse kulu</v>
      </c>
    </row>
    <row r="1200" spans="1:16" x14ac:dyDescent="0.25">
      <c r="A1200" t="str">
        <f t="shared" si="36"/>
        <v>10</v>
      </c>
      <c r="B1200" t="s">
        <v>378</v>
      </c>
      <c r="C1200" s="3" t="str">
        <f>VLOOKUP(Table2[[#This Row],[Tegevusala]],Table4[],2,FALSE)</f>
        <v xml:space="preserve"> Vinni Päevakeskus</v>
      </c>
      <c r="D1200" s="3" t="str">
        <f>VLOOKUP(Table2[[#This Row],[Tegevusala]],Table4[[Tegevusala kood]:[Tegevusala alanimetus]],4,FALSE)</f>
        <v>Eakate sotsiaalhoolekande asutused</v>
      </c>
      <c r="E1200" s="3" t="str">
        <f>VLOOKUP(Table2[[#This Row],[Tegevusala nimetus2]],Table4[[Tegevusala nimetus]:[Tegevusala koondnimetus]],2,FALSE)</f>
        <v>Sotsiaalne kaitse</v>
      </c>
      <c r="F1200" t="s">
        <v>437</v>
      </c>
      <c r="G1200" t="s">
        <v>444</v>
      </c>
      <c r="H1200" s="40">
        <v>50</v>
      </c>
      <c r="J1200">
        <v>5511</v>
      </c>
      <c r="K1200" s="3" t="str">
        <f>VLOOKUP(Table2[[#This Row],[Konto]],Table5[[Konto]:[Konto nimetus]],2,FALSE)</f>
        <v>Kinnistute, hoonete ja ruumide majandamiskulud</v>
      </c>
      <c r="L1200">
        <v>55</v>
      </c>
      <c r="M1200" t="str">
        <f t="shared" si="37"/>
        <v>55</v>
      </c>
      <c r="N1200" t="str">
        <f>VLOOKUP(Table2[[#This Row],[Tulu/kulu liik2]],Table5[[Tulu/kulu liik]:[Kontode koondnimetus]],4,FALSE)</f>
        <v>Muud tegevuskulud</v>
      </c>
      <c r="O1200" t="str">
        <f>VLOOKUP(Table2[[#This Row],[Tulu/kulu liik2]],Table5[],6,FALSE)</f>
        <v>Majandamiskulud</v>
      </c>
      <c r="P1200" s="3" t="str">
        <f>VLOOKUP(Table2[[#This Row],[Tulu/kulu liik2]],Table5[],5,FALSE)</f>
        <v>Põhitegevuse kulu</v>
      </c>
    </row>
    <row r="1201" spans="1:16" x14ac:dyDescent="0.25">
      <c r="A1201" s="33" t="str">
        <f t="shared" si="36"/>
        <v>10</v>
      </c>
      <c r="B1201" s="33" t="s">
        <v>380</v>
      </c>
      <c r="C1201" s="34" t="str">
        <f>VLOOKUP(Table2[[#This Row],[Tegevusala]],Table4[],2,FALSE)</f>
        <v xml:space="preserve"> Hooldajad</v>
      </c>
      <c r="D1201" s="34" t="str">
        <f>VLOOKUP(Table2[[#This Row],[Tegevusala]],Table4[[Tegevusala kood]:[Tegevusala alanimetus]],4,FALSE)</f>
        <v>Muu eakate sotsiaalne kaitse</v>
      </c>
      <c r="E1201" s="34" t="str">
        <f>VLOOKUP(Table2[[#This Row],[Tegevusala nimetus2]],Table4[[Tegevusala nimetus]:[Tegevusala koondnimetus]],2,FALSE)</f>
        <v>Sotsiaalne kaitse</v>
      </c>
      <c r="F1201" s="33" t="s">
        <v>462</v>
      </c>
      <c r="G1201" s="33" t="s">
        <v>727</v>
      </c>
      <c r="H1201" s="47">
        <v>1000</v>
      </c>
      <c r="I1201" s="35" t="s">
        <v>731</v>
      </c>
      <c r="J1201" s="33">
        <v>5513</v>
      </c>
      <c r="K1201" s="34" t="str">
        <f>VLOOKUP(Table2[[#This Row],[Konto]],Table5[[Konto]:[Konto nimetus]],2,FALSE)</f>
        <v>Sõidukite ülalpidamise kulud</v>
      </c>
      <c r="L1201" s="33">
        <v>55</v>
      </c>
      <c r="M1201" s="33" t="str">
        <f t="shared" si="37"/>
        <v>55</v>
      </c>
      <c r="N1201" s="34" t="str">
        <f>VLOOKUP(Table2[[#This Row],[Tulu/kulu liik2]],Table5[[Tulu/kulu liik]:[Kontode koondnimetus]],4,FALSE)</f>
        <v>Muud tegevuskulud</v>
      </c>
      <c r="O1201" s="34" t="str">
        <f>VLOOKUP(Table2[[#This Row],[Tulu/kulu liik2]],Table5[],6,FALSE)</f>
        <v>Majandamiskulud</v>
      </c>
      <c r="P1201" s="34" t="str">
        <f>VLOOKUP(Table2[[#This Row],[Tulu/kulu liik2]],Table5[],5,FALSE)</f>
        <v>Põhitegevuse kulu</v>
      </c>
    </row>
    <row r="1202" spans="1:16" x14ac:dyDescent="0.25">
      <c r="A1202" s="33" t="str">
        <f t="shared" si="36"/>
        <v>10</v>
      </c>
      <c r="B1202" s="33" t="s">
        <v>380</v>
      </c>
      <c r="C1202" s="34" t="str">
        <f>VLOOKUP(Table2[[#This Row],[Tegevusala]],Table4[],2,FALSE)</f>
        <v xml:space="preserve"> Hooldajad</v>
      </c>
      <c r="D1202" s="34" t="str">
        <f>VLOOKUP(Table2[[#This Row],[Tegevusala]],Table4[[Tegevusala kood]:[Tegevusala alanimetus]],4,FALSE)</f>
        <v>Muu eakate sotsiaalne kaitse</v>
      </c>
      <c r="E1202" s="34" t="str">
        <f>VLOOKUP(Table2[[#This Row],[Tegevusala nimetus2]],Table4[[Tegevusala nimetus]:[Tegevusala koondnimetus]],2,FALSE)</f>
        <v>Sotsiaalne kaitse</v>
      </c>
      <c r="F1202" s="33" t="s">
        <v>462</v>
      </c>
      <c r="G1202" s="33" t="s">
        <v>728</v>
      </c>
      <c r="H1202" s="47">
        <v>600</v>
      </c>
      <c r="I1202" s="35"/>
      <c r="J1202" s="33">
        <v>5504</v>
      </c>
      <c r="K1202" s="34" t="str">
        <f>VLOOKUP(Table2[[#This Row],[Konto]],Table5[[Konto]:[Konto nimetus]],2,FALSE)</f>
        <v>Koolituskulud</v>
      </c>
      <c r="L1202" s="33">
        <v>55</v>
      </c>
      <c r="M1202" s="33" t="str">
        <f t="shared" si="37"/>
        <v>55</v>
      </c>
      <c r="N1202" s="34" t="str">
        <f>VLOOKUP(Table2[[#This Row],[Tulu/kulu liik2]],Table5[[Tulu/kulu liik]:[Kontode koondnimetus]],4,FALSE)</f>
        <v>Muud tegevuskulud</v>
      </c>
      <c r="O1202" s="34" t="str">
        <f>VLOOKUP(Table2[[#This Row],[Tulu/kulu liik2]],Table5[],6,FALSE)</f>
        <v>Majandamiskulud</v>
      </c>
      <c r="P1202" s="34" t="str">
        <f>VLOOKUP(Table2[[#This Row],[Tulu/kulu liik2]],Table5[],5,FALSE)</f>
        <v>Põhitegevuse kulu</v>
      </c>
    </row>
    <row r="1203" spans="1:16" x14ac:dyDescent="0.25">
      <c r="A1203" s="33" t="str">
        <f t="shared" si="36"/>
        <v>10</v>
      </c>
      <c r="B1203" s="33" t="s">
        <v>380</v>
      </c>
      <c r="C1203" s="34" t="str">
        <f>VLOOKUP(Table2[[#This Row],[Tegevusala]],Table4[],2,FALSE)</f>
        <v xml:space="preserve"> Hooldajad</v>
      </c>
      <c r="D1203" s="34" t="str">
        <f>VLOOKUP(Table2[[#This Row],[Tegevusala]],Table4[[Tegevusala kood]:[Tegevusala alanimetus]],4,FALSE)</f>
        <v>Muu eakate sotsiaalne kaitse</v>
      </c>
      <c r="E1203" s="34" t="str">
        <f>VLOOKUP(Table2[[#This Row],[Tegevusala nimetus2]],Table4[[Tegevusala nimetus]:[Tegevusala koondnimetus]],2,FALSE)</f>
        <v>Sotsiaalne kaitse</v>
      </c>
      <c r="F1203" s="33" t="s">
        <v>462</v>
      </c>
      <c r="G1203" s="33" t="s">
        <v>729</v>
      </c>
      <c r="H1203" s="47">
        <v>900</v>
      </c>
      <c r="I1203" s="35" t="s">
        <v>730</v>
      </c>
      <c r="J1203" s="33">
        <v>5515</v>
      </c>
      <c r="K1203" s="34" t="str">
        <f>VLOOKUP(Table2[[#This Row],[Konto]],Table5[[Konto]:[Konto nimetus]],2,FALSE)</f>
        <v>Inventari kulud, v.a infotehnoloogia ja kaitseotstarbelised kulud</v>
      </c>
      <c r="L1203" s="33">
        <v>55</v>
      </c>
      <c r="M1203" s="33" t="str">
        <f t="shared" si="37"/>
        <v>55</v>
      </c>
      <c r="N1203" s="34" t="str">
        <f>VLOOKUP(Table2[[#This Row],[Tulu/kulu liik2]],Table5[[Tulu/kulu liik]:[Kontode koondnimetus]],4,FALSE)</f>
        <v>Muud tegevuskulud</v>
      </c>
      <c r="O1203" s="34" t="str">
        <f>VLOOKUP(Table2[[#This Row],[Tulu/kulu liik2]],Table5[],6,FALSE)</f>
        <v>Majandamiskulud</v>
      </c>
      <c r="P1203" s="34" t="str">
        <f>VLOOKUP(Table2[[#This Row],[Tulu/kulu liik2]],Table5[],5,FALSE)</f>
        <v>Põhitegevuse kulu</v>
      </c>
    </row>
    <row r="1204" spans="1:16" x14ac:dyDescent="0.25">
      <c r="A1204" t="str">
        <f t="shared" si="36"/>
        <v>10</v>
      </c>
      <c r="B1204" t="s">
        <v>381</v>
      </c>
      <c r="C1204" s="3" t="str">
        <f>VLOOKUP(Table2[[#This Row],[Tegevusala]],Table4[],2,FALSE)</f>
        <v xml:space="preserve"> Eakate toetused</v>
      </c>
      <c r="D1204" s="3" t="str">
        <f>VLOOKUP(Table2[[#This Row],[Tegevusala]],Table4[[Tegevusala kood]:[Tegevusala alanimetus]],4,FALSE)</f>
        <v>Muu eakate sotsiaalne kaitse</v>
      </c>
      <c r="E1204" s="3" t="str">
        <f>VLOOKUP(Table2[[#This Row],[Tegevusala nimetus2]],Table4[[Tegevusala nimetus]:[Tegevusala koondnimetus]],2,FALSE)</f>
        <v>Sotsiaalne kaitse</v>
      </c>
      <c r="F1204" t="s">
        <v>462</v>
      </c>
      <c r="G1204" t="s">
        <v>696</v>
      </c>
      <c r="H1204" s="40">
        <v>35500</v>
      </c>
      <c r="J1204">
        <v>41380</v>
      </c>
      <c r="K1204" s="3" t="str">
        <f>VLOOKUP(Table2[[#This Row],[Konto]],Table5[[Konto]:[Konto nimetus]],2,FALSE)</f>
        <v>Toetused eakatele</v>
      </c>
      <c r="L1204">
        <v>413</v>
      </c>
      <c r="M1204" t="str">
        <f t="shared" si="37"/>
        <v>41</v>
      </c>
      <c r="N1204" s="3" t="str">
        <f>VLOOKUP(Table2[[#This Row],[Tulu/kulu liik2]],Table5[[Tulu/kulu liik]:[Kontode koondnimetus]],4,FALSE)</f>
        <v>Antavad toetused tegevuskuludeks</v>
      </c>
      <c r="O1204" s="3" t="str">
        <f>VLOOKUP(Table2[[#This Row],[Tulu/kulu liik2]],Table5[],6,FALSE)</f>
        <v>Sotsiaalabitoetused ja muud toetused füüsilistele isikutele</v>
      </c>
      <c r="P1204" s="3" t="str">
        <f>VLOOKUP(Table2[[#This Row],[Tulu/kulu liik2]],Table5[],5,FALSE)</f>
        <v>Põhitegevuse kulu</v>
      </c>
    </row>
    <row r="1205" spans="1:16" x14ac:dyDescent="0.25">
      <c r="A1205" t="str">
        <f t="shared" si="36"/>
        <v>10</v>
      </c>
      <c r="B1205" t="s">
        <v>382</v>
      </c>
      <c r="C1205" s="3" t="str">
        <f>VLOOKUP(Table2[[#This Row],[Tegevusala]],Table4[],2,FALSE)</f>
        <v xml:space="preserve"> Juubeli toetused</v>
      </c>
      <c r="D1205" s="3" t="str">
        <f>VLOOKUP(Table2[[#This Row],[Tegevusala]],Table4[[Tegevusala kood]:[Tegevusala alanimetus]],4,FALSE)</f>
        <v>Muu eakate sotsiaalne kaitse</v>
      </c>
      <c r="E1205" s="3" t="str">
        <f>VLOOKUP(Table2[[#This Row],[Tegevusala nimetus2]],Table4[[Tegevusala nimetus]:[Tegevusala koondnimetus]],2,FALSE)</f>
        <v>Sotsiaalne kaitse</v>
      </c>
      <c r="F1205" t="s">
        <v>462</v>
      </c>
      <c r="G1205" t="s">
        <v>695</v>
      </c>
      <c r="H1205" s="40">
        <v>9500</v>
      </c>
      <c r="J1205">
        <v>41380</v>
      </c>
      <c r="K1205" s="3" t="str">
        <f>VLOOKUP(Table2[[#This Row],[Konto]],Table5[[Konto]:[Konto nimetus]],2,FALSE)</f>
        <v>Toetused eakatele</v>
      </c>
      <c r="L1205">
        <v>413</v>
      </c>
      <c r="M1205" t="str">
        <f t="shared" si="37"/>
        <v>41</v>
      </c>
      <c r="N1205" s="3" t="str">
        <f>VLOOKUP(Table2[[#This Row],[Tulu/kulu liik2]],Table5[[Tulu/kulu liik]:[Kontode koondnimetus]],4,FALSE)</f>
        <v>Antavad toetused tegevuskuludeks</v>
      </c>
      <c r="O1205" s="3" t="str">
        <f>VLOOKUP(Table2[[#This Row],[Tulu/kulu liik2]],Table5[],6,FALSE)</f>
        <v>Sotsiaalabitoetused ja muud toetused füüsilistele isikutele</v>
      </c>
      <c r="P1205" s="3" t="str">
        <f>VLOOKUP(Table2[[#This Row],[Tulu/kulu liik2]],Table5[],5,FALSE)</f>
        <v>Põhitegevuse kulu</v>
      </c>
    </row>
    <row r="1206" spans="1:16" x14ac:dyDescent="0.25">
      <c r="A1206" t="str">
        <f t="shared" si="36"/>
        <v>10</v>
      </c>
      <c r="B1206" s="31" t="s">
        <v>698</v>
      </c>
      <c r="C1206" s="3" t="str">
        <f>VLOOKUP(Table2[[#This Row],[Tegevusala]],Table4[],2,FALSE)</f>
        <v xml:space="preserve"> Täiendav ravimitoetus</v>
      </c>
      <c r="D1206" s="3" t="str">
        <f>VLOOKUP(Table2[[#This Row],[Tegevusala]],Table4[[Tegevusala kood]:[Tegevusala alanimetus]],4,FALSE)</f>
        <v>Muu eakate sotsiaalne kaitse</v>
      </c>
      <c r="E1206" s="3" t="str">
        <f>VLOOKUP(Table2[[#This Row],[Tegevusala nimetus2]],Table4[[Tegevusala nimetus]:[Tegevusala koondnimetus]],2,FALSE)</f>
        <v>Sotsiaalne kaitse</v>
      </c>
      <c r="F1206" t="s">
        <v>462</v>
      </c>
      <c r="G1206" t="s">
        <v>697</v>
      </c>
      <c r="H1206" s="40">
        <v>3000</v>
      </c>
      <c r="J1206">
        <v>41380</v>
      </c>
      <c r="K1206" s="3" t="str">
        <f>VLOOKUP(Table2[[#This Row],[Konto]],Table5[[Konto]:[Konto nimetus]],2,FALSE)</f>
        <v>Toetused eakatele</v>
      </c>
      <c r="L1206">
        <v>413</v>
      </c>
      <c r="M1206" t="str">
        <f t="shared" si="37"/>
        <v>41</v>
      </c>
      <c r="N1206" s="3" t="str">
        <f>VLOOKUP(Table2[[#This Row],[Tulu/kulu liik2]],Table5[[Tulu/kulu liik]:[Kontode koondnimetus]],4,FALSE)</f>
        <v>Antavad toetused tegevuskuludeks</v>
      </c>
      <c r="O1206" s="3" t="str">
        <f>VLOOKUP(Table2[[#This Row],[Tulu/kulu liik2]],Table5[],6,FALSE)</f>
        <v>Sotsiaalabitoetused ja muud toetused füüsilistele isikutele</v>
      </c>
      <c r="P1206" s="3" t="str">
        <f>VLOOKUP(Table2[[#This Row],[Tulu/kulu liik2]],Table5[],5,FALSE)</f>
        <v>Põhitegevuse kulu</v>
      </c>
    </row>
    <row r="1207" spans="1:16" x14ac:dyDescent="0.25">
      <c r="A1207" t="str">
        <f t="shared" si="36"/>
        <v>10</v>
      </c>
      <c r="B1207" s="33" t="s">
        <v>384</v>
      </c>
      <c r="C1207" s="3" t="str">
        <f>VLOOKUP(Table2[[#This Row],[Tegevusala]],Table4[],2,FALSE)</f>
        <v xml:space="preserve"> Vinni Perekodu</v>
      </c>
      <c r="D1207" s="3" t="str">
        <f>VLOOKUP(Table2[[#This Row],[Tegevusala]],Table4[[Tegevusala kood]:[Tegevusala alanimetus]],4,FALSE)</f>
        <v>Laste ja noorte sotsiaalhoolekande asutused</v>
      </c>
      <c r="E1207" s="3" t="str">
        <f>VLOOKUP(Table2[[#This Row],[Tegevusala nimetus2]],Table4[[Tegevusala nimetus]:[Tegevusala koondnimetus]],2,FALSE)</f>
        <v>Sotsiaalne kaitse</v>
      </c>
      <c r="F1207" t="s">
        <v>1679</v>
      </c>
      <c r="G1207" t="s">
        <v>1691</v>
      </c>
      <c r="H1207" s="40">
        <v>4000</v>
      </c>
      <c r="J1207">
        <v>5500</v>
      </c>
      <c r="K1207" s="3" t="str">
        <f>VLOOKUP(Table2[[#This Row],[Konto]],Table5[[Konto]:[Konto nimetus]],2,FALSE)</f>
        <v>Administreerimiskulud</v>
      </c>
      <c r="L1207">
        <v>55</v>
      </c>
      <c r="M1207" t="str">
        <f t="shared" si="37"/>
        <v>55</v>
      </c>
      <c r="N1207" s="3" t="str">
        <f>VLOOKUP(Table2[[#This Row],[Tulu/kulu liik2]],Table5[[Tulu/kulu liik]:[Kontode koondnimetus]],4,FALSE)</f>
        <v>Muud tegevuskulud</v>
      </c>
      <c r="O1207" s="3" t="str">
        <f>VLOOKUP(Table2[[#This Row],[Tulu/kulu liik2]],Table5[],6,FALSE)</f>
        <v>Majandamiskulud</v>
      </c>
      <c r="P1207" s="3" t="str">
        <f>VLOOKUP(Table2[[#This Row],[Tulu/kulu liik2]],Table5[],5,FALSE)</f>
        <v>Põhitegevuse kulu</v>
      </c>
    </row>
    <row r="1208" spans="1:16" x14ac:dyDescent="0.25">
      <c r="A1208" t="str">
        <f t="shared" si="36"/>
        <v>10</v>
      </c>
      <c r="B1208" s="33" t="s">
        <v>384</v>
      </c>
      <c r="C1208" s="3" t="str">
        <f>VLOOKUP(Table2[[#This Row],[Tegevusala]],Table4[],2,FALSE)</f>
        <v xml:space="preserve"> Vinni Perekodu</v>
      </c>
      <c r="D1208" s="3" t="str">
        <f>VLOOKUP(Table2[[#This Row],[Tegevusala]],Table4[[Tegevusala kood]:[Tegevusala alanimetus]],4,FALSE)</f>
        <v>Laste ja noorte sotsiaalhoolekande asutused</v>
      </c>
      <c r="E1208" s="3" t="str">
        <f>VLOOKUP(Table2[[#This Row],[Tegevusala nimetus2]],Table4[[Tegevusala nimetus]:[Tegevusala koondnimetus]],2,FALSE)</f>
        <v>Sotsiaalne kaitse</v>
      </c>
      <c r="F1208" t="s">
        <v>1679</v>
      </c>
      <c r="G1208" t="s">
        <v>832</v>
      </c>
      <c r="H1208" s="40">
        <v>80</v>
      </c>
      <c r="J1208">
        <v>5500</v>
      </c>
      <c r="K1208" s="3" t="str">
        <f>VLOOKUP(Table2[[#This Row],[Konto]],Table5[[Konto]:[Konto nimetus]],2,FALSE)</f>
        <v>Administreerimiskulud</v>
      </c>
      <c r="L1208">
        <v>55</v>
      </c>
      <c r="M1208" t="str">
        <f t="shared" si="37"/>
        <v>55</v>
      </c>
      <c r="N1208" s="3" t="str">
        <f>VLOOKUP(Table2[[#This Row],[Tulu/kulu liik2]],Table5[[Tulu/kulu liik]:[Kontode koondnimetus]],4,FALSE)</f>
        <v>Muud tegevuskulud</v>
      </c>
      <c r="O1208" s="3" t="str">
        <f>VLOOKUP(Table2[[#This Row],[Tulu/kulu liik2]],Table5[],6,FALSE)</f>
        <v>Majandamiskulud</v>
      </c>
      <c r="P1208" s="3" t="str">
        <f>VLOOKUP(Table2[[#This Row],[Tulu/kulu liik2]],Table5[],5,FALSE)</f>
        <v>Põhitegevuse kulu</v>
      </c>
    </row>
    <row r="1209" spans="1:16" x14ac:dyDescent="0.25">
      <c r="A1209" t="str">
        <f t="shared" si="36"/>
        <v>10</v>
      </c>
      <c r="B1209" s="33" t="s">
        <v>384</v>
      </c>
      <c r="C1209" s="3" t="str">
        <f>VLOOKUP(Table2[[#This Row],[Tegevusala]],Table4[],2,FALSE)</f>
        <v xml:space="preserve"> Vinni Perekodu</v>
      </c>
      <c r="D1209" s="3" t="str">
        <f>VLOOKUP(Table2[[#This Row],[Tegevusala]],Table4[[Tegevusala kood]:[Tegevusala alanimetus]],4,FALSE)</f>
        <v>Laste ja noorte sotsiaalhoolekande asutused</v>
      </c>
      <c r="E1209" s="3" t="str">
        <f>VLOOKUP(Table2[[#This Row],[Tegevusala nimetus2]],Table4[[Tegevusala nimetus]:[Tegevusala koondnimetus]],2,FALSE)</f>
        <v>Sotsiaalne kaitse</v>
      </c>
      <c r="F1209" t="s">
        <v>1679</v>
      </c>
      <c r="G1209" t="s">
        <v>1692</v>
      </c>
      <c r="H1209" s="40">
        <v>1300</v>
      </c>
      <c r="J1209">
        <v>5500</v>
      </c>
      <c r="K1209" s="3" t="str">
        <f>VLOOKUP(Table2[[#This Row],[Konto]],Table5[[Konto]:[Konto nimetus]],2,FALSE)</f>
        <v>Administreerimiskulud</v>
      </c>
      <c r="L1209">
        <v>55</v>
      </c>
      <c r="M1209" t="str">
        <f t="shared" si="37"/>
        <v>55</v>
      </c>
      <c r="N1209" s="3" t="str">
        <f>VLOOKUP(Table2[[#This Row],[Tulu/kulu liik2]],Table5[[Tulu/kulu liik]:[Kontode koondnimetus]],4,FALSE)</f>
        <v>Muud tegevuskulud</v>
      </c>
      <c r="O1209" s="3" t="str">
        <f>VLOOKUP(Table2[[#This Row],[Tulu/kulu liik2]],Table5[],6,FALSE)</f>
        <v>Majandamiskulud</v>
      </c>
      <c r="P1209" s="3" t="str">
        <f>VLOOKUP(Table2[[#This Row],[Tulu/kulu liik2]],Table5[],5,FALSE)</f>
        <v>Põhitegevuse kulu</v>
      </c>
    </row>
    <row r="1210" spans="1:16" x14ac:dyDescent="0.25">
      <c r="A1210" t="str">
        <f t="shared" si="36"/>
        <v>10</v>
      </c>
      <c r="B1210" s="33" t="s">
        <v>384</v>
      </c>
      <c r="C1210" s="3" t="str">
        <f>VLOOKUP(Table2[[#This Row],[Tegevusala]],Table4[],2,FALSE)</f>
        <v xml:space="preserve"> Vinni Perekodu</v>
      </c>
      <c r="D1210" s="3" t="str">
        <f>VLOOKUP(Table2[[#This Row],[Tegevusala]],Table4[[Tegevusala kood]:[Tegevusala alanimetus]],4,FALSE)</f>
        <v>Laste ja noorte sotsiaalhoolekande asutused</v>
      </c>
      <c r="E1210" s="3" t="str">
        <f>VLOOKUP(Table2[[#This Row],[Tegevusala nimetus2]],Table4[[Tegevusala nimetus]:[Tegevusala koondnimetus]],2,FALSE)</f>
        <v>Sotsiaalne kaitse</v>
      </c>
      <c r="F1210" t="s">
        <v>1679</v>
      </c>
      <c r="G1210" t="s">
        <v>1693</v>
      </c>
      <c r="H1210" s="40">
        <v>420</v>
      </c>
      <c r="J1210">
        <v>5500</v>
      </c>
      <c r="K1210" s="3" t="str">
        <f>VLOOKUP(Table2[[#This Row],[Konto]],Table5[[Konto]:[Konto nimetus]],2,FALSE)</f>
        <v>Administreerimiskulud</v>
      </c>
      <c r="L1210">
        <v>55</v>
      </c>
      <c r="M1210" t="str">
        <f t="shared" si="37"/>
        <v>55</v>
      </c>
      <c r="N1210" s="3" t="str">
        <f>VLOOKUP(Table2[[#This Row],[Tulu/kulu liik2]],Table5[[Tulu/kulu liik]:[Kontode koondnimetus]],4,FALSE)</f>
        <v>Muud tegevuskulud</v>
      </c>
      <c r="O1210" s="3" t="str">
        <f>VLOOKUP(Table2[[#This Row],[Tulu/kulu liik2]],Table5[],6,FALSE)</f>
        <v>Majandamiskulud</v>
      </c>
      <c r="P1210" s="3" t="str">
        <f>VLOOKUP(Table2[[#This Row],[Tulu/kulu liik2]],Table5[],5,FALSE)</f>
        <v>Põhitegevuse kulu</v>
      </c>
    </row>
    <row r="1211" spans="1:16" x14ac:dyDescent="0.25">
      <c r="A1211" t="str">
        <f t="shared" si="36"/>
        <v>10</v>
      </c>
      <c r="B1211" s="33" t="s">
        <v>384</v>
      </c>
      <c r="C1211" s="3" t="str">
        <f>VLOOKUP(Table2[[#This Row],[Tegevusala]],Table4[],2,FALSE)</f>
        <v xml:space="preserve"> Vinni Perekodu</v>
      </c>
      <c r="D1211" s="3" t="str">
        <f>VLOOKUP(Table2[[#This Row],[Tegevusala]],Table4[[Tegevusala kood]:[Tegevusala alanimetus]],4,FALSE)</f>
        <v>Laste ja noorte sotsiaalhoolekande asutused</v>
      </c>
      <c r="E1211" s="3" t="str">
        <f>VLOOKUP(Table2[[#This Row],[Tegevusala nimetus2]],Table4[[Tegevusala nimetus]:[Tegevusala koondnimetus]],2,FALSE)</f>
        <v>Sotsiaalne kaitse</v>
      </c>
      <c r="F1211" t="s">
        <v>1679</v>
      </c>
      <c r="G1211" t="s">
        <v>176</v>
      </c>
      <c r="H1211" s="40">
        <v>2500</v>
      </c>
      <c r="J1211">
        <v>5504</v>
      </c>
      <c r="K1211" s="3" t="str">
        <f>VLOOKUP(Table2[[#This Row],[Konto]],Table5[[Konto]:[Konto nimetus]],2,FALSE)</f>
        <v>Koolituskulud</v>
      </c>
      <c r="L1211">
        <v>55</v>
      </c>
      <c r="M1211" t="str">
        <f t="shared" si="37"/>
        <v>55</v>
      </c>
      <c r="N1211" s="3" t="str">
        <f>VLOOKUP(Table2[[#This Row],[Tulu/kulu liik2]],Table5[[Tulu/kulu liik]:[Kontode koondnimetus]],4,FALSE)</f>
        <v>Muud tegevuskulud</v>
      </c>
      <c r="O1211" s="3" t="str">
        <f>VLOOKUP(Table2[[#This Row],[Tulu/kulu liik2]],Table5[],6,FALSE)</f>
        <v>Majandamiskulud</v>
      </c>
      <c r="P1211" s="3" t="str">
        <f>VLOOKUP(Table2[[#This Row],[Tulu/kulu liik2]],Table5[],5,FALSE)</f>
        <v>Põhitegevuse kulu</v>
      </c>
    </row>
    <row r="1212" spans="1:16" x14ac:dyDescent="0.25">
      <c r="A1212" t="str">
        <f t="shared" si="36"/>
        <v>10</v>
      </c>
      <c r="B1212" s="33" t="s">
        <v>384</v>
      </c>
      <c r="C1212" s="3" t="str">
        <f>VLOOKUP(Table2[[#This Row],[Tegevusala]],Table4[],2,FALSE)</f>
        <v xml:space="preserve"> Vinni Perekodu</v>
      </c>
      <c r="D1212" s="3" t="str">
        <f>VLOOKUP(Table2[[#This Row],[Tegevusala]],Table4[[Tegevusala kood]:[Tegevusala alanimetus]],4,FALSE)</f>
        <v>Laste ja noorte sotsiaalhoolekande asutused</v>
      </c>
      <c r="E1212" s="3" t="str">
        <f>VLOOKUP(Table2[[#This Row],[Tegevusala nimetus2]],Table4[[Tegevusala nimetus]:[Tegevusala koondnimetus]],2,FALSE)</f>
        <v>Sotsiaalne kaitse</v>
      </c>
      <c r="F1212" t="s">
        <v>1679</v>
      </c>
      <c r="G1212" t="s">
        <v>1700</v>
      </c>
      <c r="H1212" s="40">
        <v>11200</v>
      </c>
      <c r="J1212">
        <v>5513</v>
      </c>
      <c r="K1212" s="3" t="str">
        <f>VLOOKUP(Table2[[#This Row],[Konto]],Table5[[Konto]:[Konto nimetus]],2,FALSE)</f>
        <v>Sõidukite ülalpidamise kulud</v>
      </c>
      <c r="L1212">
        <v>55</v>
      </c>
      <c r="M1212" t="str">
        <f t="shared" si="37"/>
        <v>55</v>
      </c>
      <c r="N1212" s="3" t="str">
        <f>VLOOKUP(Table2[[#This Row],[Tulu/kulu liik2]],Table5[[Tulu/kulu liik]:[Kontode koondnimetus]],4,FALSE)</f>
        <v>Muud tegevuskulud</v>
      </c>
      <c r="O1212" s="3" t="str">
        <f>VLOOKUP(Table2[[#This Row],[Tulu/kulu liik2]],Table5[],6,FALSE)</f>
        <v>Majandamiskulud</v>
      </c>
      <c r="P1212" s="3" t="str">
        <f>VLOOKUP(Table2[[#This Row],[Tulu/kulu liik2]],Table5[],5,FALSE)</f>
        <v>Põhitegevuse kulu</v>
      </c>
    </row>
    <row r="1213" spans="1:16" x14ac:dyDescent="0.25">
      <c r="A1213" t="str">
        <f t="shared" si="36"/>
        <v>10</v>
      </c>
      <c r="B1213" s="33" t="s">
        <v>384</v>
      </c>
      <c r="C1213" s="3" t="str">
        <f>VLOOKUP(Table2[[#This Row],[Tegevusala]],Table4[],2,FALSE)</f>
        <v xml:space="preserve"> Vinni Perekodu</v>
      </c>
      <c r="D1213" s="3" t="str">
        <f>VLOOKUP(Table2[[#This Row],[Tegevusala]],Table4[[Tegevusala kood]:[Tegevusala alanimetus]],4,FALSE)</f>
        <v>Laste ja noorte sotsiaalhoolekande asutused</v>
      </c>
      <c r="E1213" s="3" t="str">
        <f>VLOOKUP(Table2[[#This Row],[Tegevusala nimetus2]],Table4[[Tegevusala nimetus]:[Tegevusala koondnimetus]],2,FALSE)</f>
        <v>Sotsiaalne kaitse</v>
      </c>
      <c r="F1213" t="s">
        <v>1679</v>
      </c>
      <c r="G1213" t="s">
        <v>198</v>
      </c>
      <c r="H1213" s="40">
        <v>2800</v>
      </c>
      <c r="J1213">
        <v>5513</v>
      </c>
      <c r="K1213" s="3" t="str">
        <f>VLOOKUP(Table2[[#This Row],[Konto]],Table5[[Konto]:[Konto nimetus]],2,FALSE)</f>
        <v>Sõidukite ülalpidamise kulud</v>
      </c>
      <c r="L1213">
        <v>55</v>
      </c>
      <c r="M1213" t="str">
        <f t="shared" si="37"/>
        <v>55</v>
      </c>
      <c r="N1213" s="3" t="str">
        <f>VLOOKUP(Table2[[#This Row],[Tulu/kulu liik2]],Table5[[Tulu/kulu liik]:[Kontode koondnimetus]],4,FALSE)</f>
        <v>Muud tegevuskulud</v>
      </c>
      <c r="O1213" s="3" t="str">
        <f>VLOOKUP(Table2[[#This Row],[Tulu/kulu liik2]],Table5[],6,FALSE)</f>
        <v>Majandamiskulud</v>
      </c>
      <c r="P1213" s="3" t="str">
        <f>VLOOKUP(Table2[[#This Row],[Tulu/kulu liik2]],Table5[],5,FALSE)</f>
        <v>Põhitegevuse kulu</v>
      </c>
    </row>
    <row r="1214" spans="1:16" x14ac:dyDescent="0.25">
      <c r="A1214" t="str">
        <f t="shared" si="36"/>
        <v>10</v>
      </c>
      <c r="B1214" s="33" t="s">
        <v>384</v>
      </c>
      <c r="C1214" s="3" t="str">
        <f>VLOOKUP(Table2[[#This Row],[Tegevusala]],Table4[],2,FALSE)</f>
        <v xml:space="preserve"> Vinni Perekodu</v>
      </c>
      <c r="D1214" s="3" t="str">
        <f>VLOOKUP(Table2[[#This Row],[Tegevusala]],Table4[[Tegevusala kood]:[Tegevusala alanimetus]],4,FALSE)</f>
        <v>Laste ja noorte sotsiaalhoolekande asutused</v>
      </c>
      <c r="E1214" s="3" t="str">
        <f>VLOOKUP(Table2[[#This Row],[Tegevusala nimetus2]],Table4[[Tegevusala nimetus]:[Tegevusala koondnimetus]],2,FALSE)</f>
        <v>Sotsiaalne kaitse</v>
      </c>
      <c r="F1214" t="s">
        <v>1679</v>
      </c>
      <c r="G1214" t="s">
        <v>1702</v>
      </c>
      <c r="H1214" s="40">
        <v>3000</v>
      </c>
      <c r="J1214">
        <v>5515</v>
      </c>
      <c r="K1214" s="3" t="str">
        <f>VLOOKUP(Table2[[#This Row],[Konto]],Table5[[Konto]:[Konto nimetus]],2,FALSE)</f>
        <v>Inventari kulud, v.a infotehnoloogia ja kaitseotstarbelised kulud</v>
      </c>
      <c r="L1214">
        <v>55</v>
      </c>
      <c r="M1214" t="str">
        <f t="shared" si="37"/>
        <v>55</v>
      </c>
      <c r="N1214" s="3" t="str">
        <f>VLOOKUP(Table2[[#This Row],[Tulu/kulu liik2]],Table5[[Tulu/kulu liik]:[Kontode koondnimetus]],4,FALSE)</f>
        <v>Muud tegevuskulud</v>
      </c>
      <c r="O1214" s="3" t="str">
        <f>VLOOKUP(Table2[[#This Row],[Tulu/kulu liik2]],Table5[],6,FALSE)</f>
        <v>Majandamiskulud</v>
      </c>
      <c r="P1214" s="3" t="str">
        <f>VLOOKUP(Table2[[#This Row],[Tulu/kulu liik2]],Table5[],5,FALSE)</f>
        <v>Põhitegevuse kulu</v>
      </c>
    </row>
    <row r="1215" spans="1:16" x14ac:dyDescent="0.25">
      <c r="A1215" t="str">
        <f t="shared" si="36"/>
        <v>10</v>
      </c>
      <c r="B1215" s="33" t="s">
        <v>384</v>
      </c>
      <c r="C1215" s="3" t="str">
        <f>VLOOKUP(Table2[[#This Row],[Tegevusala]],Table4[],2,FALSE)</f>
        <v xml:space="preserve"> Vinni Perekodu</v>
      </c>
      <c r="D1215" s="3" t="str">
        <f>VLOOKUP(Table2[[#This Row],[Tegevusala]],Table4[[Tegevusala kood]:[Tegevusala alanimetus]],4,FALSE)</f>
        <v>Laste ja noorte sotsiaalhoolekande asutused</v>
      </c>
      <c r="E1215" s="3" t="str">
        <f>VLOOKUP(Table2[[#This Row],[Tegevusala nimetus2]],Table4[[Tegevusala nimetus]:[Tegevusala koondnimetus]],2,FALSE)</f>
        <v>Sotsiaalne kaitse</v>
      </c>
      <c r="F1215" t="s">
        <v>1679</v>
      </c>
      <c r="G1215" t="s">
        <v>1701</v>
      </c>
      <c r="H1215" s="40">
        <v>13920</v>
      </c>
      <c r="I1215" s="2" t="s">
        <v>1703</v>
      </c>
      <c r="J1215">
        <v>5515</v>
      </c>
      <c r="K1215" s="3" t="str">
        <f>VLOOKUP(Table2[[#This Row],[Konto]],Table5[[Konto]:[Konto nimetus]],2,FALSE)</f>
        <v>Inventari kulud, v.a infotehnoloogia ja kaitseotstarbelised kulud</v>
      </c>
      <c r="L1215">
        <v>55</v>
      </c>
      <c r="M1215" t="str">
        <f t="shared" si="37"/>
        <v>55</v>
      </c>
      <c r="N1215" s="3" t="str">
        <f>VLOOKUP(Table2[[#This Row],[Tulu/kulu liik2]],Table5[[Tulu/kulu liik]:[Kontode koondnimetus]],4,FALSE)</f>
        <v>Muud tegevuskulud</v>
      </c>
      <c r="O1215" s="3" t="str">
        <f>VLOOKUP(Table2[[#This Row],[Tulu/kulu liik2]],Table5[],6,FALSE)</f>
        <v>Majandamiskulud</v>
      </c>
      <c r="P1215" s="3" t="str">
        <f>VLOOKUP(Table2[[#This Row],[Tulu/kulu liik2]],Table5[],5,FALSE)</f>
        <v>Põhitegevuse kulu</v>
      </c>
    </row>
    <row r="1216" spans="1:16" x14ac:dyDescent="0.25">
      <c r="A1216" t="str">
        <f t="shared" si="36"/>
        <v>10</v>
      </c>
      <c r="B1216" s="33" t="s">
        <v>384</v>
      </c>
      <c r="C1216" s="3" t="str">
        <f>VLOOKUP(Table2[[#This Row],[Tegevusala]],Table4[],2,FALSE)</f>
        <v xml:space="preserve"> Vinni Perekodu</v>
      </c>
      <c r="D1216" s="3" t="str">
        <f>VLOOKUP(Table2[[#This Row],[Tegevusala]],Table4[[Tegevusala kood]:[Tegevusala alanimetus]],4,FALSE)</f>
        <v>Laste ja noorte sotsiaalhoolekande asutused</v>
      </c>
      <c r="E1216" s="3" t="str">
        <f>VLOOKUP(Table2[[#This Row],[Tegevusala nimetus2]],Table4[[Tegevusala nimetus]:[Tegevusala koondnimetus]],2,FALSE)</f>
        <v>Sotsiaalne kaitse</v>
      </c>
      <c r="F1216" t="s">
        <v>1679</v>
      </c>
      <c r="G1216" t="s">
        <v>1704</v>
      </c>
      <c r="H1216" s="40">
        <v>42340</v>
      </c>
      <c r="I1216" s="2" t="s">
        <v>1706</v>
      </c>
      <c r="J1216">
        <v>5521</v>
      </c>
      <c r="K1216" s="3" t="str">
        <f>VLOOKUP(Table2[[#This Row],[Konto]],Table5[[Konto]:[Konto nimetus]],2,FALSE)</f>
        <v>Toiduained ja toitlustusteenused</v>
      </c>
      <c r="L1216">
        <v>55</v>
      </c>
      <c r="M1216" t="str">
        <f t="shared" si="37"/>
        <v>55</v>
      </c>
      <c r="N1216" s="3" t="str">
        <f>VLOOKUP(Table2[[#This Row],[Tulu/kulu liik2]],Table5[[Tulu/kulu liik]:[Kontode koondnimetus]],4,FALSE)</f>
        <v>Muud tegevuskulud</v>
      </c>
      <c r="O1216" s="3" t="str">
        <f>VLOOKUP(Table2[[#This Row],[Tulu/kulu liik2]],Table5[],6,FALSE)</f>
        <v>Majandamiskulud</v>
      </c>
      <c r="P1216" s="3" t="str">
        <f>VLOOKUP(Table2[[#This Row],[Tulu/kulu liik2]],Table5[],5,FALSE)</f>
        <v>Põhitegevuse kulu</v>
      </c>
    </row>
    <row r="1217" spans="1:16" x14ac:dyDescent="0.25">
      <c r="A1217" t="str">
        <f t="shared" si="36"/>
        <v>10</v>
      </c>
      <c r="B1217" s="33" t="s">
        <v>384</v>
      </c>
      <c r="C1217" s="3" t="str">
        <f>VLOOKUP(Table2[[#This Row],[Tegevusala]],Table4[],2,FALSE)</f>
        <v xml:space="preserve"> Vinni Perekodu</v>
      </c>
      <c r="D1217" s="3" t="str">
        <f>VLOOKUP(Table2[[#This Row],[Tegevusala]],Table4[[Tegevusala kood]:[Tegevusala alanimetus]],4,FALSE)</f>
        <v>Laste ja noorte sotsiaalhoolekande asutused</v>
      </c>
      <c r="E1217" s="3" t="str">
        <f>VLOOKUP(Table2[[#This Row],[Tegevusala nimetus2]],Table4[[Tegevusala nimetus]:[Tegevusala koondnimetus]],2,FALSE)</f>
        <v>Sotsiaalne kaitse</v>
      </c>
      <c r="F1217" t="s">
        <v>1679</v>
      </c>
      <c r="G1217" t="s">
        <v>1705</v>
      </c>
      <c r="H1217" s="40">
        <v>1500</v>
      </c>
      <c r="J1217">
        <v>5521</v>
      </c>
      <c r="K1217" s="3" t="str">
        <f>VLOOKUP(Table2[[#This Row],[Konto]],Table5[[Konto]:[Konto nimetus]],2,FALSE)</f>
        <v>Toiduained ja toitlustusteenused</v>
      </c>
      <c r="L1217">
        <v>55</v>
      </c>
      <c r="M1217" t="str">
        <f t="shared" si="37"/>
        <v>55</v>
      </c>
      <c r="N1217" s="3" t="str">
        <f>VLOOKUP(Table2[[#This Row],[Tulu/kulu liik2]],Table5[[Tulu/kulu liik]:[Kontode koondnimetus]],4,FALSE)</f>
        <v>Muud tegevuskulud</v>
      </c>
      <c r="O1217" s="3" t="str">
        <f>VLOOKUP(Table2[[#This Row],[Tulu/kulu liik2]],Table5[],6,FALSE)</f>
        <v>Majandamiskulud</v>
      </c>
      <c r="P1217" s="3" t="str">
        <f>VLOOKUP(Table2[[#This Row],[Tulu/kulu liik2]],Table5[],5,FALSE)</f>
        <v>Põhitegevuse kulu</v>
      </c>
    </row>
    <row r="1218" spans="1:16" x14ac:dyDescent="0.25">
      <c r="A1218" t="str">
        <f t="shared" ref="A1218:A1281" si="38">LEFT(B1218,2)</f>
        <v>10</v>
      </c>
      <c r="B1218" s="33" t="s">
        <v>384</v>
      </c>
      <c r="C1218" s="3" t="str">
        <f>VLOOKUP(Table2[[#This Row],[Tegevusala]],Table4[],2,FALSE)</f>
        <v xml:space="preserve"> Vinni Perekodu</v>
      </c>
      <c r="D1218" s="3" t="str">
        <f>VLOOKUP(Table2[[#This Row],[Tegevusala]],Table4[[Tegevusala kood]:[Tegevusala alanimetus]],4,FALSE)</f>
        <v>Laste ja noorte sotsiaalhoolekande asutused</v>
      </c>
      <c r="E1218" s="3" t="str">
        <f>VLOOKUP(Table2[[#This Row],[Tegevusala nimetus2]],Table4[[Tegevusala nimetus]:[Tegevusala koondnimetus]],2,FALSE)</f>
        <v>Sotsiaalne kaitse</v>
      </c>
      <c r="F1218" t="s">
        <v>1679</v>
      </c>
      <c r="G1218" t="s">
        <v>1707</v>
      </c>
      <c r="H1218" s="40">
        <v>6200</v>
      </c>
      <c r="J1218">
        <v>5522</v>
      </c>
      <c r="K1218" s="3" t="str">
        <f>VLOOKUP(Table2[[#This Row],[Konto]],Table5[[Konto]:[Konto nimetus]],2,FALSE)</f>
        <v>Meditsiinikulud ja hügieenitarbed</v>
      </c>
      <c r="L1218">
        <v>55</v>
      </c>
      <c r="M1218" t="str">
        <f t="shared" ref="M1218:M1281" si="39">LEFT(J1218,2)</f>
        <v>55</v>
      </c>
      <c r="N1218" s="3" t="str">
        <f>VLOOKUP(Table2[[#This Row],[Tulu/kulu liik2]],Table5[[Tulu/kulu liik]:[Kontode koondnimetus]],4,FALSE)</f>
        <v>Muud tegevuskulud</v>
      </c>
      <c r="O1218" s="3" t="str">
        <f>VLOOKUP(Table2[[#This Row],[Tulu/kulu liik2]],Table5[],6,FALSE)</f>
        <v>Majandamiskulud</v>
      </c>
      <c r="P1218" s="3" t="str">
        <f>VLOOKUP(Table2[[#This Row],[Tulu/kulu liik2]],Table5[],5,FALSE)</f>
        <v>Põhitegevuse kulu</v>
      </c>
    </row>
    <row r="1219" spans="1:16" x14ac:dyDescent="0.25">
      <c r="A1219" t="str">
        <f t="shared" si="38"/>
        <v>10</v>
      </c>
      <c r="B1219" s="33" t="s">
        <v>384</v>
      </c>
      <c r="C1219" s="3" t="str">
        <f>VLOOKUP(Table2[[#This Row],[Tegevusala]],Table4[],2,FALSE)</f>
        <v xml:space="preserve"> Vinni Perekodu</v>
      </c>
      <c r="D1219" s="3" t="str">
        <f>VLOOKUP(Table2[[#This Row],[Tegevusala]],Table4[[Tegevusala kood]:[Tegevusala alanimetus]],4,FALSE)</f>
        <v>Laste ja noorte sotsiaalhoolekande asutused</v>
      </c>
      <c r="E1219" s="3" t="str">
        <f>VLOOKUP(Table2[[#This Row],[Tegevusala nimetus2]],Table4[[Tegevusala nimetus]:[Tegevusala koondnimetus]],2,FALSE)</f>
        <v>Sotsiaalne kaitse</v>
      </c>
      <c r="F1219" t="s">
        <v>1679</v>
      </c>
      <c r="G1219" t="s">
        <v>1708</v>
      </c>
      <c r="H1219" s="40">
        <v>1040</v>
      </c>
      <c r="J1219">
        <v>5522</v>
      </c>
      <c r="K1219" s="3" t="str">
        <f>VLOOKUP(Table2[[#This Row],[Konto]],Table5[[Konto]:[Konto nimetus]],2,FALSE)</f>
        <v>Meditsiinikulud ja hügieenitarbed</v>
      </c>
      <c r="L1219">
        <v>55</v>
      </c>
      <c r="M1219" t="str">
        <f t="shared" si="39"/>
        <v>55</v>
      </c>
      <c r="N1219" s="3" t="str">
        <f>VLOOKUP(Table2[[#This Row],[Tulu/kulu liik2]],Table5[[Tulu/kulu liik]:[Kontode koondnimetus]],4,FALSE)</f>
        <v>Muud tegevuskulud</v>
      </c>
      <c r="O1219" s="3" t="str">
        <f>VLOOKUP(Table2[[#This Row],[Tulu/kulu liik2]],Table5[],6,FALSE)</f>
        <v>Majandamiskulud</v>
      </c>
      <c r="P1219" s="3" t="str">
        <f>VLOOKUP(Table2[[#This Row],[Tulu/kulu liik2]],Table5[],5,FALSE)</f>
        <v>Põhitegevuse kulu</v>
      </c>
    </row>
    <row r="1220" spans="1:16" x14ac:dyDescent="0.25">
      <c r="A1220" t="str">
        <f t="shared" si="38"/>
        <v>10</v>
      </c>
      <c r="B1220" s="33" t="s">
        <v>384</v>
      </c>
      <c r="C1220" s="3" t="str">
        <f>VLOOKUP(Table2[[#This Row],[Tegevusala]],Table4[],2,FALSE)</f>
        <v xml:space="preserve"> Vinni Perekodu</v>
      </c>
      <c r="D1220" s="3" t="str">
        <f>VLOOKUP(Table2[[#This Row],[Tegevusala]],Table4[[Tegevusala kood]:[Tegevusala alanimetus]],4,FALSE)</f>
        <v>Laste ja noorte sotsiaalhoolekande asutused</v>
      </c>
      <c r="E1220" s="3" t="str">
        <f>VLOOKUP(Table2[[#This Row],[Tegevusala nimetus2]],Table4[[Tegevusala nimetus]:[Tegevusala koondnimetus]],2,FALSE)</f>
        <v>Sotsiaalne kaitse</v>
      </c>
      <c r="F1220" t="s">
        <v>1679</v>
      </c>
      <c r="G1220" t="s">
        <v>1709</v>
      </c>
      <c r="H1220" s="40">
        <v>960</v>
      </c>
      <c r="J1220">
        <v>5524</v>
      </c>
      <c r="K1220" s="3" t="str">
        <f>VLOOKUP(Table2[[#This Row],[Konto]],Table5[[Konto]:[Konto nimetus]],2,FALSE)</f>
        <v>Õppevahendid</v>
      </c>
      <c r="L1220">
        <v>55</v>
      </c>
      <c r="M1220" t="str">
        <f t="shared" si="39"/>
        <v>55</v>
      </c>
      <c r="N1220" s="3" t="str">
        <f>VLOOKUP(Table2[[#This Row],[Tulu/kulu liik2]],Table5[[Tulu/kulu liik]:[Kontode koondnimetus]],4,FALSE)</f>
        <v>Muud tegevuskulud</v>
      </c>
      <c r="O1220" s="3" t="str">
        <f>VLOOKUP(Table2[[#This Row],[Tulu/kulu liik2]],Table5[],6,FALSE)</f>
        <v>Majandamiskulud</v>
      </c>
      <c r="P1220" s="3" t="str">
        <f>VLOOKUP(Table2[[#This Row],[Tulu/kulu liik2]],Table5[],5,FALSE)</f>
        <v>Põhitegevuse kulu</v>
      </c>
    </row>
    <row r="1221" spans="1:16" x14ac:dyDescent="0.25">
      <c r="A1221" t="str">
        <f t="shared" si="38"/>
        <v>10</v>
      </c>
      <c r="B1221" s="33" t="s">
        <v>384</v>
      </c>
      <c r="C1221" s="3" t="str">
        <f>VLOOKUP(Table2[[#This Row],[Tegevusala]],Table4[],2,FALSE)</f>
        <v xml:space="preserve"> Vinni Perekodu</v>
      </c>
      <c r="D1221" s="3" t="str">
        <f>VLOOKUP(Table2[[#This Row],[Tegevusala]],Table4[[Tegevusala kood]:[Tegevusala alanimetus]],4,FALSE)</f>
        <v>Laste ja noorte sotsiaalhoolekande asutused</v>
      </c>
      <c r="E1221" s="3" t="str">
        <f>VLOOKUP(Table2[[#This Row],[Tegevusala nimetus2]],Table4[[Tegevusala nimetus]:[Tegevusala koondnimetus]],2,FALSE)</f>
        <v>Sotsiaalne kaitse</v>
      </c>
      <c r="F1221" t="s">
        <v>1679</v>
      </c>
      <c r="G1221" t="s">
        <v>1832</v>
      </c>
      <c r="H1221" s="40">
        <v>200</v>
      </c>
      <c r="J1221">
        <v>5525</v>
      </c>
      <c r="K1221" s="3" t="str">
        <f>VLOOKUP(Table2[[#This Row],[Konto]],Table5[[Konto]:[Konto nimetus]],2,FALSE)</f>
        <v>Kommunikatsiooni-, kultuuri- ja vaba aja sisustamise kulud</v>
      </c>
      <c r="L1221">
        <v>55</v>
      </c>
      <c r="M1221" t="str">
        <f t="shared" si="39"/>
        <v>55</v>
      </c>
      <c r="N1221" s="3" t="str">
        <f>VLOOKUP(Table2[[#This Row],[Tulu/kulu liik2]],Table5[[Tulu/kulu liik]:[Kontode koondnimetus]],4,FALSE)</f>
        <v>Muud tegevuskulud</v>
      </c>
      <c r="O1221" s="3" t="str">
        <f>VLOOKUP(Table2[[#This Row],[Tulu/kulu liik2]],Table5[],6,FALSE)</f>
        <v>Majandamiskulud</v>
      </c>
      <c r="P1221" s="3" t="str">
        <f>VLOOKUP(Table2[[#This Row],[Tulu/kulu liik2]],Table5[],5,FALSE)</f>
        <v>Põhitegevuse kulu</v>
      </c>
    </row>
    <row r="1222" spans="1:16" x14ac:dyDescent="0.25">
      <c r="A1222" t="str">
        <f t="shared" si="38"/>
        <v>10</v>
      </c>
      <c r="B1222" s="33" t="s">
        <v>384</v>
      </c>
      <c r="C1222" s="3" t="str">
        <f>VLOOKUP(Table2[[#This Row],[Tegevusala]],Table4[],2,FALSE)</f>
        <v xml:space="preserve"> Vinni Perekodu</v>
      </c>
      <c r="D1222" s="3" t="str">
        <f>VLOOKUP(Table2[[#This Row],[Tegevusala]],Table4[[Tegevusala kood]:[Tegevusala alanimetus]],4,FALSE)</f>
        <v>Laste ja noorte sotsiaalhoolekande asutused</v>
      </c>
      <c r="E1222" s="3" t="str">
        <f>VLOOKUP(Table2[[#This Row],[Tegevusala nimetus2]],Table4[[Tegevusala nimetus]:[Tegevusala koondnimetus]],2,FALSE)</f>
        <v>Sotsiaalne kaitse</v>
      </c>
      <c r="F1222" t="s">
        <v>1679</v>
      </c>
      <c r="G1222" t="s">
        <v>1710</v>
      </c>
      <c r="H1222" s="40">
        <v>1500</v>
      </c>
      <c r="J1222">
        <v>5525</v>
      </c>
      <c r="K1222" s="3" t="str">
        <f>VLOOKUP(Table2[[#This Row],[Konto]],Table5[[Konto]:[Konto nimetus]],2,FALSE)</f>
        <v>Kommunikatsiooni-, kultuuri- ja vaba aja sisustamise kulud</v>
      </c>
      <c r="L1222">
        <v>55</v>
      </c>
      <c r="M1222" t="str">
        <f t="shared" si="39"/>
        <v>55</v>
      </c>
      <c r="N1222" s="3" t="str">
        <f>VLOOKUP(Table2[[#This Row],[Tulu/kulu liik2]],Table5[[Tulu/kulu liik]:[Kontode koondnimetus]],4,FALSE)</f>
        <v>Muud tegevuskulud</v>
      </c>
      <c r="O1222" s="3" t="str">
        <f>VLOOKUP(Table2[[#This Row],[Tulu/kulu liik2]],Table5[],6,FALSE)</f>
        <v>Majandamiskulud</v>
      </c>
      <c r="P1222" s="3" t="str">
        <f>VLOOKUP(Table2[[#This Row],[Tulu/kulu liik2]],Table5[],5,FALSE)</f>
        <v>Põhitegevuse kulu</v>
      </c>
    </row>
    <row r="1223" spans="1:16" x14ac:dyDescent="0.25">
      <c r="A1223" t="str">
        <f t="shared" si="38"/>
        <v>10</v>
      </c>
      <c r="B1223" s="77" t="s">
        <v>384</v>
      </c>
      <c r="C1223" s="3" t="str">
        <f>VLOOKUP(Table2[[#This Row],[Tegevusala]],Table4[],2,FALSE)</f>
        <v xml:space="preserve"> Vinni Perekodu</v>
      </c>
      <c r="D1223" s="3" t="str">
        <f>VLOOKUP(Table2[[#This Row],[Tegevusala]],Table4[[Tegevusala kood]:[Tegevusala alanimetus]],4,FALSE)</f>
        <v>Laste ja noorte sotsiaalhoolekande asutused</v>
      </c>
      <c r="E1223" s="3" t="str">
        <f>VLOOKUP(Table2[[#This Row],[Tegevusala nimetus2]],Table4[[Tegevusala nimetus]:[Tegevusala koondnimetus]],2,FALSE)</f>
        <v>Sotsiaalne kaitse</v>
      </c>
      <c r="F1223" t="s">
        <v>1679</v>
      </c>
      <c r="G1223" t="s">
        <v>1711</v>
      </c>
      <c r="H1223" s="40">
        <v>1540</v>
      </c>
      <c r="J1223">
        <v>5525</v>
      </c>
      <c r="K1223" s="3" t="str">
        <f>VLOOKUP(Table2[[#This Row],[Konto]],Table5[[Konto]:[Konto nimetus]],2,FALSE)</f>
        <v>Kommunikatsiooni-, kultuuri- ja vaba aja sisustamise kulud</v>
      </c>
      <c r="L1223">
        <v>55</v>
      </c>
      <c r="M1223" t="str">
        <f t="shared" si="39"/>
        <v>55</v>
      </c>
      <c r="N1223" s="3" t="str">
        <f>VLOOKUP(Table2[[#This Row],[Tulu/kulu liik2]],Table5[[Tulu/kulu liik]:[Kontode koondnimetus]],4,FALSE)</f>
        <v>Muud tegevuskulud</v>
      </c>
      <c r="O1223" s="3" t="str">
        <f>VLOOKUP(Table2[[#This Row],[Tulu/kulu liik2]],Table5[],6,FALSE)</f>
        <v>Majandamiskulud</v>
      </c>
      <c r="P1223" s="3" t="str">
        <f>VLOOKUP(Table2[[#This Row],[Tulu/kulu liik2]],Table5[],5,FALSE)</f>
        <v>Põhitegevuse kulu</v>
      </c>
    </row>
    <row r="1224" spans="1:16" x14ac:dyDescent="0.25">
      <c r="A1224" t="str">
        <f t="shared" si="38"/>
        <v>10</v>
      </c>
      <c r="B1224" s="77" t="s">
        <v>384</v>
      </c>
      <c r="C1224" s="3" t="str">
        <f>VLOOKUP(Table2[[#This Row],[Tegevusala]],Table4[],2,FALSE)</f>
        <v xml:space="preserve"> Vinni Perekodu</v>
      </c>
      <c r="D1224" s="3" t="str">
        <f>VLOOKUP(Table2[[#This Row],[Tegevusala]],Table4[[Tegevusala kood]:[Tegevusala alanimetus]],4,FALSE)</f>
        <v>Laste ja noorte sotsiaalhoolekande asutused</v>
      </c>
      <c r="E1224" s="3" t="str">
        <f>VLOOKUP(Table2[[#This Row],[Tegevusala nimetus2]],Table4[[Tegevusala nimetus]:[Tegevusala koondnimetus]],2,FALSE)</f>
        <v>Sotsiaalne kaitse</v>
      </c>
      <c r="F1224" t="s">
        <v>1679</v>
      </c>
      <c r="G1224" t="s">
        <v>1712</v>
      </c>
      <c r="H1224" s="40">
        <v>5220</v>
      </c>
      <c r="I1224" s="2" t="s">
        <v>1713</v>
      </c>
      <c r="J1224">
        <v>5523</v>
      </c>
      <c r="K1224" s="3" t="str">
        <f>VLOOKUP(Table2[[#This Row],[Konto]],Table5[[Konto]:[Konto nimetus]],2,FALSE)</f>
        <v>Teavikud ja kunstiesemed</v>
      </c>
      <c r="L1224">
        <v>55</v>
      </c>
      <c r="M1224" t="str">
        <f t="shared" si="39"/>
        <v>55</v>
      </c>
      <c r="N1224" s="3" t="str">
        <f>VLOOKUP(Table2[[#This Row],[Tulu/kulu liik2]],Table5[[Tulu/kulu liik]:[Kontode koondnimetus]],4,FALSE)</f>
        <v>Muud tegevuskulud</v>
      </c>
      <c r="O1224" s="3" t="str">
        <f>VLOOKUP(Table2[[#This Row],[Tulu/kulu liik2]],Table5[],6,FALSE)</f>
        <v>Majandamiskulud</v>
      </c>
      <c r="P1224" s="3" t="str">
        <f>VLOOKUP(Table2[[#This Row],[Tulu/kulu liik2]],Table5[],5,FALSE)</f>
        <v>Põhitegevuse kulu</v>
      </c>
    </row>
    <row r="1225" spans="1:16" x14ac:dyDescent="0.25">
      <c r="A1225" t="str">
        <f t="shared" si="38"/>
        <v>10</v>
      </c>
      <c r="B1225" s="33" t="s">
        <v>384</v>
      </c>
      <c r="C1225" s="3" t="str">
        <f>VLOOKUP(Table2[[#This Row],[Tegevusala]],Table4[],2,FALSE)</f>
        <v xml:space="preserve"> Vinni Perekodu</v>
      </c>
      <c r="D1225" s="3" t="str">
        <f>VLOOKUP(Table2[[#This Row],[Tegevusala]],Table4[[Tegevusala kood]:[Tegevusala alanimetus]],4,FALSE)</f>
        <v>Laste ja noorte sotsiaalhoolekande asutused</v>
      </c>
      <c r="E1225" s="3" t="str">
        <f>VLOOKUP(Table2[[#This Row],[Tegevusala nimetus2]],Table4[[Tegevusala nimetus]:[Tegevusala koondnimetus]],2,FALSE)</f>
        <v>Sotsiaalne kaitse</v>
      </c>
      <c r="F1225" t="s">
        <v>1679</v>
      </c>
      <c r="G1225" t="s">
        <v>1714</v>
      </c>
      <c r="H1225" s="40">
        <v>-21410.4399999999</v>
      </c>
      <c r="J1225">
        <v>5521</v>
      </c>
      <c r="K1225" s="3" t="str">
        <f>VLOOKUP(Table2[[#This Row],[Konto]],Table5[[Konto]:[Konto nimetus]],2,FALSE)</f>
        <v>Toiduained ja toitlustusteenused</v>
      </c>
      <c r="L1225">
        <v>55</v>
      </c>
      <c r="M1225" t="str">
        <f t="shared" si="39"/>
        <v>55</v>
      </c>
      <c r="N1225" s="3" t="str">
        <f>VLOOKUP(Table2[[#This Row],[Tulu/kulu liik2]],Table5[[Tulu/kulu liik]:[Kontode koondnimetus]],4,FALSE)</f>
        <v>Muud tegevuskulud</v>
      </c>
      <c r="O1225" s="3" t="str">
        <f>VLOOKUP(Table2[[#This Row],[Tulu/kulu liik2]],Table5[],6,FALSE)</f>
        <v>Majandamiskulud</v>
      </c>
      <c r="P1225" s="3" t="str">
        <f>VLOOKUP(Table2[[#This Row],[Tulu/kulu liik2]],Table5[],5,FALSE)</f>
        <v>Põhitegevuse kulu</v>
      </c>
    </row>
    <row r="1226" spans="1:16" hidden="1" x14ac:dyDescent="0.25">
      <c r="A1226" s="8" t="str">
        <f t="shared" si="38"/>
        <v>10</v>
      </c>
      <c r="B1226" s="8" t="s">
        <v>384</v>
      </c>
      <c r="C1226" s="32" t="str">
        <f>VLOOKUP(Table2[[#This Row],[Tegevusala]],Table4[],2,FALSE)</f>
        <v xml:space="preserve"> Vinni Perekodu</v>
      </c>
      <c r="D1226" s="32" t="str">
        <f>VLOOKUP(Table2[[#This Row],[Tegevusala]],Table4[[Tegevusala kood]:[Tegevusala alanimetus]],4,FALSE)</f>
        <v>Laste ja noorte sotsiaalhoolekande asutused</v>
      </c>
      <c r="E1226" s="32" t="str">
        <f>VLOOKUP(Table2[[#This Row],[Tegevusala nimetus2]],Table4[[Tegevusala nimetus]:[Tegevusala koondnimetus]],2,FALSE)</f>
        <v>Sotsiaalne kaitse</v>
      </c>
      <c r="F1226" s="8" t="s">
        <v>1679</v>
      </c>
      <c r="G1226" s="8" t="s">
        <v>1680</v>
      </c>
      <c r="H1226" s="43">
        <v>-592050</v>
      </c>
      <c r="I1226" s="9"/>
      <c r="J1226" s="8">
        <v>3224</v>
      </c>
      <c r="K1226" s="32" t="str">
        <f>VLOOKUP(Table2[[#This Row],[Konto]],Table5[[Konto]:[Konto nimetus]],2,FALSE)</f>
        <v>Tulud sotsiaalabi teenustest</v>
      </c>
      <c r="L1226" s="8">
        <v>32</v>
      </c>
      <c r="M1226" s="8" t="str">
        <f t="shared" si="39"/>
        <v>32</v>
      </c>
      <c r="N1226" s="32" t="str">
        <f>VLOOKUP(Table2[[#This Row],[Tulu/kulu liik2]],Table5[[Tulu/kulu liik]:[Kontode koondnimetus]],4,FALSE)</f>
        <v>Tulud kaupade ja teenuste müügist</v>
      </c>
      <c r="O1226" s="32" t="str">
        <f>VLOOKUP(Table2[[#This Row],[Tulu/kulu liik2]],Table5[],6,FALSE)</f>
        <v>Tulud kaupade ja teenuste müügist</v>
      </c>
      <c r="P1226" s="32" t="str">
        <f>VLOOKUP(Table2[[#This Row],[Tulu/kulu liik2]],Table5[],5,FALSE)</f>
        <v>Põhitegevuse tulu</v>
      </c>
    </row>
    <row r="1227" spans="1:16" x14ac:dyDescent="0.25">
      <c r="A1227" t="str">
        <f t="shared" si="38"/>
        <v>10</v>
      </c>
      <c r="B1227" s="33" t="s">
        <v>384</v>
      </c>
      <c r="C1227" s="3" t="str">
        <f>VLOOKUP(Table2[[#This Row],[Tegevusala]],Table4[],2,FALSE)</f>
        <v xml:space="preserve"> Vinni Perekodu</v>
      </c>
      <c r="D1227" s="3" t="str">
        <f>VLOOKUP(Table2[[#This Row],[Tegevusala]],Table4[[Tegevusala kood]:[Tegevusala alanimetus]],4,FALSE)</f>
        <v>Laste ja noorte sotsiaalhoolekande asutused</v>
      </c>
      <c r="E1227" s="3" t="str">
        <f>VLOOKUP(Table2[[#This Row],[Tegevusala nimetus2]],Table4[[Tegevusala nimetus]:[Tegevusala koondnimetus]],2,FALSE)</f>
        <v>Sotsiaalne kaitse</v>
      </c>
      <c r="F1227" t="s">
        <v>1679</v>
      </c>
      <c r="G1227" t="s">
        <v>1833</v>
      </c>
      <c r="H1227" s="40">
        <v>480</v>
      </c>
      <c r="I1227" s="2" t="s">
        <v>1834</v>
      </c>
      <c r="J1227">
        <v>413899</v>
      </c>
      <c r="K1227" s="3" t="str">
        <f>VLOOKUP(Table2[[#This Row],[Konto]],Table5[[Konto]:[Konto nimetus]],2,FALSE)</f>
        <v>Muud sotsiaalabitoetused ja hüvitised</v>
      </c>
      <c r="L1227">
        <v>413</v>
      </c>
      <c r="M1227" t="str">
        <f t="shared" si="39"/>
        <v>41</v>
      </c>
      <c r="N1227" s="3" t="str">
        <f>VLOOKUP(Table2[[#This Row],[Tulu/kulu liik2]],Table5[[Tulu/kulu liik]:[Kontode koondnimetus]],4,FALSE)</f>
        <v>Antavad toetused tegevuskuludeks</v>
      </c>
      <c r="O1227" s="3" t="str">
        <f>VLOOKUP(Table2[[#This Row],[Tulu/kulu liik2]],Table5[],6,FALSE)</f>
        <v>Sotsiaalabitoetused ja muud toetused füüsilistele isikutele</v>
      </c>
      <c r="P1227" s="3" t="str">
        <f>VLOOKUP(Table2[[#This Row],[Tulu/kulu liik2]],Table5[],5,FALSE)</f>
        <v>Põhitegevuse kulu</v>
      </c>
    </row>
    <row r="1228" spans="1:16" x14ac:dyDescent="0.25">
      <c r="A1228" t="str">
        <f t="shared" si="38"/>
        <v>10</v>
      </c>
      <c r="B1228" s="33" t="s">
        <v>384</v>
      </c>
      <c r="C1228" s="3" t="str">
        <f>VLOOKUP(Table2[[#This Row],[Tegevusala]],Table4[],2,FALSE)</f>
        <v xml:space="preserve"> Vinni Perekodu</v>
      </c>
      <c r="D1228" s="3" t="str">
        <f>VLOOKUP(Table2[[#This Row],[Tegevusala]],Table4[[Tegevusala kood]:[Tegevusala alanimetus]],4,FALSE)</f>
        <v>Laste ja noorte sotsiaalhoolekande asutused</v>
      </c>
      <c r="E1228" s="3" t="str">
        <f>VLOOKUP(Table2[[#This Row],[Tegevusala nimetus2]],Table4[[Tegevusala nimetus]:[Tegevusala koondnimetus]],2,FALSE)</f>
        <v>Sotsiaalne kaitse</v>
      </c>
      <c r="F1228" t="s">
        <v>1679</v>
      </c>
      <c r="G1228" t="s">
        <v>1833</v>
      </c>
      <c r="H1228" s="40">
        <v>1980</v>
      </c>
      <c r="I1228" s="2" t="s">
        <v>1835</v>
      </c>
      <c r="J1228">
        <v>413899</v>
      </c>
      <c r="K1228" s="3" t="str">
        <f>VLOOKUP(Table2[[#This Row],[Konto]],Table5[[Konto]:[Konto nimetus]],2,FALSE)</f>
        <v>Muud sotsiaalabitoetused ja hüvitised</v>
      </c>
      <c r="L1228">
        <v>413</v>
      </c>
      <c r="M1228" t="str">
        <f t="shared" si="39"/>
        <v>41</v>
      </c>
      <c r="N1228" s="3" t="str">
        <f>VLOOKUP(Table2[[#This Row],[Tulu/kulu liik2]],Table5[[Tulu/kulu liik]:[Kontode koondnimetus]],4,FALSE)</f>
        <v>Antavad toetused tegevuskuludeks</v>
      </c>
      <c r="O1228" s="3" t="str">
        <f>VLOOKUP(Table2[[#This Row],[Tulu/kulu liik2]],Table5[],6,FALSE)</f>
        <v>Sotsiaalabitoetused ja muud toetused füüsilistele isikutele</v>
      </c>
      <c r="P1228" s="3" t="str">
        <f>VLOOKUP(Table2[[#This Row],[Tulu/kulu liik2]],Table5[],5,FALSE)</f>
        <v>Põhitegevuse kulu</v>
      </c>
    </row>
    <row r="1229" spans="1:16" x14ac:dyDescent="0.25">
      <c r="A1229" t="str">
        <f t="shared" si="38"/>
        <v>10</v>
      </c>
      <c r="B1229" s="33" t="s">
        <v>384</v>
      </c>
      <c r="C1229" s="3" t="str">
        <f>VLOOKUP(Table2[[#This Row],[Tegevusala]],Table4[],2,FALSE)</f>
        <v xml:space="preserve"> Vinni Perekodu</v>
      </c>
      <c r="D1229" s="3" t="str">
        <f>VLOOKUP(Table2[[#This Row],[Tegevusala]],Table4[[Tegevusala kood]:[Tegevusala alanimetus]],4,FALSE)</f>
        <v>Laste ja noorte sotsiaalhoolekande asutused</v>
      </c>
      <c r="E1229" s="3" t="str">
        <f>VLOOKUP(Table2[[#This Row],[Tegevusala nimetus2]],Table4[[Tegevusala nimetus]:[Tegevusala koondnimetus]],2,FALSE)</f>
        <v>Sotsiaalne kaitse</v>
      </c>
      <c r="F1229" t="s">
        <v>1679</v>
      </c>
      <c r="G1229" t="s">
        <v>1833</v>
      </c>
      <c r="H1229" s="40">
        <v>3840</v>
      </c>
      <c r="I1229" s="2" t="s">
        <v>1836</v>
      </c>
      <c r="J1229">
        <v>413899</v>
      </c>
      <c r="K1229" s="3" t="str">
        <f>VLOOKUP(Table2[[#This Row],[Konto]],Table5[[Konto]:[Konto nimetus]],2,FALSE)</f>
        <v>Muud sotsiaalabitoetused ja hüvitised</v>
      </c>
      <c r="L1229">
        <v>413</v>
      </c>
      <c r="M1229" t="str">
        <f t="shared" si="39"/>
        <v>41</v>
      </c>
      <c r="N1229" s="3" t="str">
        <f>VLOOKUP(Table2[[#This Row],[Tulu/kulu liik2]],Table5[[Tulu/kulu liik]:[Kontode koondnimetus]],4,FALSE)</f>
        <v>Antavad toetused tegevuskuludeks</v>
      </c>
      <c r="O1229" s="3" t="str">
        <f>VLOOKUP(Table2[[#This Row],[Tulu/kulu liik2]],Table5[],6,FALSE)</f>
        <v>Sotsiaalabitoetused ja muud toetused füüsilistele isikutele</v>
      </c>
      <c r="P1229" s="3" t="str">
        <f>VLOOKUP(Table2[[#This Row],[Tulu/kulu liik2]],Table5[],5,FALSE)</f>
        <v>Põhitegevuse kulu</v>
      </c>
    </row>
    <row r="1230" spans="1:16" x14ac:dyDescent="0.25">
      <c r="A1230" t="str">
        <f t="shared" si="38"/>
        <v>10</v>
      </c>
      <c r="B1230" s="33" t="s">
        <v>384</v>
      </c>
      <c r="C1230" s="3" t="str">
        <f>VLOOKUP(Table2[[#This Row],[Tegevusala]],Table4[],2,FALSE)</f>
        <v xml:space="preserve"> Vinni Perekodu</v>
      </c>
      <c r="D1230" s="3" t="str">
        <f>VLOOKUP(Table2[[#This Row],[Tegevusala]],Table4[[Tegevusala kood]:[Tegevusala alanimetus]],4,FALSE)</f>
        <v>Laste ja noorte sotsiaalhoolekande asutused</v>
      </c>
      <c r="E1230" s="3" t="str">
        <f>VLOOKUP(Table2[[#This Row],[Tegevusala nimetus2]],Table4[[Tegevusala nimetus]:[Tegevusala koondnimetus]],2,FALSE)</f>
        <v>Sotsiaalne kaitse</v>
      </c>
      <c r="F1230" t="s">
        <v>1679</v>
      </c>
      <c r="G1230" t="s">
        <v>178</v>
      </c>
      <c r="H1230" s="40">
        <v>19000</v>
      </c>
      <c r="J1230">
        <v>5511</v>
      </c>
      <c r="K1230" s="3" t="str">
        <f>VLOOKUP(Table2[[#This Row],[Konto]],Table5[[Konto]:[Konto nimetus]],2,FALSE)</f>
        <v>Kinnistute, hoonete ja ruumide majandamiskulud</v>
      </c>
      <c r="L1230">
        <v>55</v>
      </c>
      <c r="M1230" t="str">
        <f t="shared" si="39"/>
        <v>55</v>
      </c>
      <c r="N1230" s="3" t="str">
        <f>VLOOKUP(Table2[[#This Row],[Tulu/kulu liik2]],Table5[[Tulu/kulu liik]:[Kontode koondnimetus]],4,FALSE)</f>
        <v>Muud tegevuskulud</v>
      </c>
      <c r="O1230" s="3" t="str">
        <f>VLOOKUP(Table2[[#This Row],[Tulu/kulu liik2]],Table5[],6,FALSE)</f>
        <v>Majandamiskulud</v>
      </c>
      <c r="P1230" s="3" t="str">
        <f>VLOOKUP(Table2[[#This Row],[Tulu/kulu liik2]],Table5[],5,FALSE)</f>
        <v>Põhitegevuse kulu</v>
      </c>
    </row>
    <row r="1231" spans="1:16" x14ac:dyDescent="0.25">
      <c r="A1231" t="str">
        <f t="shared" si="38"/>
        <v>10</v>
      </c>
      <c r="B1231" s="33" t="s">
        <v>384</v>
      </c>
      <c r="C1231" s="3" t="str">
        <f>VLOOKUP(Table2[[#This Row],[Tegevusala]],Table4[],2,FALSE)</f>
        <v xml:space="preserve"> Vinni Perekodu</v>
      </c>
      <c r="D1231" s="3" t="str">
        <f>VLOOKUP(Table2[[#This Row],[Tegevusala]],Table4[[Tegevusala kood]:[Tegevusala alanimetus]],4,FALSE)</f>
        <v>Laste ja noorte sotsiaalhoolekande asutused</v>
      </c>
      <c r="E1231" s="3" t="str">
        <f>VLOOKUP(Table2[[#This Row],[Tegevusala nimetus2]],Table4[[Tegevusala nimetus]:[Tegevusala koondnimetus]],2,FALSE)</f>
        <v>Sotsiaalne kaitse</v>
      </c>
      <c r="F1231" t="s">
        <v>1679</v>
      </c>
      <c r="G1231" t="s">
        <v>1694</v>
      </c>
      <c r="H1231" s="40">
        <v>7000</v>
      </c>
      <c r="J1231">
        <v>5511</v>
      </c>
      <c r="K1231" s="3" t="str">
        <f>VLOOKUP(Table2[[#This Row],[Konto]],Table5[[Konto]:[Konto nimetus]],2,FALSE)</f>
        <v>Kinnistute, hoonete ja ruumide majandamiskulud</v>
      </c>
      <c r="L1231">
        <v>55</v>
      </c>
      <c r="M1231" t="str">
        <f t="shared" si="39"/>
        <v>55</v>
      </c>
      <c r="N1231" s="3" t="str">
        <f>VLOOKUP(Table2[[#This Row],[Tulu/kulu liik2]],Table5[[Tulu/kulu liik]:[Kontode koondnimetus]],4,FALSE)</f>
        <v>Muud tegevuskulud</v>
      </c>
      <c r="O1231" s="3" t="str">
        <f>VLOOKUP(Table2[[#This Row],[Tulu/kulu liik2]],Table5[],6,FALSE)</f>
        <v>Majandamiskulud</v>
      </c>
      <c r="P1231" s="3" t="str">
        <f>VLOOKUP(Table2[[#This Row],[Tulu/kulu liik2]],Table5[],5,FALSE)</f>
        <v>Põhitegevuse kulu</v>
      </c>
    </row>
    <row r="1232" spans="1:16" x14ac:dyDescent="0.25">
      <c r="A1232" t="str">
        <f t="shared" si="38"/>
        <v>10</v>
      </c>
      <c r="B1232" s="33" t="s">
        <v>384</v>
      </c>
      <c r="C1232" s="3" t="str">
        <f>VLOOKUP(Table2[[#This Row],[Tegevusala]],Table4[],2,FALSE)</f>
        <v xml:space="preserve"> Vinni Perekodu</v>
      </c>
      <c r="D1232" s="3" t="str">
        <f>VLOOKUP(Table2[[#This Row],[Tegevusala]],Table4[[Tegevusala kood]:[Tegevusala alanimetus]],4,FALSE)</f>
        <v>Laste ja noorte sotsiaalhoolekande asutused</v>
      </c>
      <c r="E1232" s="3" t="str">
        <f>VLOOKUP(Table2[[#This Row],[Tegevusala nimetus2]],Table4[[Tegevusala nimetus]:[Tegevusala koondnimetus]],2,FALSE)</f>
        <v>Sotsiaalne kaitse</v>
      </c>
      <c r="F1232" t="s">
        <v>1679</v>
      </c>
      <c r="G1232" t="s">
        <v>1695</v>
      </c>
      <c r="H1232" s="40">
        <v>4500</v>
      </c>
      <c r="J1232">
        <v>5511</v>
      </c>
      <c r="K1232" s="3" t="str">
        <f>VLOOKUP(Table2[[#This Row],[Konto]],Table5[[Konto]:[Konto nimetus]],2,FALSE)</f>
        <v>Kinnistute, hoonete ja ruumide majandamiskulud</v>
      </c>
      <c r="L1232">
        <v>55</v>
      </c>
      <c r="M1232" t="str">
        <f t="shared" si="39"/>
        <v>55</v>
      </c>
      <c r="N1232" s="3" t="str">
        <f>VLOOKUP(Table2[[#This Row],[Tulu/kulu liik2]],Table5[[Tulu/kulu liik]:[Kontode koondnimetus]],4,FALSE)</f>
        <v>Muud tegevuskulud</v>
      </c>
      <c r="O1232" s="3" t="str">
        <f>VLOOKUP(Table2[[#This Row],[Tulu/kulu liik2]],Table5[],6,FALSE)</f>
        <v>Majandamiskulud</v>
      </c>
      <c r="P1232" s="3" t="str">
        <f>VLOOKUP(Table2[[#This Row],[Tulu/kulu liik2]],Table5[],5,FALSE)</f>
        <v>Põhitegevuse kulu</v>
      </c>
    </row>
    <row r="1233" spans="1:16" x14ac:dyDescent="0.25">
      <c r="A1233" t="str">
        <f t="shared" si="38"/>
        <v>10</v>
      </c>
      <c r="B1233" s="33" t="s">
        <v>384</v>
      </c>
      <c r="C1233" s="3" t="str">
        <f>VLOOKUP(Table2[[#This Row],[Tegevusala]],Table4[],2,FALSE)</f>
        <v xml:space="preserve"> Vinni Perekodu</v>
      </c>
      <c r="D1233" s="3" t="str">
        <f>VLOOKUP(Table2[[#This Row],[Tegevusala]],Table4[[Tegevusala kood]:[Tegevusala alanimetus]],4,FALSE)</f>
        <v>Laste ja noorte sotsiaalhoolekande asutused</v>
      </c>
      <c r="E1233" s="3" t="str">
        <f>VLOOKUP(Table2[[#This Row],[Tegevusala nimetus2]],Table4[[Tegevusala nimetus]:[Tegevusala koondnimetus]],2,FALSE)</f>
        <v>Sotsiaalne kaitse</v>
      </c>
      <c r="F1233" t="s">
        <v>1679</v>
      </c>
      <c r="G1233" t="s">
        <v>1696</v>
      </c>
      <c r="H1233" s="40">
        <v>900</v>
      </c>
      <c r="J1233">
        <v>5511</v>
      </c>
      <c r="K1233" s="3" t="str">
        <f>VLOOKUP(Table2[[#This Row],[Konto]],Table5[[Konto]:[Konto nimetus]],2,FALSE)</f>
        <v>Kinnistute, hoonete ja ruumide majandamiskulud</v>
      </c>
      <c r="L1233">
        <v>55</v>
      </c>
      <c r="M1233" t="str">
        <f t="shared" si="39"/>
        <v>55</v>
      </c>
      <c r="N1233" s="3" t="str">
        <f>VLOOKUP(Table2[[#This Row],[Tulu/kulu liik2]],Table5[[Tulu/kulu liik]:[Kontode koondnimetus]],4,FALSE)</f>
        <v>Muud tegevuskulud</v>
      </c>
      <c r="O1233" s="3" t="str">
        <f>VLOOKUP(Table2[[#This Row],[Tulu/kulu liik2]],Table5[],6,FALSE)</f>
        <v>Majandamiskulud</v>
      </c>
      <c r="P1233" s="3" t="str">
        <f>VLOOKUP(Table2[[#This Row],[Tulu/kulu liik2]],Table5[],5,FALSE)</f>
        <v>Põhitegevuse kulu</v>
      </c>
    </row>
    <row r="1234" spans="1:16" x14ac:dyDescent="0.25">
      <c r="A1234" t="str">
        <f t="shared" si="38"/>
        <v>10</v>
      </c>
      <c r="B1234" s="33" t="s">
        <v>384</v>
      </c>
      <c r="C1234" s="3" t="str">
        <f>VLOOKUP(Table2[[#This Row],[Tegevusala]],Table4[],2,FALSE)</f>
        <v xml:space="preserve"> Vinni Perekodu</v>
      </c>
      <c r="D1234" s="3" t="str">
        <f>VLOOKUP(Table2[[#This Row],[Tegevusala]],Table4[[Tegevusala kood]:[Tegevusala alanimetus]],4,FALSE)</f>
        <v>Laste ja noorte sotsiaalhoolekande asutused</v>
      </c>
      <c r="E1234" s="3" t="str">
        <f>VLOOKUP(Table2[[#This Row],[Tegevusala nimetus2]],Table4[[Tegevusala nimetus]:[Tegevusala koondnimetus]],2,FALSE)</f>
        <v>Sotsiaalne kaitse</v>
      </c>
      <c r="F1234" t="s">
        <v>1679</v>
      </c>
      <c r="G1234" t="s">
        <v>180</v>
      </c>
      <c r="H1234" s="40">
        <v>900</v>
      </c>
      <c r="J1234">
        <v>5511</v>
      </c>
      <c r="K1234" s="3" t="str">
        <f>VLOOKUP(Table2[[#This Row],[Konto]],Table5[[Konto]:[Konto nimetus]],2,FALSE)</f>
        <v>Kinnistute, hoonete ja ruumide majandamiskulud</v>
      </c>
      <c r="L1234">
        <v>55</v>
      </c>
      <c r="M1234" t="str">
        <f t="shared" si="39"/>
        <v>55</v>
      </c>
      <c r="N1234" s="3" t="str">
        <f>VLOOKUP(Table2[[#This Row],[Tulu/kulu liik2]],Table5[[Tulu/kulu liik]:[Kontode koondnimetus]],4,FALSE)</f>
        <v>Muud tegevuskulud</v>
      </c>
      <c r="O1234" s="3" t="str">
        <f>VLOOKUP(Table2[[#This Row],[Tulu/kulu liik2]],Table5[],6,FALSE)</f>
        <v>Majandamiskulud</v>
      </c>
      <c r="P1234" s="3" t="str">
        <f>VLOOKUP(Table2[[#This Row],[Tulu/kulu liik2]],Table5[],5,FALSE)</f>
        <v>Põhitegevuse kulu</v>
      </c>
    </row>
    <row r="1235" spans="1:16" x14ac:dyDescent="0.25">
      <c r="A1235" t="str">
        <f t="shared" si="38"/>
        <v>10</v>
      </c>
      <c r="B1235" s="33" t="s">
        <v>384</v>
      </c>
      <c r="C1235" s="3" t="str">
        <f>VLOOKUP(Table2[[#This Row],[Tegevusala]],Table4[],2,FALSE)</f>
        <v xml:space="preserve"> Vinni Perekodu</v>
      </c>
      <c r="D1235" s="3" t="str">
        <f>VLOOKUP(Table2[[#This Row],[Tegevusala]],Table4[[Tegevusala kood]:[Tegevusala alanimetus]],4,FALSE)</f>
        <v>Laste ja noorte sotsiaalhoolekande asutused</v>
      </c>
      <c r="E1235" s="3" t="str">
        <f>VLOOKUP(Table2[[#This Row],[Tegevusala nimetus2]],Table4[[Tegevusala nimetus]:[Tegevusala koondnimetus]],2,FALSE)</f>
        <v>Sotsiaalne kaitse</v>
      </c>
      <c r="F1235" t="s">
        <v>1679</v>
      </c>
      <c r="G1235" t="s">
        <v>1697</v>
      </c>
      <c r="H1235" s="40">
        <v>320</v>
      </c>
      <c r="J1235">
        <v>5511</v>
      </c>
      <c r="K1235" s="3" t="str">
        <f>VLOOKUP(Table2[[#This Row],[Konto]],Table5[[Konto]:[Konto nimetus]],2,FALSE)</f>
        <v>Kinnistute, hoonete ja ruumide majandamiskulud</v>
      </c>
      <c r="L1235">
        <v>55</v>
      </c>
      <c r="M1235" t="str">
        <f t="shared" si="39"/>
        <v>55</v>
      </c>
      <c r="N1235" s="3" t="str">
        <f>VLOOKUP(Table2[[#This Row],[Tulu/kulu liik2]],Table5[[Tulu/kulu liik]:[Kontode koondnimetus]],4,FALSE)</f>
        <v>Muud tegevuskulud</v>
      </c>
      <c r="O1235" s="3" t="str">
        <f>VLOOKUP(Table2[[#This Row],[Tulu/kulu liik2]],Table5[],6,FALSE)</f>
        <v>Majandamiskulud</v>
      </c>
      <c r="P1235" s="3" t="str">
        <f>VLOOKUP(Table2[[#This Row],[Tulu/kulu liik2]],Table5[],5,FALSE)</f>
        <v>Põhitegevuse kulu</v>
      </c>
    </row>
    <row r="1236" spans="1:16" x14ac:dyDescent="0.25">
      <c r="A1236" t="str">
        <f t="shared" si="38"/>
        <v>10</v>
      </c>
      <c r="B1236" s="33" t="s">
        <v>384</v>
      </c>
      <c r="C1236" s="3" t="str">
        <f>VLOOKUP(Table2[[#This Row],[Tegevusala]],Table4[],2,FALSE)</f>
        <v xml:space="preserve"> Vinni Perekodu</v>
      </c>
      <c r="D1236" s="3" t="str">
        <f>VLOOKUP(Table2[[#This Row],[Tegevusala]],Table4[[Tegevusala kood]:[Tegevusala alanimetus]],4,FALSE)</f>
        <v>Laste ja noorte sotsiaalhoolekande asutused</v>
      </c>
      <c r="E1236" s="3" t="str">
        <f>VLOOKUP(Table2[[#This Row],[Tegevusala nimetus2]],Table4[[Tegevusala nimetus]:[Tegevusala koondnimetus]],2,FALSE)</f>
        <v>Sotsiaalne kaitse</v>
      </c>
      <c r="F1236" t="s">
        <v>1679</v>
      </c>
      <c r="G1236" t="s">
        <v>1698</v>
      </c>
      <c r="H1236" s="40">
        <v>600</v>
      </c>
      <c r="J1236">
        <v>5511</v>
      </c>
      <c r="K1236" s="3" t="str">
        <f>VLOOKUP(Table2[[#This Row],[Konto]],Table5[[Konto]:[Konto nimetus]],2,FALSE)</f>
        <v>Kinnistute, hoonete ja ruumide majandamiskulud</v>
      </c>
      <c r="L1236">
        <v>55</v>
      </c>
      <c r="M1236" t="str">
        <f t="shared" si="39"/>
        <v>55</v>
      </c>
      <c r="N1236" s="3" t="str">
        <f>VLOOKUP(Table2[[#This Row],[Tulu/kulu liik2]],Table5[[Tulu/kulu liik]:[Kontode koondnimetus]],4,FALSE)</f>
        <v>Muud tegevuskulud</v>
      </c>
      <c r="O1236" s="3" t="str">
        <f>VLOOKUP(Table2[[#This Row],[Tulu/kulu liik2]],Table5[],6,FALSE)</f>
        <v>Majandamiskulud</v>
      </c>
      <c r="P1236" s="3" t="str">
        <f>VLOOKUP(Table2[[#This Row],[Tulu/kulu liik2]],Table5[],5,FALSE)</f>
        <v>Põhitegevuse kulu</v>
      </c>
    </row>
    <row r="1237" spans="1:16" x14ac:dyDescent="0.25">
      <c r="A1237" t="str">
        <f t="shared" si="38"/>
        <v>10</v>
      </c>
      <c r="B1237" s="33" t="s">
        <v>384</v>
      </c>
      <c r="C1237" s="3" t="str">
        <f>VLOOKUP(Table2[[#This Row],[Tegevusala]],Table4[],2,FALSE)</f>
        <v xml:space="preserve"> Vinni Perekodu</v>
      </c>
      <c r="D1237" s="3" t="str">
        <f>VLOOKUP(Table2[[#This Row],[Tegevusala]],Table4[[Tegevusala kood]:[Tegevusala alanimetus]],4,FALSE)</f>
        <v>Laste ja noorte sotsiaalhoolekande asutused</v>
      </c>
      <c r="E1237" s="3" t="str">
        <f>VLOOKUP(Table2[[#This Row],[Tegevusala nimetus2]],Table4[[Tegevusala nimetus]:[Tegevusala koondnimetus]],2,FALSE)</f>
        <v>Sotsiaalne kaitse</v>
      </c>
      <c r="F1237" t="s">
        <v>1679</v>
      </c>
      <c r="G1237" t="s">
        <v>1699</v>
      </c>
      <c r="H1237" s="40">
        <v>2955</v>
      </c>
      <c r="J1237">
        <v>5511</v>
      </c>
      <c r="K1237" s="3" t="str">
        <f>VLOOKUP(Table2[[#This Row],[Konto]],Table5[[Konto]:[Konto nimetus]],2,FALSE)</f>
        <v>Kinnistute, hoonete ja ruumide majandamiskulud</v>
      </c>
      <c r="L1237">
        <v>55</v>
      </c>
      <c r="M1237" t="str">
        <f t="shared" si="39"/>
        <v>55</v>
      </c>
      <c r="N1237" s="3" t="str">
        <f>VLOOKUP(Table2[[#This Row],[Tulu/kulu liik2]],Table5[[Tulu/kulu liik]:[Kontode koondnimetus]],4,FALSE)</f>
        <v>Muud tegevuskulud</v>
      </c>
      <c r="O1237" s="3" t="str">
        <f>VLOOKUP(Table2[[#This Row],[Tulu/kulu liik2]],Table5[],6,FALSE)</f>
        <v>Majandamiskulud</v>
      </c>
      <c r="P1237" s="3" t="str">
        <f>VLOOKUP(Table2[[#This Row],[Tulu/kulu liik2]],Table5[],5,FALSE)</f>
        <v>Põhitegevuse kulu</v>
      </c>
    </row>
    <row r="1238" spans="1:16" x14ac:dyDescent="0.25">
      <c r="A1238" s="33" t="str">
        <f t="shared" si="38"/>
        <v>10</v>
      </c>
      <c r="B1238" s="33" t="s">
        <v>386</v>
      </c>
      <c r="C1238" s="34" t="str">
        <f>VLOOKUP(Table2[[#This Row],[Tegevusala]],Table4[],2,FALSE)</f>
        <v xml:space="preserve"> Muud asutused</v>
      </c>
      <c r="D1238" s="34" t="str">
        <f>VLOOKUP(Table2[[#This Row],[Tegevusala]],Table4[[Tegevusala kood]:[Tegevusala alanimetus]],4,FALSE)</f>
        <v>Laste ja noorte sotsiaalhoolekande asutused</v>
      </c>
      <c r="E1238" s="34" t="str">
        <f>VLOOKUP(Table2[[#This Row],[Tegevusala nimetus2]],Table4[[Tegevusala nimetus]:[Tegevusala koondnimetus]],2,FALSE)</f>
        <v>Sotsiaalne kaitse</v>
      </c>
      <c r="F1238" s="33" t="s">
        <v>462</v>
      </c>
      <c r="G1238" s="33" t="s">
        <v>672</v>
      </c>
      <c r="H1238" s="47">
        <v>800</v>
      </c>
      <c r="I1238" s="35"/>
      <c r="J1238" s="33">
        <v>45008</v>
      </c>
      <c r="K1238" s="34" t="str">
        <f>VLOOKUP(Table2[[#This Row],[Konto]],Table5[[Konto]:[Konto nimetus]],2,FALSE)</f>
        <v>Sihtotstarbelised eraldised muudele residentidele</v>
      </c>
      <c r="L1238" s="33">
        <v>4500</v>
      </c>
      <c r="M1238" s="33" t="str">
        <f t="shared" si="39"/>
        <v>45</v>
      </c>
      <c r="N1238" s="34" t="str">
        <f>VLOOKUP(Table2[[#This Row],[Tulu/kulu liik2]],Table5[[Tulu/kulu liik]:[Kontode koondnimetus]],4,FALSE)</f>
        <v>Antavad toetused tegevuskuludeks</v>
      </c>
      <c r="O1238" s="34" t="str">
        <f>VLOOKUP(Table2[[#This Row],[Tulu/kulu liik2]],Table5[],6,FALSE)</f>
        <v>Sihtotstarbelised toetused tegevuskuludeks</v>
      </c>
      <c r="P1238" s="34" t="str">
        <f>VLOOKUP(Table2[[#This Row],[Tulu/kulu liik2]],Table5[],5,FALSE)</f>
        <v>Põhitegevuse kulu</v>
      </c>
    </row>
    <row r="1239" spans="1:16" x14ac:dyDescent="0.25">
      <c r="A1239" s="33" t="str">
        <f t="shared" si="38"/>
        <v>10</v>
      </c>
      <c r="B1239" s="33" t="s">
        <v>386</v>
      </c>
      <c r="C1239" s="34" t="str">
        <f>VLOOKUP(Table2[[#This Row],[Tegevusala]],Table4[],2,FALSE)</f>
        <v xml:space="preserve"> Muud asutused</v>
      </c>
      <c r="D1239" s="34" t="str">
        <f>VLOOKUP(Table2[[#This Row],[Tegevusala]],Table4[[Tegevusala kood]:[Tegevusala alanimetus]],4,FALSE)</f>
        <v>Laste ja noorte sotsiaalhoolekande asutused</v>
      </c>
      <c r="E1239" s="34" t="str">
        <f>VLOOKUP(Table2[[#This Row],[Tegevusala nimetus2]],Table4[[Tegevusala nimetus]:[Tegevusala koondnimetus]],2,FALSE)</f>
        <v>Sotsiaalne kaitse</v>
      </c>
      <c r="F1239" s="33" t="s">
        <v>462</v>
      </c>
      <c r="G1239" s="33" t="s">
        <v>673</v>
      </c>
      <c r="H1239" s="47">
        <v>2820</v>
      </c>
      <c r="I1239" s="35"/>
      <c r="J1239" s="33">
        <v>5526</v>
      </c>
      <c r="K1239" s="34" t="str">
        <f>VLOOKUP(Table2[[#This Row],[Konto]],Table5[[Konto]:[Konto nimetus]],2,FALSE)</f>
        <v>Sotsiaalteenused</v>
      </c>
      <c r="L1239" s="33">
        <v>55</v>
      </c>
      <c r="M1239" s="33" t="str">
        <f t="shared" si="39"/>
        <v>55</v>
      </c>
      <c r="N1239" s="34" t="str">
        <f>VLOOKUP(Table2[[#This Row],[Tulu/kulu liik2]],Table5[[Tulu/kulu liik]:[Kontode koondnimetus]],4,FALSE)</f>
        <v>Muud tegevuskulud</v>
      </c>
      <c r="O1239" s="34" t="str">
        <f>VLOOKUP(Table2[[#This Row],[Tulu/kulu liik2]],Table5[],6,FALSE)</f>
        <v>Majandamiskulud</v>
      </c>
      <c r="P1239" s="34" t="str">
        <f>VLOOKUP(Table2[[#This Row],[Tulu/kulu liik2]],Table5[],5,FALSE)</f>
        <v>Põhitegevuse kulu</v>
      </c>
    </row>
    <row r="1240" spans="1:16" x14ac:dyDescent="0.25">
      <c r="A1240" s="33" t="str">
        <f t="shared" si="38"/>
        <v>10</v>
      </c>
      <c r="B1240" s="33" t="s">
        <v>386</v>
      </c>
      <c r="C1240" s="34" t="str">
        <f>VLOOKUP(Table2[[#This Row],[Tegevusala]],Table4[],2,FALSE)</f>
        <v xml:space="preserve"> Muud asutused</v>
      </c>
      <c r="D1240" s="34" t="str">
        <f>VLOOKUP(Table2[[#This Row],[Tegevusala]],Table4[[Tegevusala kood]:[Tegevusala alanimetus]],4,FALSE)</f>
        <v>Laste ja noorte sotsiaalhoolekande asutused</v>
      </c>
      <c r="E1240" s="34" t="str">
        <f>VLOOKUP(Table2[[#This Row],[Tegevusala nimetus2]],Table4[[Tegevusala nimetus]:[Tegevusala koondnimetus]],2,FALSE)</f>
        <v>Sotsiaalne kaitse</v>
      </c>
      <c r="F1240" s="33" t="s">
        <v>462</v>
      </c>
      <c r="G1240" s="33" t="s">
        <v>674</v>
      </c>
      <c r="H1240" s="47">
        <v>3000</v>
      </c>
      <c r="I1240" s="35"/>
      <c r="J1240" s="33">
        <v>4500</v>
      </c>
      <c r="K1240" s="34" t="str">
        <f>VLOOKUP(Table2[[#This Row],[Konto]],Table5[[Konto]:[Konto nimetus]],2,FALSE)</f>
        <v>Sihtotstarbelised eraldised jooksvateks kuludeks</v>
      </c>
      <c r="L1240" s="33">
        <v>4500</v>
      </c>
      <c r="M1240" s="33" t="str">
        <f t="shared" si="39"/>
        <v>45</v>
      </c>
      <c r="N1240" s="34" t="str">
        <f>VLOOKUP(Table2[[#This Row],[Tulu/kulu liik2]],Table5[[Tulu/kulu liik]:[Kontode koondnimetus]],4,FALSE)</f>
        <v>Antavad toetused tegevuskuludeks</v>
      </c>
      <c r="O1240" s="34" t="str">
        <f>VLOOKUP(Table2[[#This Row],[Tulu/kulu liik2]],Table5[],6,FALSE)</f>
        <v>Sihtotstarbelised toetused tegevuskuludeks</v>
      </c>
      <c r="P1240" s="34" t="str">
        <f>VLOOKUP(Table2[[#This Row],[Tulu/kulu liik2]],Table5[],5,FALSE)</f>
        <v>Põhitegevuse kulu</v>
      </c>
    </row>
    <row r="1241" spans="1:16" x14ac:dyDescent="0.25">
      <c r="A1241" s="33" t="str">
        <f t="shared" si="38"/>
        <v>10</v>
      </c>
      <c r="B1241" s="33" t="s">
        <v>386</v>
      </c>
      <c r="C1241" s="34" t="str">
        <f>VLOOKUP(Table2[[#This Row],[Tegevusala]],Table4[],2,FALSE)</f>
        <v xml:space="preserve"> Muud asutused</v>
      </c>
      <c r="D1241" s="34" t="str">
        <f>VLOOKUP(Table2[[#This Row],[Tegevusala]],Table4[[Tegevusala kood]:[Tegevusala alanimetus]],4,FALSE)</f>
        <v>Laste ja noorte sotsiaalhoolekande asutused</v>
      </c>
      <c r="E1241" s="34" t="str">
        <f>VLOOKUP(Table2[[#This Row],[Tegevusala nimetus2]],Table4[[Tegevusala nimetus]:[Tegevusala koondnimetus]],2,FALSE)</f>
        <v>Sotsiaalne kaitse</v>
      </c>
      <c r="F1241" s="33" t="s">
        <v>462</v>
      </c>
      <c r="G1241" s="33" t="s">
        <v>678</v>
      </c>
      <c r="H1241" s="47">
        <v>4000</v>
      </c>
      <c r="I1241" s="35"/>
      <c r="J1241" s="33">
        <v>5526</v>
      </c>
      <c r="K1241" s="34" t="str">
        <f>VLOOKUP(Table2[[#This Row],[Konto]],Table5[[Konto]:[Konto nimetus]],2,FALSE)</f>
        <v>Sotsiaalteenused</v>
      </c>
      <c r="L1241" s="33">
        <v>55</v>
      </c>
      <c r="M1241" s="33" t="str">
        <f t="shared" si="39"/>
        <v>55</v>
      </c>
      <c r="N1241" s="34" t="str">
        <f>VLOOKUP(Table2[[#This Row],[Tulu/kulu liik2]],Table5[[Tulu/kulu liik]:[Kontode koondnimetus]],4,FALSE)</f>
        <v>Muud tegevuskulud</v>
      </c>
      <c r="O1241" s="34" t="str">
        <f>VLOOKUP(Table2[[#This Row],[Tulu/kulu liik2]],Table5[],6,FALSE)</f>
        <v>Majandamiskulud</v>
      </c>
      <c r="P1241" s="34" t="str">
        <f>VLOOKUP(Table2[[#This Row],[Tulu/kulu liik2]],Table5[],5,FALSE)</f>
        <v>Põhitegevuse kulu</v>
      </c>
    </row>
    <row r="1242" spans="1:16" x14ac:dyDescent="0.25">
      <c r="A1242" s="33" t="str">
        <f t="shared" si="38"/>
        <v>10</v>
      </c>
      <c r="B1242" s="33" t="s">
        <v>386</v>
      </c>
      <c r="C1242" s="34" t="str">
        <f>VLOOKUP(Table2[[#This Row],[Tegevusala]],Table4[],2,FALSE)</f>
        <v xml:space="preserve"> Muud asutused</v>
      </c>
      <c r="D1242" s="34" t="str">
        <f>VLOOKUP(Table2[[#This Row],[Tegevusala]],Table4[[Tegevusala kood]:[Tegevusala alanimetus]],4,FALSE)</f>
        <v>Laste ja noorte sotsiaalhoolekande asutused</v>
      </c>
      <c r="E1242" s="34" t="str">
        <f>VLOOKUP(Table2[[#This Row],[Tegevusala nimetus2]],Table4[[Tegevusala nimetus]:[Tegevusala koondnimetus]],2,FALSE)</f>
        <v>Sotsiaalne kaitse</v>
      </c>
      <c r="F1242" s="33" t="s">
        <v>462</v>
      </c>
      <c r="G1242" s="33" t="s">
        <v>679</v>
      </c>
      <c r="H1242" s="47">
        <v>1000</v>
      </c>
      <c r="I1242" s="35"/>
      <c r="J1242" s="33">
        <v>5526</v>
      </c>
      <c r="K1242" s="34" t="str">
        <f>VLOOKUP(Table2[[#This Row],[Konto]],Table5[[Konto]:[Konto nimetus]],2,FALSE)</f>
        <v>Sotsiaalteenused</v>
      </c>
      <c r="L1242" s="33">
        <v>55</v>
      </c>
      <c r="M1242" s="33" t="str">
        <f t="shared" si="39"/>
        <v>55</v>
      </c>
      <c r="N1242" s="34" t="str">
        <f>VLOOKUP(Table2[[#This Row],[Tulu/kulu liik2]],Table5[[Tulu/kulu liik]:[Kontode koondnimetus]],4,FALSE)</f>
        <v>Muud tegevuskulud</v>
      </c>
      <c r="O1242" s="34" t="str">
        <f>VLOOKUP(Table2[[#This Row],[Tulu/kulu liik2]],Table5[],6,FALSE)</f>
        <v>Majandamiskulud</v>
      </c>
      <c r="P1242" s="34" t="str">
        <f>VLOOKUP(Table2[[#This Row],[Tulu/kulu liik2]],Table5[],5,FALSE)</f>
        <v>Põhitegevuse kulu</v>
      </c>
    </row>
    <row r="1243" spans="1:16" x14ac:dyDescent="0.25">
      <c r="A1243" s="33" t="str">
        <f t="shared" si="38"/>
        <v>10</v>
      </c>
      <c r="B1243" s="33" t="s">
        <v>386</v>
      </c>
      <c r="C1243" s="34" t="str">
        <f>VLOOKUP(Table2[[#This Row],[Tegevusala]],Table4[],2,FALSE)</f>
        <v xml:space="preserve"> Muud asutused</v>
      </c>
      <c r="D1243" s="34" t="str">
        <f>VLOOKUP(Table2[[#This Row],[Tegevusala]],Table4[[Tegevusala kood]:[Tegevusala alanimetus]],4,FALSE)</f>
        <v>Laste ja noorte sotsiaalhoolekande asutused</v>
      </c>
      <c r="E1243" s="34" t="str">
        <f>VLOOKUP(Table2[[#This Row],[Tegevusala nimetus2]],Table4[[Tegevusala nimetus]:[Tegevusala koondnimetus]],2,FALSE)</f>
        <v>Sotsiaalne kaitse</v>
      </c>
      <c r="F1243" s="33" t="s">
        <v>462</v>
      </c>
      <c r="G1243" s="33" t="s">
        <v>691</v>
      </c>
      <c r="H1243" s="47">
        <v>1000</v>
      </c>
      <c r="I1243" s="35"/>
      <c r="J1243" s="33">
        <v>413899</v>
      </c>
      <c r="K1243" s="34" t="str">
        <f>VLOOKUP(Table2[[#This Row],[Konto]],Table5[[Konto]:[Konto nimetus]],2,FALSE)</f>
        <v>Muud sotsiaalabitoetused ja hüvitised</v>
      </c>
      <c r="L1243" s="33">
        <v>413</v>
      </c>
      <c r="M1243" s="33" t="str">
        <f t="shared" si="39"/>
        <v>41</v>
      </c>
      <c r="N1243" s="34" t="str">
        <f>VLOOKUP(Table2[[#This Row],[Tulu/kulu liik2]],Table5[[Tulu/kulu liik]:[Kontode koondnimetus]],4,FALSE)</f>
        <v>Antavad toetused tegevuskuludeks</v>
      </c>
      <c r="O1243" s="34" t="str">
        <f>VLOOKUP(Table2[[#This Row],[Tulu/kulu liik2]],Table5[],6,FALSE)</f>
        <v>Sotsiaalabitoetused ja muud toetused füüsilistele isikutele</v>
      </c>
      <c r="P1243" s="34" t="str">
        <f>VLOOKUP(Table2[[#This Row],[Tulu/kulu liik2]],Table5[],5,FALSE)</f>
        <v>Põhitegevuse kulu</v>
      </c>
    </row>
    <row r="1244" spans="1:16" x14ac:dyDescent="0.25">
      <c r="A1244" s="8" t="str">
        <f t="shared" si="38"/>
        <v>10</v>
      </c>
      <c r="B1244" s="8" t="s">
        <v>386</v>
      </c>
      <c r="C1244" s="32" t="str">
        <f>VLOOKUP(Table2[[#This Row],[Tegevusala]],Table4[],2,FALSE)</f>
        <v xml:space="preserve"> Muud asutused</v>
      </c>
      <c r="D1244" s="32" t="str">
        <f>VLOOKUP(Table2[[#This Row],[Tegevusala]],Table4[[Tegevusala kood]:[Tegevusala alanimetus]],4,FALSE)</f>
        <v>Laste ja noorte sotsiaalhoolekande asutused</v>
      </c>
      <c r="E1244" s="32" t="str">
        <f>VLOOKUP(Table2[[#This Row],[Tegevusala nimetus2]],Table4[[Tegevusala nimetus]:[Tegevusala koondnimetus]],2,FALSE)</f>
        <v>Sotsiaalne kaitse</v>
      </c>
      <c r="F1244" s="8" t="s">
        <v>462</v>
      </c>
      <c r="G1244" s="8" t="s">
        <v>1678</v>
      </c>
      <c r="H1244" s="43">
        <v>147600</v>
      </c>
      <c r="I1244" s="9" t="s">
        <v>82</v>
      </c>
      <c r="J1244" s="8">
        <v>5526</v>
      </c>
      <c r="K1244" s="32" t="str">
        <f>VLOOKUP(Table2[[#This Row],[Konto]],Table5[[Konto]:[Konto nimetus]],2,FALSE)</f>
        <v>Sotsiaalteenused</v>
      </c>
      <c r="L1244" s="8">
        <v>55</v>
      </c>
      <c r="M1244" s="8" t="str">
        <f t="shared" si="39"/>
        <v>55</v>
      </c>
      <c r="N1244" s="32" t="str">
        <f>VLOOKUP(Table2[[#This Row],[Tulu/kulu liik2]],Table5[[Tulu/kulu liik]:[Kontode koondnimetus]],4,FALSE)</f>
        <v>Muud tegevuskulud</v>
      </c>
      <c r="O1244" s="32" t="str">
        <f>VLOOKUP(Table2[[#This Row],[Tulu/kulu liik2]],Table5[],6,FALSE)</f>
        <v>Majandamiskulud</v>
      </c>
      <c r="P1244" s="32" t="str">
        <f>VLOOKUP(Table2[[#This Row],[Tulu/kulu liik2]],Table5[],5,FALSE)</f>
        <v>Põhitegevuse kulu</v>
      </c>
    </row>
    <row r="1245" spans="1:16" hidden="1" x14ac:dyDescent="0.25">
      <c r="A1245" s="8" t="str">
        <f t="shared" si="38"/>
        <v>10</v>
      </c>
      <c r="B1245" s="8" t="s">
        <v>386</v>
      </c>
      <c r="C1245" s="32" t="str">
        <f>VLOOKUP(Table2[[#This Row],[Tegevusala]],Table4[],2,FALSE)</f>
        <v xml:space="preserve"> Muud asutused</v>
      </c>
      <c r="D1245" s="32" t="str">
        <f>VLOOKUP(Table2[[#This Row],[Tegevusala]],Table4[[Tegevusala kood]:[Tegevusala alanimetus]],4,FALSE)</f>
        <v>Laste ja noorte sotsiaalhoolekande asutused</v>
      </c>
      <c r="E1245" s="32" t="str">
        <f>VLOOKUP(Table2[[#This Row],[Tegevusala nimetus2]],Table4[[Tegevusala nimetus]:[Tegevusala koondnimetus]],2,FALSE)</f>
        <v>Sotsiaalne kaitse</v>
      </c>
      <c r="F1245" s="8" t="s">
        <v>462</v>
      </c>
      <c r="G1245" s="8" t="s">
        <v>82</v>
      </c>
      <c r="H1245" s="43">
        <v>-147600</v>
      </c>
      <c r="I1245" s="8" t="s">
        <v>1678</v>
      </c>
      <c r="J1245" s="8">
        <v>35201</v>
      </c>
      <c r="K1245" s="32" t="str">
        <f>VLOOKUP(Table2[[#This Row],[Konto]],Table5[[Konto]:[Konto nimetus]],2,FALSE)</f>
        <v>Toetusfond</v>
      </c>
      <c r="L1245" s="8">
        <v>35201</v>
      </c>
      <c r="M1245" s="8" t="str">
        <f t="shared" si="39"/>
        <v>35</v>
      </c>
      <c r="N1245" s="32" t="str">
        <f>VLOOKUP(Table2[[#This Row],[Tulu/kulu liik2]],Table5[[Tulu/kulu liik]:[Kontode koondnimetus]],4,FALSE)</f>
        <v>Saadavad toetused tegevuskuludeks</v>
      </c>
      <c r="O1245" s="32" t="str">
        <f>VLOOKUP(Table2[[#This Row],[Tulu/kulu liik2]],Table5[],6,FALSE)</f>
        <v>Toetusfond</v>
      </c>
      <c r="P1245" s="32" t="str">
        <f>VLOOKUP(Table2[[#This Row],[Tulu/kulu liik2]],Table5[],5,FALSE)</f>
        <v>Põhitegevuse tulu</v>
      </c>
    </row>
    <row r="1246" spans="1:16" x14ac:dyDescent="0.25">
      <c r="A1246" s="33" t="str">
        <f t="shared" si="38"/>
        <v>10</v>
      </c>
      <c r="B1246" s="33" t="s">
        <v>387</v>
      </c>
      <c r="C1246" s="34" t="str">
        <f>VLOOKUP(Table2[[#This Row],[Tegevusala]],Table4[],2,FALSE)</f>
        <v xml:space="preserve"> Matusetoetus</v>
      </c>
      <c r="D1246" s="34" t="str">
        <f>VLOOKUP(Table2[[#This Row],[Tegevusala]],Table4[[Tegevusala kood]:[Tegevusala alanimetus]],4,FALSE)</f>
        <v>Muu perekondade ja laste sotsiaalne kaitse</v>
      </c>
      <c r="E1246" s="34" t="str">
        <f>VLOOKUP(Table2[[#This Row],[Tegevusala nimetus2]],Table4[[Tegevusala nimetus]:[Tegevusala koondnimetus]],2,FALSE)</f>
        <v>Sotsiaalne kaitse</v>
      </c>
      <c r="F1246" s="33" t="s">
        <v>462</v>
      </c>
      <c r="G1246" s="33" t="s">
        <v>692</v>
      </c>
      <c r="H1246" s="47">
        <v>26000</v>
      </c>
      <c r="I1246" s="35" t="s">
        <v>693</v>
      </c>
      <c r="J1246" s="33">
        <v>41389</v>
      </c>
      <c r="K1246" s="34" t="str">
        <f>VLOOKUP(Table2[[#This Row],[Konto]],Table5[[Konto]:[Konto nimetus]],2,FALSE)</f>
        <v>Matusetoetus</v>
      </c>
      <c r="L1246" s="33">
        <v>413</v>
      </c>
      <c r="M1246" s="33" t="str">
        <f t="shared" si="39"/>
        <v>41</v>
      </c>
      <c r="N1246" s="34" t="str">
        <f>VLOOKUP(Table2[[#This Row],[Tulu/kulu liik2]],Table5[[Tulu/kulu liik]:[Kontode koondnimetus]],4,FALSE)</f>
        <v>Antavad toetused tegevuskuludeks</v>
      </c>
      <c r="O1246" s="34" t="str">
        <f>VLOOKUP(Table2[[#This Row],[Tulu/kulu liik2]],Table5[],6,FALSE)</f>
        <v>Sotsiaalabitoetused ja muud toetused füüsilistele isikutele</v>
      </c>
      <c r="P1246" s="34" t="str">
        <f>VLOOKUP(Table2[[#This Row],[Tulu/kulu liik2]],Table5[],5,FALSE)</f>
        <v>Põhitegevuse kulu</v>
      </c>
    </row>
    <row r="1247" spans="1:16" x14ac:dyDescent="0.25">
      <c r="A1247" s="8" t="str">
        <f t="shared" si="38"/>
        <v>10</v>
      </c>
      <c r="B1247" s="8" t="s">
        <v>387</v>
      </c>
      <c r="C1247" s="32" t="str">
        <f>VLOOKUP(Table2[[#This Row],[Tegevusala]],Table4[],2,FALSE)</f>
        <v xml:space="preserve"> Matusetoetus</v>
      </c>
      <c r="D1247" s="32" t="str">
        <f>VLOOKUP(Table2[[#This Row],[Tegevusala]],Table4[[Tegevusala kood]:[Tegevusala alanimetus]],4,FALSE)</f>
        <v>Muu perekondade ja laste sotsiaalne kaitse</v>
      </c>
      <c r="E1247" s="32" t="str">
        <f>VLOOKUP(Table2[[#This Row],[Tegevusala nimetus2]],Table4[[Tegevusala nimetus]:[Tegevusala koondnimetus]],2,FALSE)</f>
        <v>Sotsiaalne kaitse</v>
      </c>
      <c r="F1247" s="8" t="s">
        <v>462</v>
      </c>
      <c r="G1247" s="8" t="s">
        <v>692</v>
      </c>
      <c r="H1247" s="43">
        <v>22524</v>
      </c>
      <c r="I1247" s="9" t="s">
        <v>82</v>
      </c>
      <c r="J1247" s="8">
        <v>41389</v>
      </c>
      <c r="K1247" s="32" t="str">
        <f>VLOOKUP(Table2[[#This Row],[Konto]],Table5[[Konto]:[Konto nimetus]],2,FALSE)</f>
        <v>Matusetoetus</v>
      </c>
      <c r="L1247" s="8">
        <v>413</v>
      </c>
      <c r="M1247" s="8" t="str">
        <f t="shared" si="39"/>
        <v>41</v>
      </c>
      <c r="N1247" s="32" t="str">
        <f>VLOOKUP(Table2[[#This Row],[Tulu/kulu liik2]],Table5[[Tulu/kulu liik]:[Kontode koondnimetus]],4,FALSE)</f>
        <v>Antavad toetused tegevuskuludeks</v>
      </c>
      <c r="O1247" s="32" t="str">
        <f>VLOOKUP(Table2[[#This Row],[Tulu/kulu liik2]],Table5[],6,FALSE)</f>
        <v>Sotsiaalabitoetused ja muud toetused füüsilistele isikutele</v>
      </c>
      <c r="P1247" s="32" t="str">
        <f>VLOOKUP(Table2[[#This Row],[Tulu/kulu liik2]],Table5[],5,FALSE)</f>
        <v>Põhitegevuse kulu</v>
      </c>
    </row>
    <row r="1248" spans="1:16" hidden="1" x14ac:dyDescent="0.25">
      <c r="A1248" s="8" t="str">
        <f t="shared" si="38"/>
        <v>10</v>
      </c>
      <c r="B1248" s="8" t="s">
        <v>387</v>
      </c>
      <c r="C1248" s="32" t="str">
        <f>VLOOKUP(Table2[[#This Row],[Tegevusala]],Table4[],2,FALSE)</f>
        <v xml:space="preserve"> Matusetoetus</v>
      </c>
      <c r="D1248" s="32" t="str">
        <f>VLOOKUP(Table2[[#This Row],[Tegevusala]],Table4[[Tegevusala kood]:[Tegevusala alanimetus]],4,FALSE)</f>
        <v>Muu perekondade ja laste sotsiaalne kaitse</v>
      </c>
      <c r="E1248" s="32" t="str">
        <f>VLOOKUP(Table2[[#This Row],[Tegevusala nimetus2]],Table4[[Tegevusala nimetus]:[Tegevusala koondnimetus]],2,FALSE)</f>
        <v>Sotsiaalne kaitse</v>
      </c>
      <c r="F1248" s="8" t="s">
        <v>462</v>
      </c>
      <c r="G1248" s="8" t="s">
        <v>82</v>
      </c>
      <c r="H1248" s="43">
        <v>-22524</v>
      </c>
      <c r="I1248" s="9" t="s">
        <v>694</v>
      </c>
      <c r="J1248" s="8">
        <v>35201</v>
      </c>
      <c r="K1248" s="32" t="str">
        <f>VLOOKUP(Table2[[#This Row],[Konto]],Table5[[Konto]:[Konto nimetus]],2,FALSE)</f>
        <v>Toetusfond</v>
      </c>
      <c r="L1248" s="8">
        <v>35201</v>
      </c>
      <c r="M1248" s="8" t="str">
        <f t="shared" si="39"/>
        <v>35</v>
      </c>
      <c r="N1248" s="32" t="str">
        <f>VLOOKUP(Table2[[#This Row],[Tulu/kulu liik2]],Table5[[Tulu/kulu liik]:[Kontode koondnimetus]],4,FALSE)</f>
        <v>Saadavad toetused tegevuskuludeks</v>
      </c>
      <c r="O1248" s="32" t="str">
        <f>VLOOKUP(Table2[[#This Row],[Tulu/kulu liik2]],Table5[],6,FALSE)</f>
        <v>Toetusfond</v>
      </c>
      <c r="P1248" s="32" t="str">
        <f>VLOOKUP(Table2[[#This Row],[Tulu/kulu liik2]],Table5[],5,FALSE)</f>
        <v>Põhitegevuse tulu</v>
      </c>
    </row>
    <row r="1249" spans="1:16" x14ac:dyDescent="0.25">
      <c r="A1249" t="str">
        <f t="shared" si="38"/>
        <v>10</v>
      </c>
      <c r="B1249" t="s">
        <v>389</v>
      </c>
      <c r="C1249" s="3" t="str">
        <f>VLOOKUP(Table2[[#This Row],[Tegevusala]],Table4[],2,FALSE)</f>
        <v xml:space="preserve"> Ühekordsed toetused</v>
      </c>
      <c r="D1249" s="3" t="str">
        <f>VLOOKUP(Table2[[#This Row],[Tegevusala]],Table4[[Tegevusala kood]:[Tegevusala alanimetus]],4,FALSE)</f>
        <v>Muu perekondade ja laste sotsiaalne kaitse</v>
      </c>
      <c r="E1249" s="3" t="str">
        <f>VLOOKUP(Table2[[#This Row],[Tegevusala nimetus2]],Table4[[Tegevusala nimetus]:[Tegevusala koondnimetus]],2,FALSE)</f>
        <v>Sotsiaalne kaitse</v>
      </c>
      <c r="F1249" t="s">
        <v>462</v>
      </c>
      <c r="G1249" t="s">
        <v>666</v>
      </c>
      <c r="H1249" s="40">
        <v>9100</v>
      </c>
      <c r="J1249">
        <v>41309</v>
      </c>
      <c r="K1249" s="3" t="str">
        <f>VLOOKUP(Table2[[#This Row],[Konto]],Table5[[Konto]:[Konto nimetus]],2,FALSE)</f>
        <v>Muud peretoetused</v>
      </c>
      <c r="L1249">
        <v>413</v>
      </c>
      <c r="M1249" t="str">
        <f t="shared" si="39"/>
        <v>41</v>
      </c>
      <c r="N1249" s="3" t="str">
        <f>VLOOKUP(Table2[[#This Row],[Tulu/kulu liik2]],Table5[[Tulu/kulu liik]:[Kontode koondnimetus]],4,FALSE)</f>
        <v>Antavad toetused tegevuskuludeks</v>
      </c>
      <c r="O1249" s="3" t="str">
        <f>VLOOKUP(Table2[[#This Row],[Tulu/kulu liik2]],Table5[],6,FALSE)</f>
        <v>Sotsiaalabitoetused ja muud toetused füüsilistele isikutele</v>
      </c>
      <c r="P1249" s="3" t="str">
        <f>VLOOKUP(Table2[[#This Row],[Tulu/kulu liik2]],Table5[],5,FALSE)</f>
        <v>Põhitegevuse kulu</v>
      </c>
    </row>
    <row r="1250" spans="1:16" x14ac:dyDescent="0.25">
      <c r="A1250" t="str">
        <f t="shared" si="38"/>
        <v>10</v>
      </c>
      <c r="B1250" t="s">
        <v>389</v>
      </c>
      <c r="C1250" s="3" t="str">
        <f>VLOOKUP(Table2[[#This Row],[Tegevusala]],Table4[],2,FALSE)</f>
        <v xml:space="preserve"> Ühekordsed toetused</v>
      </c>
      <c r="D1250" s="3" t="str">
        <f>VLOOKUP(Table2[[#This Row],[Tegevusala]],Table4[[Tegevusala kood]:[Tegevusala alanimetus]],4,FALSE)</f>
        <v>Muu perekondade ja laste sotsiaalne kaitse</v>
      </c>
      <c r="E1250" s="3" t="str">
        <f>VLOOKUP(Table2[[#This Row],[Tegevusala nimetus2]],Table4[[Tegevusala nimetus]:[Tegevusala koondnimetus]],2,FALSE)</f>
        <v>Sotsiaalne kaitse</v>
      </c>
      <c r="F1250" t="s">
        <v>462</v>
      </c>
      <c r="G1250" t="s">
        <v>669</v>
      </c>
      <c r="H1250" s="40">
        <v>21000</v>
      </c>
      <c r="J1250">
        <v>41309</v>
      </c>
      <c r="K1250" s="3" t="str">
        <f>VLOOKUP(Table2[[#This Row],[Konto]],Table5[[Konto]:[Konto nimetus]],2,FALSE)</f>
        <v>Muud peretoetused</v>
      </c>
      <c r="L1250">
        <v>413</v>
      </c>
      <c r="M1250" t="str">
        <f t="shared" si="39"/>
        <v>41</v>
      </c>
      <c r="N1250" s="3" t="str">
        <f>VLOOKUP(Table2[[#This Row],[Tulu/kulu liik2]],Table5[[Tulu/kulu liik]:[Kontode koondnimetus]],4,FALSE)</f>
        <v>Antavad toetused tegevuskuludeks</v>
      </c>
      <c r="O1250" s="3" t="str">
        <f>VLOOKUP(Table2[[#This Row],[Tulu/kulu liik2]],Table5[],6,FALSE)</f>
        <v>Sotsiaalabitoetused ja muud toetused füüsilistele isikutele</v>
      </c>
      <c r="P1250" s="3" t="str">
        <f>VLOOKUP(Table2[[#This Row],[Tulu/kulu liik2]],Table5[],5,FALSE)</f>
        <v>Põhitegevuse kulu</v>
      </c>
    </row>
    <row r="1251" spans="1:16" x14ac:dyDescent="0.25">
      <c r="A1251" s="33" t="str">
        <f t="shared" si="38"/>
        <v>10</v>
      </c>
      <c r="B1251" s="33" t="s">
        <v>389</v>
      </c>
      <c r="C1251" s="34" t="str">
        <f>VLOOKUP(Table2[[#This Row],[Tegevusala]],Table4[],2,FALSE)</f>
        <v xml:space="preserve"> Ühekordsed toetused</v>
      </c>
      <c r="D1251" s="34" t="str">
        <f>VLOOKUP(Table2[[#This Row],[Tegevusala]],Table4[[Tegevusala kood]:[Tegevusala alanimetus]],4,FALSE)</f>
        <v>Muu perekondade ja laste sotsiaalne kaitse</v>
      </c>
      <c r="E1251" s="34" t="str">
        <f>VLOOKUP(Table2[[#This Row],[Tegevusala nimetus2]],Table4[[Tegevusala nimetus]:[Tegevusala koondnimetus]],2,FALSE)</f>
        <v>Sotsiaalne kaitse</v>
      </c>
      <c r="F1251" s="33" t="s">
        <v>462</v>
      </c>
      <c r="G1251" s="33" t="s">
        <v>676</v>
      </c>
      <c r="H1251" s="47">
        <v>3000</v>
      </c>
      <c r="I1251" s="35"/>
      <c r="J1251" s="33">
        <v>41309</v>
      </c>
      <c r="K1251" s="34" t="str">
        <f>VLOOKUP(Table2[[#This Row],[Konto]],Table5[[Konto]:[Konto nimetus]],2,FALSE)</f>
        <v>Muud peretoetused</v>
      </c>
      <c r="L1251" s="33">
        <v>413</v>
      </c>
      <c r="M1251" s="33" t="str">
        <f t="shared" si="39"/>
        <v>41</v>
      </c>
      <c r="N1251" s="34" t="str">
        <f>VLOOKUP(Table2[[#This Row],[Tulu/kulu liik2]],Table5[[Tulu/kulu liik]:[Kontode koondnimetus]],4,FALSE)</f>
        <v>Antavad toetused tegevuskuludeks</v>
      </c>
      <c r="O1251" s="34" t="str">
        <f>VLOOKUP(Table2[[#This Row],[Tulu/kulu liik2]],Table5[],6,FALSE)</f>
        <v>Sotsiaalabitoetused ja muud toetused füüsilistele isikutele</v>
      </c>
      <c r="P1251" s="34" t="str">
        <f>VLOOKUP(Table2[[#This Row],[Tulu/kulu liik2]],Table5[],5,FALSE)</f>
        <v>Põhitegevuse kulu</v>
      </c>
    </row>
    <row r="1252" spans="1:16" x14ac:dyDescent="0.25">
      <c r="A1252" s="33" t="str">
        <f t="shared" si="38"/>
        <v>10</v>
      </c>
      <c r="B1252" s="33" t="s">
        <v>389</v>
      </c>
      <c r="C1252" s="34" t="str">
        <f>VLOOKUP(Table2[[#This Row],[Tegevusala]],Table4[],2,FALSE)</f>
        <v xml:space="preserve"> Ühekordsed toetused</v>
      </c>
      <c r="D1252" s="34" t="str">
        <f>VLOOKUP(Table2[[#This Row],[Tegevusala]],Table4[[Tegevusala kood]:[Tegevusala alanimetus]],4,FALSE)</f>
        <v>Muu perekondade ja laste sotsiaalne kaitse</v>
      </c>
      <c r="E1252" s="34" t="str">
        <f>VLOOKUP(Table2[[#This Row],[Tegevusala nimetus2]],Table4[[Tegevusala nimetus]:[Tegevusala koondnimetus]],2,FALSE)</f>
        <v>Sotsiaalne kaitse</v>
      </c>
      <c r="F1252" s="33" t="s">
        <v>462</v>
      </c>
      <c r="G1252" s="33" t="s">
        <v>2112</v>
      </c>
      <c r="H1252" s="47">
        <v>15000</v>
      </c>
      <c r="I1252" s="35"/>
      <c r="J1252" s="33">
        <v>41309</v>
      </c>
      <c r="K1252" s="34" t="str">
        <f>VLOOKUP(Table2[[#This Row],[Konto]],Table5[[Konto]:[Konto nimetus]],2,FALSE)</f>
        <v>Muud peretoetused</v>
      </c>
      <c r="L1252" s="33">
        <v>413</v>
      </c>
      <c r="M1252" s="33" t="str">
        <f t="shared" si="39"/>
        <v>41</v>
      </c>
      <c r="N1252" s="34" t="str">
        <f>VLOOKUP(Table2[[#This Row],[Tulu/kulu liik2]],Table5[[Tulu/kulu liik]:[Kontode koondnimetus]],4,FALSE)</f>
        <v>Antavad toetused tegevuskuludeks</v>
      </c>
      <c r="O1252" s="34" t="str">
        <f>VLOOKUP(Table2[[#This Row],[Tulu/kulu liik2]],Table5[],6,FALSE)</f>
        <v>Sotsiaalabitoetused ja muud toetused füüsilistele isikutele</v>
      </c>
      <c r="P1252" s="34" t="str">
        <f>VLOOKUP(Table2[[#This Row],[Tulu/kulu liik2]],Table5[],5,FALSE)</f>
        <v>Põhitegevuse kulu</v>
      </c>
    </row>
    <row r="1253" spans="1:16" x14ac:dyDescent="0.25">
      <c r="A1253" s="33" t="str">
        <f t="shared" si="38"/>
        <v>10</v>
      </c>
      <c r="B1253" s="33" t="s">
        <v>391</v>
      </c>
      <c r="C1253" s="34" t="str">
        <f>VLOOKUP(Table2[[#This Row],[Tegevusala]],Table4[],2,FALSE)</f>
        <v xml:space="preserve"> Ravitoetused perekondadele, lastele</v>
      </c>
      <c r="D1253" s="34" t="str">
        <f>VLOOKUP(Table2[[#This Row],[Tegevusala]],Table4[[Tegevusala kood]:[Tegevusala alanimetus]],4,FALSE)</f>
        <v>Muu perekondade ja laste sotsiaalne kaitse</v>
      </c>
      <c r="E1253" s="34" t="str">
        <f>VLOOKUP(Table2[[#This Row],[Tegevusala nimetus2]],Table4[[Tegevusala nimetus]:[Tegevusala koondnimetus]],2,FALSE)</f>
        <v>Sotsiaalne kaitse</v>
      </c>
      <c r="F1253" s="33" t="s">
        <v>462</v>
      </c>
      <c r="G1253" s="33" t="s">
        <v>675</v>
      </c>
      <c r="H1253" s="47">
        <v>2500</v>
      </c>
      <c r="I1253" s="35"/>
      <c r="J1253" s="33">
        <v>41309</v>
      </c>
      <c r="K1253" s="34" t="str">
        <f>VLOOKUP(Table2[[#This Row],[Konto]],Table5[[Konto]:[Konto nimetus]],2,FALSE)</f>
        <v>Muud peretoetused</v>
      </c>
      <c r="L1253" s="33">
        <v>413</v>
      </c>
      <c r="M1253" s="33" t="str">
        <f t="shared" si="39"/>
        <v>41</v>
      </c>
      <c r="N1253" s="34" t="str">
        <f>VLOOKUP(Table2[[#This Row],[Tulu/kulu liik2]],Table5[[Tulu/kulu liik]:[Kontode koondnimetus]],4,FALSE)</f>
        <v>Antavad toetused tegevuskuludeks</v>
      </c>
      <c r="O1253" s="34" t="str">
        <f>VLOOKUP(Table2[[#This Row],[Tulu/kulu liik2]],Table5[],6,FALSE)</f>
        <v>Sotsiaalabitoetused ja muud toetused füüsilistele isikutele</v>
      </c>
      <c r="P1253" s="34" t="str">
        <f>VLOOKUP(Table2[[#This Row],[Tulu/kulu liik2]],Table5[],5,FALSE)</f>
        <v>Põhitegevuse kulu</v>
      </c>
    </row>
    <row r="1254" spans="1:16" x14ac:dyDescent="0.25">
      <c r="A1254" t="str">
        <f t="shared" si="38"/>
        <v>10</v>
      </c>
      <c r="B1254" t="s">
        <v>392</v>
      </c>
      <c r="C1254" s="3" t="str">
        <f>VLOOKUP(Table2[[#This Row],[Tegevusala]],Table4[],2,FALSE)</f>
        <v xml:space="preserve"> Sünnitoetused</v>
      </c>
      <c r="D1254" s="3" t="str">
        <f>VLOOKUP(Table2[[#This Row],[Tegevusala]],Table4[[Tegevusala kood]:[Tegevusala alanimetus]],4,FALSE)</f>
        <v>Muu perekondade ja laste sotsiaalne kaitse</v>
      </c>
      <c r="E1254" s="3" t="str">
        <f>VLOOKUP(Table2[[#This Row],[Tegevusala nimetus2]],Table4[[Tegevusala nimetus]:[Tegevusala koondnimetus]],2,FALSE)</f>
        <v>Sotsiaalne kaitse</v>
      </c>
      <c r="F1254" t="s">
        <v>462</v>
      </c>
      <c r="G1254" t="s">
        <v>667</v>
      </c>
      <c r="H1254" s="40">
        <v>40000</v>
      </c>
      <c r="J1254">
        <v>41300</v>
      </c>
      <c r="K1254" s="3" t="str">
        <f>VLOOKUP(Table2[[#This Row],[Konto]],Table5[[Konto]:[Konto nimetus]],2,FALSE)</f>
        <v>Sünnitoetus</v>
      </c>
      <c r="L1254">
        <v>413</v>
      </c>
      <c r="M1254" t="str">
        <f t="shared" si="39"/>
        <v>41</v>
      </c>
      <c r="N1254" s="3" t="str">
        <f>VLOOKUP(Table2[[#This Row],[Tulu/kulu liik2]],Table5[[Tulu/kulu liik]:[Kontode koondnimetus]],4,FALSE)</f>
        <v>Antavad toetused tegevuskuludeks</v>
      </c>
      <c r="O1254" s="3" t="str">
        <f>VLOOKUP(Table2[[#This Row],[Tulu/kulu liik2]],Table5[],6,FALSE)</f>
        <v>Sotsiaalabitoetused ja muud toetused füüsilistele isikutele</v>
      </c>
      <c r="P1254" s="3" t="str">
        <f>VLOOKUP(Table2[[#This Row],[Tulu/kulu liik2]],Table5[],5,FALSE)</f>
        <v>Põhitegevuse kulu</v>
      </c>
    </row>
    <row r="1255" spans="1:16" x14ac:dyDescent="0.25">
      <c r="A1255" t="str">
        <f t="shared" si="38"/>
        <v>10</v>
      </c>
      <c r="B1255" t="s">
        <v>392</v>
      </c>
      <c r="C1255" s="3" t="str">
        <f>VLOOKUP(Table2[[#This Row],[Tegevusala]],Table4[],2,FALSE)</f>
        <v xml:space="preserve"> Sünnitoetused</v>
      </c>
      <c r="D1255" s="3" t="str">
        <f>VLOOKUP(Table2[[#This Row],[Tegevusala]],Table4[[Tegevusala kood]:[Tegevusala alanimetus]],4,FALSE)</f>
        <v>Muu perekondade ja laste sotsiaalne kaitse</v>
      </c>
      <c r="E1255" s="3" t="str">
        <f>VLOOKUP(Table2[[#This Row],[Tegevusala nimetus2]],Table4[[Tegevusala nimetus]:[Tegevusala koondnimetus]],2,FALSE)</f>
        <v>Sotsiaalne kaitse</v>
      </c>
      <c r="F1255" t="s">
        <v>462</v>
      </c>
      <c r="G1255" t="s">
        <v>682</v>
      </c>
      <c r="H1255" s="40">
        <v>5600</v>
      </c>
      <c r="J1255">
        <v>41309</v>
      </c>
      <c r="K1255" s="3" t="str">
        <f>VLOOKUP(Table2[[#This Row],[Konto]],Table5[[Konto]:[Konto nimetus]],2,FALSE)</f>
        <v>Muud peretoetused</v>
      </c>
      <c r="L1255">
        <v>413</v>
      </c>
      <c r="M1255" t="str">
        <f t="shared" si="39"/>
        <v>41</v>
      </c>
      <c r="N1255" s="3" t="str">
        <f>VLOOKUP(Table2[[#This Row],[Tulu/kulu liik2]],Table5[[Tulu/kulu liik]:[Kontode koondnimetus]],4,FALSE)</f>
        <v>Antavad toetused tegevuskuludeks</v>
      </c>
      <c r="O1255" s="3" t="str">
        <f>VLOOKUP(Table2[[#This Row],[Tulu/kulu liik2]],Table5[],6,FALSE)</f>
        <v>Sotsiaalabitoetused ja muud toetused füüsilistele isikutele</v>
      </c>
      <c r="P1255" s="3" t="str">
        <f>VLOOKUP(Table2[[#This Row],[Tulu/kulu liik2]],Table5[],5,FALSE)</f>
        <v>Põhitegevuse kulu</v>
      </c>
    </row>
    <row r="1256" spans="1:16" x14ac:dyDescent="0.25">
      <c r="A1256" t="str">
        <f t="shared" si="38"/>
        <v>10</v>
      </c>
      <c r="B1256" t="s">
        <v>393</v>
      </c>
      <c r="C1256" s="3" t="str">
        <f>VLOOKUP(Table2[[#This Row],[Tegevusala]],Table4[],2,FALSE)</f>
        <v xml:space="preserve"> Tugiisikud (perekondade ja laste)</v>
      </c>
      <c r="D1256" s="3" t="str">
        <f>VLOOKUP(Table2[[#This Row],[Tegevusala]],Table4[[Tegevusala kood]:[Tegevusala alanimetus]],4,FALSE)</f>
        <v>Muu perekondade ja laste sotsiaalne kaitse</v>
      </c>
      <c r="E1256" s="3" t="str">
        <f>VLOOKUP(Table2[[#This Row],[Tegevusala nimetus2]],Table4[[Tegevusala nimetus]:[Tegevusala koondnimetus]],2,FALSE)</f>
        <v>Sotsiaalne kaitse</v>
      </c>
      <c r="F1256" t="s">
        <v>462</v>
      </c>
      <c r="G1256" t="s">
        <v>668</v>
      </c>
      <c r="H1256" s="40">
        <v>11200</v>
      </c>
      <c r="J1256">
        <v>41309</v>
      </c>
      <c r="K1256" s="3" t="str">
        <f>VLOOKUP(Table2[[#This Row],[Konto]],Table5[[Konto]:[Konto nimetus]],2,FALSE)</f>
        <v>Muud peretoetused</v>
      </c>
      <c r="L1256">
        <v>413</v>
      </c>
      <c r="M1256" t="str">
        <f t="shared" si="39"/>
        <v>41</v>
      </c>
      <c r="N1256" s="3" t="str">
        <f>VLOOKUP(Table2[[#This Row],[Tulu/kulu liik2]],Table5[[Tulu/kulu liik]:[Kontode koondnimetus]],4,FALSE)</f>
        <v>Antavad toetused tegevuskuludeks</v>
      </c>
      <c r="O1256" s="3" t="str">
        <f>VLOOKUP(Table2[[#This Row],[Tulu/kulu liik2]],Table5[],6,FALSE)</f>
        <v>Sotsiaalabitoetused ja muud toetused füüsilistele isikutele</v>
      </c>
      <c r="P1256" s="3" t="str">
        <f>VLOOKUP(Table2[[#This Row],[Tulu/kulu liik2]],Table5[],5,FALSE)</f>
        <v>Põhitegevuse kulu</v>
      </c>
    </row>
    <row r="1257" spans="1:16" x14ac:dyDescent="0.25">
      <c r="A1257" s="33" t="str">
        <f t="shared" si="38"/>
        <v>10</v>
      </c>
      <c r="B1257" s="33" t="s">
        <v>393</v>
      </c>
      <c r="C1257" s="34" t="str">
        <f>VLOOKUP(Table2[[#This Row],[Tegevusala]],Table4[],2,FALSE)</f>
        <v xml:space="preserve"> Tugiisikud (perekondade ja laste)</v>
      </c>
      <c r="D1257" s="34" t="str">
        <f>VLOOKUP(Table2[[#This Row],[Tegevusala]],Table4[[Tegevusala kood]:[Tegevusala alanimetus]],4,FALSE)</f>
        <v>Muu perekondade ja laste sotsiaalne kaitse</v>
      </c>
      <c r="E1257" s="34" t="str">
        <f>VLOOKUP(Table2[[#This Row],[Tegevusala nimetus2]],Table4[[Tegevusala nimetus]:[Tegevusala koondnimetus]],2,FALSE)</f>
        <v>Sotsiaalne kaitse</v>
      </c>
      <c r="F1257" s="33" t="s">
        <v>462</v>
      </c>
      <c r="G1257" s="33" t="s">
        <v>677</v>
      </c>
      <c r="H1257" s="47">
        <v>2400</v>
      </c>
      <c r="I1257" s="35" t="s">
        <v>685</v>
      </c>
      <c r="J1257" s="33">
        <v>41309</v>
      </c>
      <c r="K1257" s="34" t="str">
        <f>VLOOKUP(Table2[[#This Row],[Konto]],Table5[[Konto]:[Konto nimetus]],2,FALSE)</f>
        <v>Muud peretoetused</v>
      </c>
      <c r="L1257" s="33">
        <v>413</v>
      </c>
      <c r="M1257" s="33" t="str">
        <f t="shared" si="39"/>
        <v>41</v>
      </c>
      <c r="N1257" s="34" t="str">
        <f>VLOOKUP(Table2[[#This Row],[Tulu/kulu liik2]],Table5[[Tulu/kulu liik]:[Kontode koondnimetus]],4,FALSE)</f>
        <v>Antavad toetused tegevuskuludeks</v>
      </c>
      <c r="O1257" s="34" t="str">
        <f>VLOOKUP(Table2[[#This Row],[Tulu/kulu liik2]],Table5[],6,FALSE)</f>
        <v>Sotsiaalabitoetused ja muud toetused füüsilistele isikutele</v>
      </c>
      <c r="P1257" s="34" t="str">
        <f>VLOOKUP(Table2[[#This Row],[Tulu/kulu liik2]],Table5[],5,FALSE)</f>
        <v>Põhitegevuse kulu</v>
      </c>
    </row>
    <row r="1258" spans="1:16" x14ac:dyDescent="0.25">
      <c r="A1258" t="str">
        <f t="shared" si="38"/>
        <v>10</v>
      </c>
      <c r="B1258" t="s">
        <v>394</v>
      </c>
      <c r="C1258" s="3" t="str">
        <f>VLOOKUP(Table2[[#This Row],[Tegevusala]],Table4[],2,FALSE)</f>
        <v xml:space="preserve"> Muud toetused</v>
      </c>
      <c r="D1258" s="3" t="str">
        <f>VLOOKUP(Table2[[#This Row],[Tegevusala]],Table4[[Tegevusala kood]:[Tegevusala alanimetus]],4,FALSE)</f>
        <v>Muu perekondade ja laste sotsiaalne kaitse</v>
      </c>
      <c r="E1258" s="3" t="str">
        <f>VLOOKUP(Table2[[#This Row],[Tegevusala nimetus2]],Table4[[Tegevusala nimetus]:[Tegevusala koondnimetus]],2,FALSE)</f>
        <v>Sotsiaalne kaitse</v>
      </c>
      <c r="F1258" t="s">
        <v>462</v>
      </c>
      <c r="G1258" t="s">
        <v>665</v>
      </c>
      <c r="H1258" s="40">
        <v>1760</v>
      </c>
      <c r="I1258" s="2" t="s">
        <v>683</v>
      </c>
      <c r="J1258">
        <v>41309</v>
      </c>
      <c r="K1258" s="3" t="str">
        <f>VLOOKUP(Table2[[#This Row],[Konto]],Table5[[Konto]:[Konto nimetus]],2,FALSE)</f>
        <v>Muud peretoetused</v>
      </c>
      <c r="L1258">
        <v>413</v>
      </c>
      <c r="M1258" t="str">
        <f t="shared" si="39"/>
        <v>41</v>
      </c>
      <c r="N1258" s="3" t="str">
        <f>VLOOKUP(Table2[[#This Row],[Tulu/kulu liik2]],Table5[[Tulu/kulu liik]:[Kontode koondnimetus]],4,FALSE)</f>
        <v>Antavad toetused tegevuskuludeks</v>
      </c>
      <c r="O1258" s="3" t="str">
        <f>VLOOKUP(Table2[[#This Row],[Tulu/kulu liik2]],Table5[],6,FALSE)</f>
        <v>Sotsiaalabitoetused ja muud toetused füüsilistele isikutele</v>
      </c>
      <c r="P1258" s="3" t="str">
        <f>VLOOKUP(Table2[[#This Row],[Tulu/kulu liik2]],Table5[],5,FALSE)</f>
        <v>Põhitegevuse kulu</v>
      </c>
    </row>
    <row r="1259" spans="1:16" x14ac:dyDescent="0.25">
      <c r="A1259" s="33" t="str">
        <f t="shared" si="38"/>
        <v>10</v>
      </c>
      <c r="B1259" s="33" t="s">
        <v>394</v>
      </c>
      <c r="C1259" s="34" t="str">
        <f>VLOOKUP(Table2[[#This Row],[Tegevusala]],Table4[],2,FALSE)</f>
        <v xml:space="preserve"> Muud toetused</v>
      </c>
      <c r="D1259" s="34" t="str">
        <f>VLOOKUP(Table2[[#This Row],[Tegevusala]],Table4[[Tegevusala kood]:[Tegevusala alanimetus]],4,FALSE)</f>
        <v>Muu perekondade ja laste sotsiaalne kaitse</v>
      </c>
      <c r="E1259" s="34" t="str">
        <f>VLOOKUP(Table2[[#This Row],[Tegevusala nimetus2]],Table4[[Tegevusala nimetus]:[Tegevusala koondnimetus]],2,FALSE)</f>
        <v>Sotsiaalne kaitse</v>
      </c>
      <c r="F1259" s="33" t="s">
        <v>462</v>
      </c>
      <c r="G1259" s="33" t="s">
        <v>670</v>
      </c>
      <c r="H1259" s="47">
        <v>400</v>
      </c>
      <c r="I1259" s="35"/>
      <c r="J1259" s="33">
        <v>41309</v>
      </c>
      <c r="K1259" s="34" t="str">
        <f>VLOOKUP(Table2[[#This Row],[Konto]],Table5[[Konto]:[Konto nimetus]],2,FALSE)</f>
        <v>Muud peretoetused</v>
      </c>
      <c r="L1259" s="33">
        <v>413</v>
      </c>
      <c r="M1259" s="33" t="str">
        <f t="shared" si="39"/>
        <v>41</v>
      </c>
      <c r="N1259" s="34" t="str">
        <f>VLOOKUP(Table2[[#This Row],[Tulu/kulu liik2]],Table5[[Tulu/kulu liik]:[Kontode koondnimetus]],4,FALSE)</f>
        <v>Antavad toetused tegevuskuludeks</v>
      </c>
      <c r="O1259" s="34" t="str">
        <f>VLOOKUP(Table2[[#This Row],[Tulu/kulu liik2]],Table5[],6,FALSE)</f>
        <v>Sotsiaalabitoetused ja muud toetused füüsilistele isikutele</v>
      </c>
      <c r="P1259" s="34" t="str">
        <f>VLOOKUP(Table2[[#This Row],[Tulu/kulu liik2]],Table5[],5,FALSE)</f>
        <v>Põhitegevuse kulu</v>
      </c>
    </row>
    <row r="1260" spans="1:16" x14ac:dyDescent="0.25">
      <c r="A1260" s="33" t="str">
        <f t="shared" si="38"/>
        <v>10</v>
      </c>
      <c r="B1260" s="33" t="s">
        <v>394</v>
      </c>
      <c r="C1260" s="34" t="str">
        <f>VLOOKUP(Table2[[#This Row],[Tegevusala]],Table4[],2,FALSE)</f>
        <v xml:space="preserve"> Muud toetused</v>
      </c>
      <c r="D1260" s="34" t="str">
        <f>VLOOKUP(Table2[[#This Row],[Tegevusala]],Table4[[Tegevusala kood]:[Tegevusala alanimetus]],4,FALSE)</f>
        <v>Muu perekondade ja laste sotsiaalne kaitse</v>
      </c>
      <c r="E1260" s="34" t="str">
        <f>VLOOKUP(Table2[[#This Row],[Tegevusala nimetus2]],Table4[[Tegevusala nimetus]:[Tegevusala koondnimetus]],2,FALSE)</f>
        <v>Sotsiaalne kaitse</v>
      </c>
      <c r="F1260" s="33" t="s">
        <v>462</v>
      </c>
      <c r="G1260" s="33" t="s">
        <v>671</v>
      </c>
      <c r="H1260" s="47">
        <v>2400</v>
      </c>
      <c r="I1260" s="35" t="s">
        <v>684</v>
      </c>
      <c r="J1260" s="33">
        <v>41309</v>
      </c>
      <c r="K1260" s="34" t="str">
        <f>VLOOKUP(Table2[[#This Row],[Konto]],Table5[[Konto]:[Konto nimetus]],2,FALSE)</f>
        <v>Muud peretoetused</v>
      </c>
      <c r="L1260" s="33">
        <v>413</v>
      </c>
      <c r="M1260" s="33" t="str">
        <f t="shared" si="39"/>
        <v>41</v>
      </c>
      <c r="N1260" s="34" t="str">
        <f>VLOOKUP(Table2[[#This Row],[Tulu/kulu liik2]],Table5[[Tulu/kulu liik]:[Kontode koondnimetus]],4,FALSE)</f>
        <v>Antavad toetused tegevuskuludeks</v>
      </c>
      <c r="O1260" s="34" t="str">
        <f>VLOOKUP(Table2[[#This Row],[Tulu/kulu liik2]],Table5[],6,FALSE)</f>
        <v>Sotsiaalabitoetused ja muud toetused füüsilistele isikutele</v>
      </c>
      <c r="P1260" s="34" t="str">
        <f>VLOOKUP(Table2[[#This Row],[Tulu/kulu liik2]],Table5[],5,FALSE)</f>
        <v>Põhitegevuse kulu</v>
      </c>
    </row>
    <row r="1261" spans="1:16" x14ac:dyDescent="0.25">
      <c r="A1261" t="str">
        <f t="shared" si="38"/>
        <v>10</v>
      </c>
      <c r="B1261" t="s">
        <v>394</v>
      </c>
      <c r="C1261" s="3" t="str">
        <f>VLOOKUP(Table2[[#This Row],[Tegevusala]],Table4[],2,FALSE)</f>
        <v xml:space="preserve"> Muud toetused</v>
      </c>
      <c r="D1261" s="3" t="str">
        <f>VLOOKUP(Table2[[#This Row],[Tegevusala]],Table4[[Tegevusala kood]:[Tegevusala alanimetus]],4,FALSE)</f>
        <v>Muu perekondade ja laste sotsiaalne kaitse</v>
      </c>
      <c r="E1261" s="3" t="str">
        <f>VLOOKUP(Table2[[#This Row],[Tegevusala nimetus2]],Table4[[Tegevusala nimetus]:[Tegevusala koondnimetus]],2,FALSE)</f>
        <v>Sotsiaalne kaitse</v>
      </c>
      <c r="F1261" t="s">
        <v>462</v>
      </c>
      <c r="G1261" t="s">
        <v>680</v>
      </c>
      <c r="H1261" s="40">
        <v>2800</v>
      </c>
      <c r="J1261">
        <v>41309</v>
      </c>
      <c r="K1261" s="3" t="str">
        <f>VLOOKUP(Table2[[#This Row],[Konto]],Table5[[Konto]:[Konto nimetus]],2,FALSE)</f>
        <v>Muud peretoetused</v>
      </c>
      <c r="L1261">
        <v>413</v>
      </c>
      <c r="M1261" t="str">
        <f t="shared" si="39"/>
        <v>41</v>
      </c>
      <c r="N1261" s="3" t="str">
        <f>VLOOKUP(Table2[[#This Row],[Tulu/kulu liik2]],Table5[[Tulu/kulu liik]:[Kontode koondnimetus]],4,FALSE)</f>
        <v>Antavad toetused tegevuskuludeks</v>
      </c>
      <c r="O1261" s="3" t="str">
        <f>VLOOKUP(Table2[[#This Row],[Tulu/kulu liik2]],Table5[],6,FALSE)</f>
        <v>Sotsiaalabitoetused ja muud toetused füüsilistele isikutele</v>
      </c>
      <c r="P1261" s="3" t="str">
        <f>VLOOKUP(Table2[[#This Row],[Tulu/kulu liik2]],Table5[],5,FALSE)</f>
        <v>Põhitegevuse kulu</v>
      </c>
    </row>
    <row r="1262" spans="1:16" x14ac:dyDescent="0.25">
      <c r="A1262" t="str">
        <f t="shared" si="38"/>
        <v>10</v>
      </c>
      <c r="B1262" t="s">
        <v>394</v>
      </c>
      <c r="C1262" s="3" t="str">
        <f>VLOOKUP(Table2[[#This Row],[Tegevusala]],Table4[],2,FALSE)</f>
        <v xml:space="preserve"> Muud toetused</v>
      </c>
      <c r="D1262" s="3" t="str">
        <f>VLOOKUP(Table2[[#This Row],[Tegevusala]],Table4[[Tegevusala kood]:[Tegevusala alanimetus]],4,FALSE)</f>
        <v>Muu perekondade ja laste sotsiaalne kaitse</v>
      </c>
      <c r="E1262" s="3" t="str">
        <f>VLOOKUP(Table2[[#This Row],[Tegevusala nimetus2]],Table4[[Tegevusala nimetus]:[Tegevusala koondnimetus]],2,FALSE)</f>
        <v>Sotsiaalne kaitse</v>
      </c>
      <c r="F1262" t="s">
        <v>462</v>
      </c>
      <c r="G1262" t="s">
        <v>681</v>
      </c>
      <c r="H1262" s="40">
        <v>800</v>
      </c>
      <c r="J1262">
        <v>41309</v>
      </c>
      <c r="K1262" s="3" t="str">
        <f>VLOOKUP(Table2[[#This Row],[Konto]],Table5[[Konto]:[Konto nimetus]],2,FALSE)</f>
        <v>Muud peretoetused</v>
      </c>
      <c r="L1262">
        <v>413</v>
      </c>
      <c r="M1262" t="str">
        <f t="shared" si="39"/>
        <v>41</v>
      </c>
      <c r="N1262" s="3" t="str">
        <f>VLOOKUP(Table2[[#This Row],[Tulu/kulu liik2]],Table5[[Tulu/kulu liik]:[Kontode koondnimetus]],4,FALSE)</f>
        <v>Antavad toetused tegevuskuludeks</v>
      </c>
      <c r="O1262" s="3" t="str">
        <f>VLOOKUP(Table2[[#This Row],[Tulu/kulu liik2]],Table5[],6,FALSE)</f>
        <v>Sotsiaalabitoetused ja muud toetused füüsilistele isikutele</v>
      </c>
      <c r="P1262" s="3" t="str">
        <f>VLOOKUP(Table2[[#This Row],[Tulu/kulu liik2]],Table5[],5,FALSE)</f>
        <v>Põhitegevuse kulu</v>
      </c>
    </row>
    <row r="1263" spans="1:16" x14ac:dyDescent="0.25">
      <c r="A1263" s="33" t="str">
        <f t="shared" si="38"/>
        <v>10</v>
      </c>
      <c r="B1263" s="38" t="s">
        <v>394</v>
      </c>
      <c r="C1263" s="34" t="str">
        <f>VLOOKUP(Table2[[#This Row],[Tegevusala]],Table4[],2,FALSE)</f>
        <v xml:space="preserve"> Muud toetused</v>
      </c>
      <c r="D1263" s="34" t="str">
        <f>VLOOKUP(Table2[[#This Row],[Tegevusala]],Table4[[Tegevusala kood]:[Tegevusala alanimetus]],4,FALSE)</f>
        <v>Muu perekondade ja laste sotsiaalne kaitse</v>
      </c>
      <c r="E1263" s="34" t="str">
        <f>VLOOKUP(Table2[[#This Row],[Tegevusala nimetus2]],Table4[[Tegevusala nimetus]:[Tegevusala koondnimetus]],2,FALSE)</f>
        <v>Sotsiaalne kaitse</v>
      </c>
      <c r="F1263" s="33" t="s">
        <v>462</v>
      </c>
      <c r="G1263" s="33" t="s">
        <v>690</v>
      </c>
      <c r="H1263" s="47">
        <v>600</v>
      </c>
      <c r="I1263" s="35"/>
      <c r="J1263" s="33">
        <v>5526</v>
      </c>
      <c r="K1263" s="34" t="str">
        <f>VLOOKUP(Table2[[#This Row],[Konto]],Table5[[Konto]:[Konto nimetus]],2,FALSE)</f>
        <v>Sotsiaalteenused</v>
      </c>
      <c r="L1263" s="33">
        <v>55</v>
      </c>
      <c r="M1263" s="33" t="str">
        <f t="shared" si="39"/>
        <v>55</v>
      </c>
      <c r="N1263" s="34" t="str">
        <f>VLOOKUP(Table2[[#This Row],[Tulu/kulu liik2]],Table5[[Tulu/kulu liik]:[Kontode koondnimetus]],4,FALSE)</f>
        <v>Muud tegevuskulud</v>
      </c>
      <c r="O1263" s="34" t="str">
        <f>VLOOKUP(Table2[[#This Row],[Tulu/kulu liik2]],Table5[],6,FALSE)</f>
        <v>Majandamiskulud</v>
      </c>
      <c r="P1263" s="34" t="str">
        <f>VLOOKUP(Table2[[#This Row],[Tulu/kulu liik2]],Table5[],5,FALSE)</f>
        <v>Põhitegevuse kulu</v>
      </c>
    </row>
    <row r="1264" spans="1:16" x14ac:dyDescent="0.25">
      <c r="A1264" s="33" t="str">
        <f t="shared" si="38"/>
        <v>10</v>
      </c>
      <c r="B1264" s="38" t="s">
        <v>394</v>
      </c>
      <c r="C1264" s="34" t="str">
        <f>VLOOKUP(Table2[[#This Row],[Tegevusala]],Table4[],2,FALSE)</f>
        <v xml:space="preserve"> Muud toetused</v>
      </c>
      <c r="D1264" s="34" t="str">
        <f>VLOOKUP(Table2[[#This Row],[Tegevusala]],Table4[[Tegevusala kood]:[Tegevusala alanimetus]],4,FALSE)</f>
        <v>Muu perekondade ja laste sotsiaalne kaitse</v>
      </c>
      <c r="E1264" s="34" t="str">
        <f>VLOOKUP(Table2[[#This Row],[Tegevusala nimetus2]],Table4[[Tegevusala nimetus]:[Tegevusala koondnimetus]],2,FALSE)</f>
        <v>Sotsiaalne kaitse</v>
      </c>
      <c r="F1264" s="33" t="s">
        <v>462</v>
      </c>
      <c r="G1264" s="33" t="s">
        <v>1669</v>
      </c>
      <c r="H1264" s="47">
        <v>8000</v>
      </c>
      <c r="I1264" s="35"/>
      <c r="J1264" s="33">
        <v>5525</v>
      </c>
      <c r="K1264" s="34" t="str">
        <f>VLOOKUP(Table2[[#This Row],[Konto]],Table5[[Konto]:[Konto nimetus]],2,FALSE)</f>
        <v>Kommunikatsiooni-, kultuuri- ja vaba aja sisustamise kulud</v>
      </c>
      <c r="L1264" s="33">
        <v>55</v>
      </c>
      <c r="M1264" s="33" t="str">
        <f t="shared" si="39"/>
        <v>55</v>
      </c>
      <c r="N1264" s="34" t="str">
        <f>VLOOKUP(Table2[[#This Row],[Tulu/kulu liik2]],Table5[[Tulu/kulu liik]:[Kontode koondnimetus]],4,FALSE)</f>
        <v>Muud tegevuskulud</v>
      </c>
      <c r="O1264" s="34" t="str">
        <f>VLOOKUP(Table2[[#This Row],[Tulu/kulu liik2]],Table5[],6,FALSE)</f>
        <v>Majandamiskulud</v>
      </c>
      <c r="P1264" s="34" t="str">
        <f>VLOOKUP(Table2[[#This Row],[Tulu/kulu liik2]],Table5[],5,FALSE)</f>
        <v>Põhitegevuse kulu</v>
      </c>
    </row>
    <row r="1265" spans="1:16" x14ac:dyDescent="0.25">
      <c r="A1265" s="33" t="str">
        <f t="shared" si="38"/>
        <v>10</v>
      </c>
      <c r="B1265" s="33" t="s">
        <v>394</v>
      </c>
      <c r="C1265" s="34" t="str">
        <f>VLOOKUP(Table2[[#This Row],[Tegevusala]],Table4[],2,FALSE)</f>
        <v xml:space="preserve"> Muud toetused</v>
      </c>
      <c r="D1265" s="34" t="str">
        <f>VLOOKUP(Table2[[#This Row],[Tegevusala]],Table4[[Tegevusala kood]:[Tegevusala alanimetus]],4,FALSE)</f>
        <v>Muu perekondade ja laste sotsiaalne kaitse</v>
      </c>
      <c r="E1265" s="34" t="str">
        <f>VLOOKUP(Table2[[#This Row],[Tegevusala nimetus2]],Table4[[Tegevusala nimetus]:[Tegevusala koondnimetus]],2,FALSE)</f>
        <v>Sotsiaalne kaitse</v>
      </c>
      <c r="F1265" s="33" t="s">
        <v>462</v>
      </c>
      <c r="G1265" s="33" t="s">
        <v>2036</v>
      </c>
      <c r="H1265" s="47">
        <v>600</v>
      </c>
      <c r="I1265" s="35"/>
      <c r="J1265" s="33">
        <v>4500</v>
      </c>
      <c r="K1265" s="34" t="str">
        <f>VLOOKUP(Table2[[#This Row],[Konto]],Table5[[Konto]:[Konto nimetus]],2,FALSE)</f>
        <v>Sihtotstarbelised eraldised jooksvateks kuludeks</v>
      </c>
      <c r="L1265" s="33">
        <v>4500</v>
      </c>
      <c r="M1265" s="33" t="str">
        <f t="shared" si="39"/>
        <v>45</v>
      </c>
      <c r="N1265" s="34" t="str">
        <f>VLOOKUP(Table2[[#This Row],[Tulu/kulu liik2]],Table5[[Tulu/kulu liik]:[Kontode koondnimetus]],4,FALSE)</f>
        <v>Antavad toetused tegevuskuludeks</v>
      </c>
      <c r="O1265" s="34" t="str">
        <f>VLOOKUP(Table2[[#This Row],[Tulu/kulu liik2]],Table5[],6,FALSE)</f>
        <v>Sihtotstarbelised toetused tegevuskuludeks</v>
      </c>
      <c r="P1265" s="34" t="str">
        <f>VLOOKUP(Table2[[#This Row],[Tulu/kulu liik2]],Table5[],5,FALSE)</f>
        <v>Põhitegevuse kulu</v>
      </c>
    </row>
    <row r="1266" spans="1:16" x14ac:dyDescent="0.25">
      <c r="A1266" t="str">
        <f t="shared" si="38"/>
        <v>10</v>
      </c>
      <c r="B1266" t="s">
        <v>394</v>
      </c>
      <c r="C1266" s="3" t="str">
        <f>VLOOKUP(Table2[[#This Row],[Tegevusala]],Table4[],2,FALSE)</f>
        <v xml:space="preserve"> Muud toetused</v>
      </c>
      <c r="D1266" s="3" t="str">
        <f>VLOOKUP(Table2[[#This Row],[Tegevusala]],Table4[[Tegevusala kood]:[Tegevusala alanimetus]],4,FALSE)</f>
        <v>Muu perekondade ja laste sotsiaalne kaitse</v>
      </c>
      <c r="E1266" s="3" t="str">
        <f>VLOOKUP(Table2[[#This Row],[Tegevusala nimetus2]],Table4[[Tegevusala nimetus]:[Tegevusala koondnimetus]],2,FALSE)</f>
        <v>Sotsiaalne kaitse</v>
      </c>
      <c r="F1266" s="33" t="s">
        <v>462</v>
      </c>
      <c r="G1266" t="s">
        <v>2160</v>
      </c>
      <c r="H1266" s="40">
        <v>3000</v>
      </c>
      <c r="J1266">
        <v>41309</v>
      </c>
      <c r="K1266" s="3" t="str">
        <f>VLOOKUP(Table2[[#This Row],[Konto]],Table5[[Konto]:[Konto nimetus]],2,FALSE)</f>
        <v>Muud peretoetused</v>
      </c>
      <c r="L1266">
        <v>413</v>
      </c>
      <c r="M1266" t="str">
        <f t="shared" si="39"/>
        <v>41</v>
      </c>
      <c r="N1266" s="3" t="str">
        <f>VLOOKUP(Table2[[#This Row],[Tulu/kulu liik2]],Table5[[Tulu/kulu liik]:[Kontode koondnimetus]],4,FALSE)</f>
        <v>Antavad toetused tegevuskuludeks</v>
      </c>
      <c r="O1266" s="34" t="str">
        <f>VLOOKUP(Table2[[#This Row],[Tulu/kulu liik2]],Table5[],6,FALSE)</f>
        <v>Sotsiaalabitoetused ja muud toetused füüsilistele isikutele</v>
      </c>
      <c r="P1266" s="3" t="str">
        <f>VLOOKUP(Table2[[#This Row],[Tulu/kulu liik2]],Table5[],5,FALSE)</f>
        <v>Põhitegevuse kulu</v>
      </c>
    </row>
    <row r="1267" spans="1:16" x14ac:dyDescent="0.25">
      <c r="A1267" t="str">
        <f t="shared" si="38"/>
        <v>10</v>
      </c>
      <c r="B1267" t="s">
        <v>57</v>
      </c>
      <c r="C1267" s="3" t="str">
        <f>VLOOKUP(Table2[[#This Row],[Tegevusala]],Table4[],2,FALSE)</f>
        <v xml:space="preserve"> Töötute sotsiaalne kaitse</v>
      </c>
      <c r="D1267" s="3" t="str">
        <f>VLOOKUP(Table2[[#This Row],[Tegevusala]],Table4[[Tegevusala kood]:[Tegevusala alanimetus]],4,FALSE)</f>
        <v>Töötute sotsiaalne kaitse</v>
      </c>
      <c r="E1267" s="3" t="str">
        <f>VLOOKUP(Table2[[#This Row],[Tegevusala nimetus2]],Table4[[Tegevusala nimetus]:[Tegevusala koondnimetus]],2,FALSE)</f>
        <v>Sotsiaalne kaitse</v>
      </c>
      <c r="F1267" t="s">
        <v>462</v>
      </c>
      <c r="G1267" t="s">
        <v>661</v>
      </c>
      <c r="H1267" s="40">
        <v>3000</v>
      </c>
      <c r="J1267">
        <v>41329</v>
      </c>
      <c r="K1267" s="3" t="str">
        <f>VLOOKUP(Table2[[#This Row],[Konto]],Table5[[Konto]:[Konto nimetus]],2,FALSE)</f>
        <v>Muud toetused töötutele</v>
      </c>
      <c r="L1267">
        <v>413</v>
      </c>
      <c r="M1267" t="str">
        <f t="shared" si="39"/>
        <v>41</v>
      </c>
      <c r="N1267" s="3" t="str">
        <f>VLOOKUP(Table2[[#This Row],[Tulu/kulu liik2]],Table5[[Tulu/kulu liik]:[Kontode koondnimetus]],4,FALSE)</f>
        <v>Antavad toetused tegevuskuludeks</v>
      </c>
      <c r="O1267" s="3" t="str">
        <f>VLOOKUP(Table2[[#This Row],[Tulu/kulu liik2]],Table5[],6,FALSE)</f>
        <v>Sotsiaalabitoetused ja muud toetused füüsilistele isikutele</v>
      </c>
      <c r="P1267" s="3" t="str">
        <f>VLOOKUP(Table2[[#This Row],[Tulu/kulu liik2]],Table5[],5,FALSE)</f>
        <v>Põhitegevuse kulu</v>
      </c>
    </row>
    <row r="1268" spans="1:16" x14ac:dyDescent="0.25">
      <c r="A1268" s="33" t="str">
        <f t="shared" si="38"/>
        <v>10</v>
      </c>
      <c r="B1268" s="33" t="s">
        <v>57</v>
      </c>
      <c r="C1268" s="34" t="str">
        <f>VLOOKUP(Table2[[#This Row],[Tegevusala]],Table4[],2,FALSE)</f>
        <v xml:space="preserve"> Töötute sotsiaalne kaitse</v>
      </c>
      <c r="D1268" s="34" t="str">
        <f>VLOOKUP(Table2[[#This Row],[Tegevusala]],Table4[[Tegevusala kood]:[Tegevusala alanimetus]],4,FALSE)</f>
        <v>Töötute sotsiaalne kaitse</v>
      </c>
      <c r="E1268" s="34" t="str">
        <f>VLOOKUP(Table2[[#This Row],[Tegevusala nimetus2]],Table4[[Tegevusala nimetus]:[Tegevusala koondnimetus]],2,FALSE)</f>
        <v>Sotsiaalne kaitse</v>
      </c>
      <c r="F1268" s="33" t="s">
        <v>462</v>
      </c>
      <c r="G1268" s="33" t="s">
        <v>662</v>
      </c>
      <c r="H1268" s="47">
        <v>1200</v>
      </c>
      <c r="I1268" s="35"/>
      <c r="J1268" s="33">
        <v>41329</v>
      </c>
      <c r="K1268" s="34" t="str">
        <f>VLOOKUP(Table2[[#This Row],[Konto]],Table5[[Konto]:[Konto nimetus]],2,FALSE)</f>
        <v>Muud toetused töötutele</v>
      </c>
      <c r="L1268" s="33">
        <v>413</v>
      </c>
      <c r="M1268" s="33" t="str">
        <f t="shared" si="39"/>
        <v>41</v>
      </c>
      <c r="N1268" s="34" t="str">
        <f>VLOOKUP(Table2[[#This Row],[Tulu/kulu liik2]],Table5[[Tulu/kulu liik]:[Kontode koondnimetus]],4,FALSE)</f>
        <v>Antavad toetused tegevuskuludeks</v>
      </c>
      <c r="O1268" s="34" t="str">
        <f>VLOOKUP(Table2[[#This Row],[Tulu/kulu liik2]],Table5[],6,FALSE)</f>
        <v>Sotsiaalabitoetused ja muud toetused füüsilistele isikutele</v>
      </c>
      <c r="P1268" s="34" t="str">
        <f>VLOOKUP(Table2[[#This Row],[Tulu/kulu liik2]],Table5[],5,FALSE)</f>
        <v>Põhitegevuse kulu</v>
      </c>
    </row>
    <row r="1269" spans="1:16" x14ac:dyDescent="0.25">
      <c r="A1269" t="str">
        <f t="shared" si="38"/>
        <v>10</v>
      </c>
      <c r="B1269" t="s">
        <v>57</v>
      </c>
      <c r="C1269" s="3" t="str">
        <f>VLOOKUP(Table2[[#This Row],[Tegevusala]],Table4[],2,FALSE)</f>
        <v xml:space="preserve"> Töötute sotsiaalne kaitse</v>
      </c>
      <c r="D1269" s="3" t="str">
        <f>VLOOKUP(Table2[[#This Row],[Tegevusala]],Table4[[Tegevusala kood]:[Tegevusala alanimetus]],4,FALSE)</f>
        <v>Töötute sotsiaalne kaitse</v>
      </c>
      <c r="E1269" s="3" t="str">
        <f>VLOOKUP(Table2[[#This Row],[Tegevusala nimetus2]],Table4[[Tegevusala nimetus]:[Tegevusala koondnimetus]],2,FALSE)</f>
        <v>Sotsiaalne kaitse</v>
      </c>
      <c r="F1269" t="s">
        <v>462</v>
      </c>
      <c r="G1269" t="s">
        <v>663</v>
      </c>
      <c r="H1269" s="40">
        <v>1200</v>
      </c>
      <c r="J1269">
        <v>41329</v>
      </c>
      <c r="K1269" s="3" t="str">
        <f>VLOOKUP(Table2[[#This Row],[Konto]],Table5[[Konto]:[Konto nimetus]],2,FALSE)</f>
        <v>Muud toetused töötutele</v>
      </c>
      <c r="L1269">
        <v>413</v>
      </c>
      <c r="M1269" t="str">
        <f t="shared" si="39"/>
        <v>41</v>
      </c>
      <c r="N1269" s="3" t="str">
        <f>VLOOKUP(Table2[[#This Row],[Tulu/kulu liik2]],Table5[[Tulu/kulu liik]:[Kontode koondnimetus]],4,FALSE)</f>
        <v>Antavad toetused tegevuskuludeks</v>
      </c>
      <c r="O1269" s="3" t="str">
        <f>VLOOKUP(Table2[[#This Row],[Tulu/kulu liik2]],Table5[],6,FALSE)</f>
        <v>Sotsiaalabitoetused ja muud toetused füüsilistele isikutele</v>
      </c>
      <c r="P1269" s="3" t="str">
        <f>VLOOKUP(Table2[[#This Row],[Tulu/kulu liik2]],Table5[],5,FALSE)</f>
        <v>Põhitegevuse kulu</v>
      </c>
    </row>
    <row r="1270" spans="1:16" x14ac:dyDescent="0.25">
      <c r="A1270" t="str">
        <f t="shared" si="38"/>
        <v>10</v>
      </c>
      <c r="B1270" t="s">
        <v>59</v>
      </c>
      <c r="C1270" s="3" t="str">
        <f>VLOOKUP(Table2[[#This Row],[Tegevusala]],Table4[],2,FALSE)</f>
        <v xml:space="preserve"> Eluasemeteenused sotsiaalsetele riskirühmadele</v>
      </c>
      <c r="D1270" s="3" t="str">
        <f>VLOOKUP(Table2[[#This Row],[Tegevusala]],Table4[[Tegevusala kood]:[Tegevusala alanimetus]],4,FALSE)</f>
        <v>Eluasemeteenused sotsiaalsetele riskirühmadele</v>
      </c>
      <c r="E1270" s="3" t="str">
        <f>VLOOKUP(Table2[[#This Row],[Tegevusala nimetus2]],Table4[[Tegevusala nimetus]:[Tegevusala koondnimetus]],2,FALSE)</f>
        <v>Sotsiaalne kaitse</v>
      </c>
      <c r="F1270" t="s">
        <v>462</v>
      </c>
      <c r="G1270" t="s">
        <v>659</v>
      </c>
      <c r="H1270" s="40">
        <v>16000</v>
      </c>
      <c r="J1270">
        <v>413899</v>
      </c>
      <c r="K1270" s="3" t="str">
        <f>VLOOKUP(Table2[[#This Row],[Konto]],Table5[[Konto]:[Konto nimetus]],2,FALSE)</f>
        <v>Muud sotsiaalabitoetused ja hüvitised</v>
      </c>
      <c r="L1270">
        <v>413</v>
      </c>
      <c r="M1270" t="str">
        <f t="shared" si="39"/>
        <v>41</v>
      </c>
      <c r="N1270" s="3" t="str">
        <f>VLOOKUP(Table2[[#This Row],[Tulu/kulu liik2]],Table5[[Tulu/kulu liik]:[Kontode koondnimetus]],4,FALSE)</f>
        <v>Antavad toetused tegevuskuludeks</v>
      </c>
      <c r="O1270" s="3" t="str">
        <f>VLOOKUP(Table2[[#This Row],[Tulu/kulu liik2]],Table5[],6,FALSE)</f>
        <v>Sotsiaalabitoetused ja muud toetused füüsilistele isikutele</v>
      </c>
      <c r="P1270" s="3" t="str">
        <f>VLOOKUP(Table2[[#This Row],[Tulu/kulu liik2]],Table5[],5,FALSE)</f>
        <v>Põhitegevuse kulu</v>
      </c>
    </row>
    <row r="1271" spans="1:16" x14ac:dyDescent="0.25">
      <c r="A1271" t="str">
        <f t="shared" si="38"/>
        <v>10</v>
      </c>
      <c r="B1271" t="s">
        <v>59</v>
      </c>
      <c r="C1271" s="3" t="str">
        <f>VLOOKUP(Table2[[#This Row],[Tegevusala]],Table4[],2,FALSE)</f>
        <v xml:space="preserve"> Eluasemeteenused sotsiaalsetele riskirühmadele</v>
      </c>
      <c r="D1271" s="3" t="str">
        <f>VLOOKUP(Table2[[#This Row],[Tegevusala]],Table4[[Tegevusala kood]:[Tegevusala alanimetus]],4,FALSE)</f>
        <v>Eluasemeteenused sotsiaalsetele riskirühmadele</v>
      </c>
      <c r="E1271" s="3" t="str">
        <f>VLOOKUP(Table2[[#This Row],[Tegevusala nimetus2]],Table4[[Tegevusala nimetus]:[Tegevusala koondnimetus]],2,FALSE)</f>
        <v>Sotsiaalne kaitse</v>
      </c>
      <c r="F1271" t="s">
        <v>462</v>
      </c>
      <c r="G1271" t="s">
        <v>660</v>
      </c>
      <c r="H1271" s="40">
        <v>30000</v>
      </c>
      <c r="J1271">
        <v>5511</v>
      </c>
      <c r="K1271" s="3" t="str">
        <f>VLOOKUP(Table2[[#This Row],[Konto]],Table5[[Konto]:[Konto nimetus]],2,FALSE)</f>
        <v>Kinnistute, hoonete ja ruumide majandamiskulud</v>
      </c>
      <c r="L1271">
        <v>55</v>
      </c>
      <c r="M1271" t="str">
        <f t="shared" si="39"/>
        <v>55</v>
      </c>
      <c r="N1271" s="3" t="str">
        <f>VLOOKUP(Table2[[#This Row],[Tulu/kulu liik2]],Table5[[Tulu/kulu liik]:[Kontode koondnimetus]],4,FALSE)</f>
        <v>Muud tegevuskulud</v>
      </c>
      <c r="O1271" s="3" t="str">
        <f>VLOOKUP(Table2[[#This Row],[Tulu/kulu liik2]],Table5[],6,FALSE)</f>
        <v>Majandamiskulud</v>
      </c>
      <c r="P1271" s="3" t="str">
        <f>VLOOKUP(Table2[[#This Row],[Tulu/kulu liik2]],Table5[],5,FALSE)</f>
        <v>Põhitegevuse kulu</v>
      </c>
    </row>
    <row r="1272" spans="1:16" x14ac:dyDescent="0.25">
      <c r="A1272" s="8" t="str">
        <f t="shared" si="38"/>
        <v>10</v>
      </c>
      <c r="B1272" s="8" t="s">
        <v>61</v>
      </c>
      <c r="C1272" s="32" t="str">
        <f>VLOOKUP(Table2[[#This Row],[Tegevusala]],Table4[],2,FALSE)</f>
        <v xml:space="preserve"> Riiklik toimetulekutoetus</v>
      </c>
      <c r="D1272" s="32" t="str">
        <f>VLOOKUP(Table2[[#This Row],[Tegevusala]],Table4[[Tegevusala kood]:[Tegevusala alanimetus]],4,FALSE)</f>
        <v>Riiklik toimetulekutoetus</v>
      </c>
      <c r="E1272" s="32" t="str">
        <f>VLOOKUP(Table2[[#This Row],[Tegevusala nimetus2]],Table4[[Tegevusala nimetus]:[Tegevusala koondnimetus]],2,FALSE)</f>
        <v>Sotsiaalne kaitse</v>
      </c>
      <c r="F1272" s="8" t="s">
        <v>462</v>
      </c>
      <c r="G1272" s="8" t="s">
        <v>657</v>
      </c>
      <c r="H1272" s="43">
        <v>67609</v>
      </c>
      <c r="I1272" s="9" t="s">
        <v>82</v>
      </c>
      <c r="J1272" s="8">
        <v>4131</v>
      </c>
      <c r="K1272" s="32" t="str">
        <f>VLOOKUP(Table2[[#This Row],[Konto]],Table5[[Konto]:[Konto nimetus]],2,FALSE)</f>
        <v>Toimetulekutoetus ja täiendavad sotsiaaltoetused</v>
      </c>
      <c r="L1272" s="8">
        <v>413</v>
      </c>
      <c r="M1272" s="8" t="str">
        <f t="shared" si="39"/>
        <v>41</v>
      </c>
      <c r="N1272" s="32" t="str">
        <f>VLOOKUP(Table2[[#This Row],[Tulu/kulu liik2]],Table5[[Tulu/kulu liik]:[Kontode koondnimetus]],4,FALSE)</f>
        <v>Antavad toetused tegevuskuludeks</v>
      </c>
      <c r="O1272" s="32" t="str">
        <f>VLOOKUP(Table2[[#This Row],[Tulu/kulu liik2]],Table5[],6,FALSE)</f>
        <v>Sotsiaalabitoetused ja muud toetused füüsilistele isikutele</v>
      </c>
      <c r="P1272" s="32" t="str">
        <f>VLOOKUP(Table2[[#This Row],[Tulu/kulu liik2]],Table5[],5,FALSE)</f>
        <v>Põhitegevuse kulu</v>
      </c>
    </row>
    <row r="1273" spans="1:16" hidden="1" x14ac:dyDescent="0.25">
      <c r="A1273" s="8" t="str">
        <f t="shared" si="38"/>
        <v>10</v>
      </c>
      <c r="B1273" s="8" t="s">
        <v>61</v>
      </c>
      <c r="C1273" s="32" t="str">
        <f>VLOOKUP(Table2[[#This Row],[Tegevusala]],Table4[],2,FALSE)</f>
        <v xml:space="preserve"> Riiklik toimetulekutoetus</v>
      </c>
      <c r="D1273" s="32" t="str">
        <f>VLOOKUP(Table2[[#This Row],[Tegevusala]],Table4[[Tegevusala kood]:[Tegevusala alanimetus]],4,FALSE)</f>
        <v>Riiklik toimetulekutoetus</v>
      </c>
      <c r="E1273" s="32" t="str">
        <f>VLOOKUP(Table2[[#This Row],[Tegevusala nimetus2]],Table4[[Tegevusala nimetus]:[Tegevusala koondnimetus]],2,FALSE)</f>
        <v>Sotsiaalne kaitse</v>
      </c>
      <c r="F1273" s="8" t="s">
        <v>462</v>
      </c>
      <c r="G1273" s="8" t="s">
        <v>82</v>
      </c>
      <c r="H1273" s="43">
        <v>-67609</v>
      </c>
      <c r="I1273" s="9" t="s">
        <v>658</v>
      </c>
      <c r="J1273" s="8">
        <v>35201</v>
      </c>
      <c r="K1273" s="32" t="str">
        <f>VLOOKUP(Table2[[#This Row],[Konto]],Table5[[Konto]:[Konto nimetus]],2,FALSE)</f>
        <v>Toetusfond</v>
      </c>
      <c r="L1273" s="8">
        <v>35201</v>
      </c>
      <c r="M1273" s="8" t="str">
        <f t="shared" si="39"/>
        <v>35</v>
      </c>
      <c r="N1273" s="32" t="str">
        <f>VLOOKUP(Table2[[#This Row],[Tulu/kulu liik2]],Table5[[Tulu/kulu liik]:[Kontode koondnimetus]],4,FALSE)</f>
        <v>Saadavad toetused tegevuskuludeks</v>
      </c>
      <c r="O1273" s="32" t="str">
        <f>VLOOKUP(Table2[[#This Row],[Tulu/kulu liik2]],Table5[],6,FALSE)</f>
        <v>Toetusfond</v>
      </c>
      <c r="P1273" s="32" t="str">
        <f>VLOOKUP(Table2[[#This Row],[Tulu/kulu liik2]],Table5[],5,FALSE)</f>
        <v>Põhitegevuse tulu</v>
      </c>
    </row>
    <row r="1274" spans="1:16" x14ac:dyDescent="0.25">
      <c r="A1274" t="str">
        <f t="shared" si="38"/>
        <v>10</v>
      </c>
      <c r="B1274" t="s">
        <v>63</v>
      </c>
      <c r="C1274" s="3" t="str">
        <f>VLOOKUP(Table2[[#This Row],[Tegevusala]],Table4[],2,FALSE)</f>
        <v xml:space="preserve"> Muu sotsiaalsete riskirühmade kaitse</v>
      </c>
      <c r="D1274" s="3" t="str">
        <f>VLOOKUP(Table2[[#This Row],[Tegevusala]],Table4[[Tegevusala kood]:[Tegevusala alanimetus]],4,FALSE)</f>
        <v>Muu sotsiaalsete riskirühmade kaitse</v>
      </c>
      <c r="E1274" s="3" t="str">
        <f>VLOOKUP(Table2[[#This Row],[Tegevusala nimetus2]],Table4[[Tegevusala nimetus]:[Tegevusala koondnimetus]],2,FALSE)</f>
        <v>Sotsiaalne kaitse</v>
      </c>
      <c r="F1274" t="s">
        <v>462</v>
      </c>
      <c r="G1274" t="s">
        <v>653</v>
      </c>
      <c r="H1274" s="40">
        <v>2000</v>
      </c>
      <c r="J1274">
        <v>413899</v>
      </c>
      <c r="K1274" s="3" t="str">
        <f>VLOOKUP(Table2[[#This Row],[Konto]],Table5[[Konto]:[Konto nimetus]],2,FALSE)</f>
        <v>Muud sotsiaalabitoetused ja hüvitised</v>
      </c>
      <c r="L1274">
        <v>413</v>
      </c>
      <c r="M1274" t="str">
        <f t="shared" si="39"/>
        <v>41</v>
      </c>
      <c r="N1274" s="3" t="str">
        <f>VLOOKUP(Table2[[#This Row],[Tulu/kulu liik2]],Table5[[Tulu/kulu liik]:[Kontode koondnimetus]],4,FALSE)</f>
        <v>Antavad toetused tegevuskuludeks</v>
      </c>
      <c r="O1274" s="3" t="str">
        <f>VLOOKUP(Table2[[#This Row],[Tulu/kulu liik2]],Table5[],6,FALSE)</f>
        <v>Sotsiaalabitoetused ja muud toetused füüsilistele isikutele</v>
      </c>
      <c r="P1274" s="3" t="str">
        <f>VLOOKUP(Table2[[#This Row],[Tulu/kulu liik2]],Table5[],5,FALSE)</f>
        <v>Põhitegevuse kulu</v>
      </c>
    </row>
    <row r="1275" spans="1:16" x14ac:dyDescent="0.25">
      <c r="A1275" t="str">
        <f t="shared" si="38"/>
        <v>10</v>
      </c>
      <c r="B1275" t="s">
        <v>63</v>
      </c>
      <c r="C1275" s="3" t="str">
        <f>VLOOKUP(Table2[[#This Row],[Tegevusala]],Table4[],2,FALSE)</f>
        <v xml:space="preserve"> Muu sotsiaalsete riskirühmade kaitse</v>
      </c>
      <c r="D1275" s="3" t="str">
        <f>VLOOKUP(Table2[[#This Row],[Tegevusala]],Table4[[Tegevusala kood]:[Tegevusala alanimetus]],4,FALSE)</f>
        <v>Muu sotsiaalsete riskirühmade kaitse</v>
      </c>
      <c r="E1275" s="3" t="str">
        <f>VLOOKUP(Table2[[#This Row],[Tegevusala nimetus2]],Table4[[Tegevusala nimetus]:[Tegevusala koondnimetus]],2,FALSE)</f>
        <v>Sotsiaalne kaitse</v>
      </c>
      <c r="F1275" t="s">
        <v>462</v>
      </c>
      <c r="G1275" t="s">
        <v>654</v>
      </c>
      <c r="H1275" s="40">
        <v>20000</v>
      </c>
      <c r="J1275">
        <v>413899</v>
      </c>
      <c r="K1275" s="3" t="str">
        <f>VLOOKUP(Table2[[#This Row],[Konto]],Table5[[Konto]:[Konto nimetus]],2,FALSE)</f>
        <v>Muud sotsiaalabitoetused ja hüvitised</v>
      </c>
      <c r="L1275">
        <v>413</v>
      </c>
      <c r="M1275" t="str">
        <f t="shared" si="39"/>
        <v>41</v>
      </c>
      <c r="N1275" s="3" t="str">
        <f>VLOOKUP(Table2[[#This Row],[Tulu/kulu liik2]],Table5[[Tulu/kulu liik]:[Kontode koondnimetus]],4,FALSE)</f>
        <v>Antavad toetused tegevuskuludeks</v>
      </c>
      <c r="O1275" s="3" t="str">
        <f>VLOOKUP(Table2[[#This Row],[Tulu/kulu liik2]],Table5[],6,FALSE)</f>
        <v>Sotsiaalabitoetused ja muud toetused füüsilistele isikutele</v>
      </c>
      <c r="P1275" s="3" t="str">
        <f>VLOOKUP(Table2[[#This Row],[Tulu/kulu liik2]],Table5[],5,FALSE)</f>
        <v>Põhitegevuse kulu</v>
      </c>
    </row>
    <row r="1276" spans="1:16" x14ac:dyDescent="0.25">
      <c r="A1276" t="str">
        <f t="shared" si="38"/>
        <v>10</v>
      </c>
      <c r="B1276" t="s">
        <v>63</v>
      </c>
      <c r="C1276" s="3" t="str">
        <f>VLOOKUP(Table2[[#This Row],[Tegevusala]],Table4[],2,FALSE)</f>
        <v xml:space="preserve"> Muu sotsiaalsete riskirühmade kaitse</v>
      </c>
      <c r="D1276" s="3" t="str">
        <f>VLOOKUP(Table2[[#This Row],[Tegevusala]],Table4[[Tegevusala kood]:[Tegevusala alanimetus]],4,FALSE)</f>
        <v>Muu sotsiaalsete riskirühmade kaitse</v>
      </c>
      <c r="E1276" s="3" t="str">
        <f>VLOOKUP(Table2[[#This Row],[Tegevusala nimetus2]],Table4[[Tegevusala nimetus]:[Tegevusala koondnimetus]],2,FALSE)</f>
        <v>Sotsiaalne kaitse</v>
      </c>
      <c r="F1276" t="s">
        <v>462</v>
      </c>
      <c r="G1276" t="s">
        <v>655</v>
      </c>
      <c r="H1276" s="40">
        <v>800</v>
      </c>
      <c r="J1276">
        <v>413899</v>
      </c>
      <c r="K1276" s="3" t="str">
        <f>VLOOKUP(Table2[[#This Row],[Konto]],Table5[[Konto]:[Konto nimetus]],2,FALSE)</f>
        <v>Muud sotsiaalabitoetused ja hüvitised</v>
      </c>
      <c r="L1276">
        <v>413</v>
      </c>
      <c r="M1276" t="str">
        <f t="shared" si="39"/>
        <v>41</v>
      </c>
      <c r="N1276" s="3" t="str">
        <f>VLOOKUP(Table2[[#This Row],[Tulu/kulu liik2]],Table5[[Tulu/kulu liik]:[Kontode koondnimetus]],4,FALSE)</f>
        <v>Antavad toetused tegevuskuludeks</v>
      </c>
      <c r="O1276" s="3" t="str">
        <f>VLOOKUP(Table2[[#This Row],[Tulu/kulu liik2]],Table5[],6,FALSE)</f>
        <v>Sotsiaalabitoetused ja muud toetused füüsilistele isikutele</v>
      </c>
      <c r="P1276" s="3" t="str">
        <f>VLOOKUP(Table2[[#This Row],[Tulu/kulu liik2]],Table5[],5,FALSE)</f>
        <v>Põhitegevuse kulu</v>
      </c>
    </row>
    <row r="1277" spans="1:16" x14ac:dyDescent="0.25">
      <c r="A1277" t="str">
        <f t="shared" si="38"/>
        <v>10</v>
      </c>
      <c r="B1277" t="s">
        <v>63</v>
      </c>
      <c r="C1277" s="3" t="str">
        <f>VLOOKUP(Table2[[#This Row],[Tegevusala]],Table4[],2,FALSE)</f>
        <v xml:space="preserve"> Muu sotsiaalsete riskirühmade kaitse</v>
      </c>
      <c r="D1277" s="3" t="str">
        <f>VLOOKUP(Table2[[#This Row],[Tegevusala]],Table4[[Tegevusala kood]:[Tegevusala alanimetus]],4,FALSE)</f>
        <v>Muu sotsiaalsete riskirühmade kaitse</v>
      </c>
      <c r="E1277" s="3" t="str">
        <f>VLOOKUP(Table2[[#This Row],[Tegevusala nimetus2]],Table4[[Tegevusala nimetus]:[Tegevusala koondnimetus]],2,FALSE)</f>
        <v>Sotsiaalne kaitse</v>
      </c>
      <c r="F1277" t="s">
        <v>462</v>
      </c>
      <c r="G1277" t="s">
        <v>656</v>
      </c>
      <c r="H1277" s="40">
        <v>3000</v>
      </c>
      <c r="J1277">
        <v>413899</v>
      </c>
      <c r="K1277" s="3" t="str">
        <f>VLOOKUP(Table2[[#This Row],[Konto]],Table5[[Konto]:[Konto nimetus]],2,FALSE)</f>
        <v>Muud sotsiaalabitoetused ja hüvitised</v>
      </c>
      <c r="L1277">
        <v>413</v>
      </c>
      <c r="M1277" t="str">
        <f t="shared" si="39"/>
        <v>41</v>
      </c>
      <c r="N1277" s="3" t="str">
        <f>VLOOKUP(Table2[[#This Row],[Tulu/kulu liik2]],Table5[[Tulu/kulu liik]:[Kontode koondnimetus]],4,FALSE)</f>
        <v>Antavad toetused tegevuskuludeks</v>
      </c>
      <c r="O1277" s="3" t="str">
        <f>VLOOKUP(Table2[[#This Row],[Tulu/kulu liik2]],Table5[],6,FALSE)</f>
        <v>Sotsiaalabitoetused ja muud toetused füüsilistele isikutele</v>
      </c>
      <c r="P1277" s="3" t="str">
        <f>VLOOKUP(Table2[[#This Row],[Tulu/kulu liik2]],Table5[],5,FALSE)</f>
        <v>Põhitegevuse kulu</v>
      </c>
    </row>
    <row r="1278" spans="1:16" x14ac:dyDescent="0.25">
      <c r="A1278" t="str">
        <f t="shared" si="38"/>
        <v>10</v>
      </c>
      <c r="B1278" t="s">
        <v>63</v>
      </c>
      <c r="C1278" s="3" t="str">
        <f>VLOOKUP(Table2[[#This Row],[Tegevusala]],Table4[],2,FALSE)</f>
        <v xml:space="preserve"> Muu sotsiaalsete riskirühmade kaitse</v>
      </c>
      <c r="D1278" s="3" t="str">
        <f>VLOOKUP(Table2[[#This Row],[Tegevusala]],Table4[[Tegevusala kood]:[Tegevusala alanimetus]],4,FALSE)</f>
        <v>Muu sotsiaalsete riskirühmade kaitse</v>
      </c>
      <c r="E1278" s="3" t="str">
        <f>VLOOKUP(Table2[[#This Row],[Tegevusala nimetus2]],Table4[[Tegevusala nimetus]:[Tegevusala koondnimetus]],2,FALSE)</f>
        <v>Sotsiaalne kaitse</v>
      </c>
      <c r="F1278" t="s">
        <v>462</v>
      </c>
      <c r="G1278" t="s">
        <v>2113</v>
      </c>
      <c r="H1278" s="40">
        <v>7440</v>
      </c>
      <c r="I1278" s="2" t="s">
        <v>2114</v>
      </c>
      <c r="J1278">
        <v>413899</v>
      </c>
      <c r="K1278" s="3" t="str">
        <f>VLOOKUP(Table2[[#This Row],[Konto]],Table5[[Konto]:[Konto nimetus]],2,FALSE)</f>
        <v>Muud sotsiaalabitoetused ja hüvitised</v>
      </c>
      <c r="L1278">
        <v>413</v>
      </c>
      <c r="M1278" t="str">
        <f t="shared" si="39"/>
        <v>41</v>
      </c>
      <c r="N1278" s="3" t="str">
        <f>VLOOKUP(Table2[[#This Row],[Tulu/kulu liik2]],Table5[[Tulu/kulu liik]:[Kontode koondnimetus]],4,FALSE)</f>
        <v>Antavad toetused tegevuskuludeks</v>
      </c>
      <c r="O1278" s="3" t="str">
        <f>VLOOKUP(Table2[[#This Row],[Tulu/kulu liik2]],Table5[],6,FALSE)</f>
        <v>Sotsiaalabitoetused ja muud toetused füüsilistele isikutele</v>
      </c>
      <c r="P1278" s="3" t="str">
        <f>VLOOKUP(Table2[[#This Row],[Tulu/kulu liik2]],Table5[],5,FALSE)</f>
        <v>Põhitegevuse kulu</v>
      </c>
    </row>
    <row r="1279" spans="1:16" hidden="1" x14ac:dyDescent="0.25">
      <c r="A1279" t="str">
        <f t="shared" si="38"/>
        <v>10</v>
      </c>
      <c r="B1279" t="s">
        <v>63</v>
      </c>
      <c r="C1279" s="3" t="str">
        <f>VLOOKUP(Table2[[#This Row],[Tegevusala]],Table4[],2,FALSE)</f>
        <v xml:space="preserve"> Muu sotsiaalsete riskirühmade kaitse</v>
      </c>
      <c r="D1279" s="3" t="str">
        <f>VLOOKUP(Table2[[#This Row],[Tegevusala]],Table4[[Tegevusala kood]:[Tegevusala alanimetus]],4,FALSE)</f>
        <v>Muu sotsiaalsete riskirühmade kaitse</v>
      </c>
      <c r="E1279" s="3" t="str">
        <f>VLOOKUP(Table2[[#This Row],[Tegevusala nimetus2]],Table4[[Tegevusala nimetus]:[Tegevusala koondnimetus]],2,FALSE)</f>
        <v>Sotsiaalne kaitse</v>
      </c>
      <c r="F1279" t="s">
        <v>648</v>
      </c>
      <c r="G1279" t="s">
        <v>2064</v>
      </c>
      <c r="H1279" s="40">
        <v>5000</v>
      </c>
      <c r="J1279">
        <v>1551</v>
      </c>
      <c r="K1279" s="3" t="str">
        <f>VLOOKUP(Table2[[#This Row],[Konto]],Table5[[Konto]:[Konto nimetus]],2,FALSE)</f>
        <v>Rajatiste ja hoonete soetamine ja renoveerimine</v>
      </c>
      <c r="L1279">
        <v>15</v>
      </c>
      <c r="M1279" t="str">
        <f t="shared" si="39"/>
        <v>15</v>
      </c>
      <c r="N1279" s="3" t="str">
        <f>VLOOKUP(Table2[[#This Row],[Tulu/kulu liik2]],Table5[[Tulu/kulu liik]:[Kontode koondnimetus]],4,FALSE)</f>
        <v>Põhivara soetus (-)</v>
      </c>
      <c r="O1279" s="34" t="str">
        <f>VLOOKUP(Table2[[#This Row],[Tulu/kulu liik2]],Table5[],6,FALSE)</f>
        <v>Põhivara soetus (-)</v>
      </c>
      <c r="P1279" s="3" t="str">
        <f>VLOOKUP(Table2[[#This Row],[Tulu/kulu liik2]],Table5[],5,FALSE)</f>
        <v>Investeerimistegevus</v>
      </c>
    </row>
    <row r="1280" spans="1:16" x14ac:dyDescent="0.25">
      <c r="A1280" t="str">
        <f t="shared" si="38"/>
        <v>10</v>
      </c>
      <c r="B1280" t="s">
        <v>65</v>
      </c>
      <c r="C1280" s="3" t="str">
        <f>VLOOKUP(Table2[[#This Row],[Tegevusala]],Table4[],2,FALSE)</f>
        <v xml:space="preserve"> Muu sotsiaalne kaitse, sh sotsiaalse kaitse haldus</v>
      </c>
      <c r="D1280" s="3" t="str">
        <f>VLOOKUP(Table2[[#This Row],[Tegevusala]],Table4[[Tegevusala kood]:[Tegevusala alanimetus]],4,FALSE)</f>
        <v>Muu sotsiaalne kaitse, sh sotsiaalse kaitse haldus</v>
      </c>
      <c r="E1280" s="3" t="str">
        <f>VLOOKUP(Table2[[#This Row],[Tegevusala nimetus2]],Table4[[Tegevusala nimetus]:[Tegevusala koondnimetus]],2,FALSE)</f>
        <v>Sotsiaalne kaitse</v>
      </c>
      <c r="F1280" t="s">
        <v>462</v>
      </c>
      <c r="G1280" t="s">
        <v>746</v>
      </c>
      <c r="H1280" s="40">
        <v>18500</v>
      </c>
      <c r="I1280" s="2" t="s">
        <v>747</v>
      </c>
      <c r="J1280">
        <v>5513</v>
      </c>
      <c r="K1280" s="3" t="str">
        <f>VLOOKUP(Table2[[#This Row],[Konto]],Table5[[Konto]:[Konto nimetus]],2,FALSE)</f>
        <v>Sõidukite ülalpidamise kulud</v>
      </c>
      <c r="L1280">
        <v>55</v>
      </c>
      <c r="M1280" t="str">
        <f t="shared" si="39"/>
        <v>55</v>
      </c>
      <c r="N1280" s="3" t="str">
        <f>VLOOKUP(Table2[[#This Row],[Tulu/kulu liik2]],Table5[[Tulu/kulu liik]:[Kontode koondnimetus]],4,FALSE)</f>
        <v>Muud tegevuskulud</v>
      </c>
      <c r="O1280" s="3" t="str">
        <f>VLOOKUP(Table2[[#This Row],[Tulu/kulu liik2]],Table5[],6,FALSE)</f>
        <v>Majandamiskulud</v>
      </c>
      <c r="P1280" s="3" t="str">
        <f>VLOOKUP(Table2[[#This Row],[Tulu/kulu liik2]],Table5[],5,FALSE)</f>
        <v>Põhitegevuse kulu</v>
      </c>
    </row>
    <row r="1281" spans="1:16" x14ac:dyDescent="0.25">
      <c r="A1281" t="str">
        <f t="shared" si="38"/>
        <v>10</v>
      </c>
      <c r="B1281" t="s">
        <v>65</v>
      </c>
      <c r="C1281" s="3" t="str">
        <f>VLOOKUP(Table2[[#This Row],[Tegevusala]],Table4[],2,FALSE)</f>
        <v xml:space="preserve"> Muu sotsiaalne kaitse, sh sotsiaalse kaitse haldus</v>
      </c>
      <c r="D1281" s="3" t="str">
        <f>VLOOKUP(Table2[[#This Row],[Tegevusala]],Table4[[Tegevusala kood]:[Tegevusala alanimetus]],4,FALSE)</f>
        <v>Muu sotsiaalne kaitse, sh sotsiaalse kaitse haldus</v>
      </c>
      <c r="E1281" s="3" t="str">
        <f>VLOOKUP(Table2[[#This Row],[Tegevusala nimetus2]],Table4[[Tegevusala nimetus]:[Tegevusala koondnimetus]],2,FALSE)</f>
        <v>Sotsiaalne kaitse</v>
      </c>
      <c r="F1281" t="s">
        <v>462</v>
      </c>
      <c r="G1281" t="s">
        <v>748</v>
      </c>
      <c r="H1281" s="40">
        <f>(17*4)*12</f>
        <v>816</v>
      </c>
      <c r="J1281">
        <v>5500</v>
      </c>
      <c r="K1281" s="3" t="str">
        <f>VLOOKUP(Table2[[#This Row],[Konto]],Table5[[Konto]:[Konto nimetus]],2,FALSE)</f>
        <v>Administreerimiskulud</v>
      </c>
      <c r="L1281">
        <v>55</v>
      </c>
      <c r="M1281" t="str">
        <f t="shared" si="39"/>
        <v>55</v>
      </c>
      <c r="N1281" s="3" t="str">
        <f>VLOOKUP(Table2[[#This Row],[Tulu/kulu liik2]],Table5[[Tulu/kulu liik]:[Kontode koondnimetus]],4,FALSE)</f>
        <v>Muud tegevuskulud</v>
      </c>
      <c r="O1281" s="3" t="str">
        <f>VLOOKUP(Table2[[#This Row],[Tulu/kulu liik2]],Table5[],6,FALSE)</f>
        <v>Majandamiskulud</v>
      </c>
      <c r="P1281" s="3" t="str">
        <f>VLOOKUP(Table2[[#This Row],[Tulu/kulu liik2]],Table5[],5,FALSE)</f>
        <v>Põhitegevuse kulu</v>
      </c>
    </row>
    <row r="1282" spans="1:16" x14ac:dyDescent="0.25">
      <c r="A1282" t="str">
        <f t="shared" ref="A1282:A1288" si="40">LEFT(B1282,2)</f>
        <v>10</v>
      </c>
      <c r="B1282" t="s">
        <v>65</v>
      </c>
      <c r="C1282" s="3" t="str">
        <f>VLOOKUP(Table2[[#This Row],[Tegevusala]],Table4[],2,FALSE)</f>
        <v xml:space="preserve"> Muu sotsiaalne kaitse, sh sotsiaalse kaitse haldus</v>
      </c>
      <c r="D1282" s="3" t="str">
        <f>VLOOKUP(Table2[[#This Row],[Tegevusala]],Table4[[Tegevusala kood]:[Tegevusala alanimetus]],4,FALSE)</f>
        <v>Muu sotsiaalne kaitse, sh sotsiaalse kaitse haldus</v>
      </c>
      <c r="E1282" s="3" t="str">
        <f>VLOOKUP(Table2[[#This Row],[Tegevusala nimetus2]],Table4[[Tegevusala nimetus]:[Tegevusala koondnimetus]],2,FALSE)</f>
        <v>Sotsiaalne kaitse</v>
      </c>
      <c r="F1282" t="s">
        <v>462</v>
      </c>
      <c r="G1282" t="s">
        <v>102</v>
      </c>
      <c r="H1282" s="40">
        <v>1500</v>
      </c>
      <c r="J1282">
        <v>5504</v>
      </c>
      <c r="K1282" s="3" t="str">
        <f>VLOOKUP(Table2[[#This Row],[Konto]],Table5[[Konto]:[Konto nimetus]],2,FALSE)</f>
        <v>Koolituskulud</v>
      </c>
      <c r="L1282">
        <v>55</v>
      </c>
      <c r="M1282" t="str">
        <f t="shared" ref="M1282:M1288" si="41">LEFT(J1282,2)</f>
        <v>55</v>
      </c>
      <c r="N1282" s="3" t="str">
        <f>VLOOKUP(Table2[[#This Row],[Tulu/kulu liik2]],Table5[[Tulu/kulu liik]:[Kontode koondnimetus]],4,FALSE)</f>
        <v>Muud tegevuskulud</v>
      </c>
      <c r="O1282" s="3" t="str">
        <f>VLOOKUP(Table2[[#This Row],[Tulu/kulu liik2]],Table5[],6,FALSE)</f>
        <v>Majandamiskulud</v>
      </c>
      <c r="P1282" s="3" t="str">
        <f>VLOOKUP(Table2[[#This Row],[Tulu/kulu liik2]],Table5[],5,FALSE)</f>
        <v>Põhitegevuse kulu</v>
      </c>
    </row>
    <row r="1283" spans="1:16" x14ac:dyDescent="0.25">
      <c r="A1283" t="str">
        <f t="shared" si="40"/>
        <v>10</v>
      </c>
      <c r="B1283" t="s">
        <v>65</v>
      </c>
      <c r="C1283" s="3" t="str">
        <f>VLOOKUP(Table2[[#This Row],[Tegevusala]],Table4[],2,FALSE)</f>
        <v xml:space="preserve"> Muu sotsiaalne kaitse, sh sotsiaalse kaitse haldus</v>
      </c>
      <c r="D1283" s="3" t="str">
        <f>VLOOKUP(Table2[[#This Row],[Tegevusala]],Table4[[Tegevusala kood]:[Tegevusala alanimetus]],4,FALSE)</f>
        <v>Muu sotsiaalne kaitse, sh sotsiaalse kaitse haldus</v>
      </c>
      <c r="E1283" s="3" t="str">
        <f>VLOOKUP(Table2[[#This Row],[Tegevusala nimetus2]],Table4[[Tegevusala nimetus]:[Tegevusala koondnimetus]],2,FALSE)</f>
        <v>Sotsiaalne kaitse</v>
      </c>
      <c r="F1283" t="s">
        <v>462</v>
      </c>
      <c r="G1283" t="s">
        <v>729</v>
      </c>
      <c r="H1283" s="40">
        <v>300</v>
      </c>
      <c r="J1283">
        <v>5515</v>
      </c>
      <c r="K1283" s="3" t="str">
        <f>VLOOKUP(Table2[[#This Row],[Konto]],Table5[[Konto]:[Konto nimetus]],2,FALSE)</f>
        <v>Inventari kulud, v.a infotehnoloogia ja kaitseotstarbelised kulud</v>
      </c>
      <c r="L1283">
        <v>55</v>
      </c>
      <c r="M1283" t="str">
        <f t="shared" si="41"/>
        <v>55</v>
      </c>
      <c r="N1283" s="3" t="str">
        <f>VLOOKUP(Table2[[#This Row],[Tulu/kulu liik2]],Table5[[Tulu/kulu liik]:[Kontode koondnimetus]],4,FALSE)</f>
        <v>Muud tegevuskulud</v>
      </c>
      <c r="O1283" s="3" t="str">
        <f>VLOOKUP(Table2[[#This Row],[Tulu/kulu liik2]],Table5[],6,FALSE)</f>
        <v>Majandamiskulud</v>
      </c>
      <c r="P1283" s="3" t="str">
        <f>VLOOKUP(Table2[[#This Row],[Tulu/kulu liik2]],Table5[],5,FALSE)</f>
        <v>Põhitegevuse kulu</v>
      </c>
    </row>
    <row r="1284" spans="1:16" x14ac:dyDescent="0.25">
      <c r="A1284" t="str">
        <f t="shared" si="40"/>
        <v>10</v>
      </c>
      <c r="B1284" s="14" t="s">
        <v>65</v>
      </c>
      <c r="C1284" s="3" t="str">
        <f>VLOOKUP(Table2[[#This Row],[Tegevusala]],Table4[],2,FALSE)</f>
        <v xml:space="preserve"> Muu sotsiaalne kaitse, sh sotsiaalse kaitse haldus</v>
      </c>
      <c r="D1284" s="3" t="str">
        <f>VLOOKUP(Table2[[#This Row],[Tegevusala]],Table4[[Tegevusala kood]:[Tegevusala alanimetus]],4,FALSE)</f>
        <v>Muu sotsiaalne kaitse, sh sotsiaalse kaitse haldus</v>
      </c>
      <c r="E1284" s="3" t="str">
        <f>VLOOKUP(Table2[[#This Row],[Tegevusala nimetus2]],Table4[[Tegevusala nimetus]:[Tegevusala koondnimetus]],2,FALSE)</f>
        <v>Sotsiaalne kaitse</v>
      </c>
      <c r="F1284" t="s">
        <v>462</v>
      </c>
      <c r="G1284" t="s">
        <v>749</v>
      </c>
      <c r="H1284" s="40">
        <f>400+600</f>
        <v>1000</v>
      </c>
      <c r="I1284" s="63" t="s">
        <v>2103</v>
      </c>
      <c r="J1284">
        <v>601</v>
      </c>
      <c r="K1284" s="3" t="str">
        <f>VLOOKUP(Table2[[#This Row],[Konto]],Table5[[Konto]:[Konto nimetus]],2,FALSE)</f>
        <v>Maksu-, riigilõivu- ja trahvikulud</v>
      </c>
      <c r="L1284">
        <v>60</v>
      </c>
      <c r="M1284" t="str">
        <f t="shared" si="41"/>
        <v>60</v>
      </c>
      <c r="N1284" s="3" t="str">
        <f>VLOOKUP(Table2[[#This Row],[Tulu/kulu liik2]],Table5[[Tulu/kulu liik]:[Kontode koondnimetus]],4,FALSE)</f>
        <v>Muud tegevuskulud</v>
      </c>
      <c r="O1284" s="3" t="str">
        <f>VLOOKUP(Table2[[#This Row],[Tulu/kulu liik2]],Table5[],6,FALSE)</f>
        <v>Muud kulud</v>
      </c>
      <c r="P1284" s="3" t="str">
        <f>VLOOKUP(Table2[[#This Row],[Tulu/kulu liik2]],Table5[],5,FALSE)</f>
        <v>Põhitegevuse kulu</v>
      </c>
    </row>
    <row r="1285" spans="1:16" x14ac:dyDescent="0.25">
      <c r="A1285" t="str">
        <f t="shared" si="40"/>
        <v>10</v>
      </c>
      <c r="B1285" s="14" t="s">
        <v>65</v>
      </c>
      <c r="C1285" s="3" t="str">
        <f>VLOOKUP(Table2[[#This Row],[Tegevusala]],Table4[],2,FALSE)</f>
        <v xml:space="preserve"> Muu sotsiaalne kaitse, sh sotsiaalse kaitse haldus</v>
      </c>
      <c r="D1285" s="3" t="str">
        <f>VLOOKUP(Table2[[#This Row],[Tegevusala]],Table4[[Tegevusala kood]:[Tegevusala alanimetus]],4,FALSE)</f>
        <v>Muu sotsiaalne kaitse, sh sotsiaalse kaitse haldus</v>
      </c>
      <c r="E1285" s="3" t="str">
        <f>VLOOKUP(Table2[[#This Row],[Tegevusala nimetus2]],Table4[[Tegevusala nimetus]:[Tegevusala koondnimetus]],2,FALSE)</f>
        <v>Sotsiaalne kaitse</v>
      </c>
      <c r="F1285" t="s">
        <v>462</v>
      </c>
      <c r="G1285" t="s">
        <v>750</v>
      </c>
      <c r="H1285" s="40">
        <v>2000</v>
      </c>
      <c r="J1285">
        <v>4500</v>
      </c>
      <c r="K1285" s="3" t="str">
        <f>VLOOKUP(Table2[[#This Row],[Konto]],Table5[[Konto]:[Konto nimetus]],2,FALSE)</f>
        <v>Sihtotstarbelised eraldised jooksvateks kuludeks</v>
      </c>
      <c r="L1285">
        <v>4500</v>
      </c>
      <c r="M1285" t="str">
        <f t="shared" si="41"/>
        <v>45</v>
      </c>
      <c r="N1285" s="3" t="str">
        <f>VLOOKUP(Table2[[#This Row],[Tulu/kulu liik2]],Table5[[Tulu/kulu liik]:[Kontode koondnimetus]],4,FALSE)</f>
        <v>Antavad toetused tegevuskuludeks</v>
      </c>
      <c r="O1285" s="3" t="str">
        <f>VLOOKUP(Table2[[#This Row],[Tulu/kulu liik2]],Table5[],6,FALSE)</f>
        <v>Sihtotstarbelised toetused tegevuskuludeks</v>
      </c>
      <c r="P1285" s="3" t="str">
        <f>VLOOKUP(Table2[[#This Row],[Tulu/kulu liik2]],Table5[],5,FALSE)</f>
        <v>Põhitegevuse kulu</v>
      </c>
    </row>
    <row r="1286" spans="1:16" x14ac:dyDescent="0.25">
      <c r="A1286" t="str">
        <f t="shared" si="40"/>
        <v>10</v>
      </c>
      <c r="B1286" t="s">
        <v>65</v>
      </c>
      <c r="C1286" s="3" t="str">
        <f>VLOOKUP(Table2[[#This Row],[Tegevusala]],Table4[],2,FALSE)</f>
        <v xml:space="preserve"> Muu sotsiaalne kaitse, sh sotsiaalse kaitse haldus</v>
      </c>
      <c r="D1286" s="3" t="str">
        <f>VLOOKUP(Table2[[#This Row],[Tegevusala]],Table4[[Tegevusala kood]:[Tegevusala alanimetus]],4,FALSE)</f>
        <v>Muu sotsiaalne kaitse, sh sotsiaalse kaitse haldus</v>
      </c>
      <c r="E1286" s="3" t="str">
        <f>VLOOKUP(Table2[[#This Row],[Tegevusala nimetus2]],Table4[[Tegevusala nimetus]:[Tegevusala koondnimetus]],2,FALSE)</f>
        <v>Sotsiaalne kaitse</v>
      </c>
      <c r="F1286" t="s">
        <v>462</v>
      </c>
      <c r="G1286" t="s">
        <v>2005</v>
      </c>
      <c r="H1286" s="40">
        <f>4*400</f>
        <v>1600</v>
      </c>
      <c r="J1286">
        <v>5540</v>
      </c>
      <c r="K1286" s="3" t="str">
        <f>VLOOKUP(Table2[[#This Row],[Konto]],Table5[[Konto]:[Konto nimetus]],2,FALSE)</f>
        <v>Mitmesugused majanduskulud</v>
      </c>
      <c r="L1286">
        <v>55</v>
      </c>
      <c r="M1286" t="str">
        <f t="shared" si="41"/>
        <v>55</v>
      </c>
      <c r="N1286" s="3" t="str">
        <f>VLOOKUP(Table2[[#This Row],[Tulu/kulu liik2]],Table5[[Tulu/kulu liik]:[Kontode koondnimetus]],4,FALSE)</f>
        <v>Muud tegevuskulud</v>
      </c>
      <c r="O1286" s="34" t="str">
        <f>VLOOKUP(Table2[[#This Row],[Tulu/kulu liik2]],Table5[],6,FALSE)</f>
        <v>Majandamiskulud</v>
      </c>
      <c r="P1286" s="3" t="str">
        <f>VLOOKUP(Table2[[#This Row],[Tulu/kulu liik2]],Table5[],5,FALSE)</f>
        <v>Põhitegevuse kulu</v>
      </c>
    </row>
    <row r="1287" spans="1:16" x14ac:dyDescent="0.25">
      <c r="A1287" t="str">
        <f t="shared" si="40"/>
        <v>10</v>
      </c>
      <c r="B1287" s="14" t="s">
        <v>65</v>
      </c>
      <c r="C1287" s="3" t="str">
        <f>VLOOKUP(Table2[[#This Row],[Tegevusala]],Table4[],2,FALSE)</f>
        <v xml:space="preserve"> Muu sotsiaalne kaitse, sh sotsiaalse kaitse haldus</v>
      </c>
      <c r="D1287" s="3" t="str">
        <f>VLOOKUP(Table2[[#This Row],[Tegevusala]],Table4[[Tegevusala kood]:[Tegevusala alanimetus]],4,FALSE)</f>
        <v>Muu sotsiaalne kaitse, sh sotsiaalse kaitse haldus</v>
      </c>
      <c r="E1287" s="3" t="str">
        <f>VLOOKUP(Table2[[#This Row],[Tegevusala nimetus2]],Table4[[Tegevusala nimetus]:[Tegevusala koondnimetus]],2,FALSE)</f>
        <v>Sotsiaalne kaitse</v>
      </c>
      <c r="F1287" t="s">
        <v>462</v>
      </c>
      <c r="G1287" t="s">
        <v>2102</v>
      </c>
      <c r="H1287" s="40">
        <v>300</v>
      </c>
      <c r="J1287">
        <v>5514</v>
      </c>
      <c r="K1287" s="3" t="str">
        <f>VLOOKUP(Table2[[#This Row],[Konto]],Table5[[Konto]:[Konto nimetus]],2,FALSE)</f>
        <v>Info- ja kommunikatsioonitehnoliigised kulud</v>
      </c>
      <c r="L1287">
        <v>55</v>
      </c>
      <c r="M1287" t="str">
        <f t="shared" si="41"/>
        <v>55</v>
      </c>
      <c r="N1287" s="3" t="str">
        <f>VLOOKUP(Table2[[#This Row],[Tulu/kulu liik2]],Table5[[Tulu/kulu liik]:[Kontode koondnimetus]],4,FALSE)</f>
        <v>Muud tegevuskulud</v>
      </c>
      <c r="O1287" s="34" t="str">
        <f>VLOOKUP(Table2[[#This Row],[Tulu/kulu liik2]],Table5[],6,FALSE)</f>
        <v>Majandamiskulud</v>
      </c>
      <c r="P1287" s="3" t="str">
        <f>VLOOKUP(Table2[[#This Row],[Tulu/kulu liik2]],Table5[],5,FALSE)</f>
        <v>Põhitegevuse kulu</v>
      </c>
    </row>
    <row r="1288" spans="1:16" x14ac:dyDescent="0.25">
      <c r="A1288" t="str">
        <f t="shared" si="40"/>
        <v>10</v>
      </c>
      <c r="B1288" s="14" t="s">
        <v>65</v>
      </c>
      <c r="C1288" s="3" t="str">
        <f>VLOOKUP(Table2[[#This Row],[Tegevusala]],Table4[],2,FALSE)</f>
        <v xml:space="preserve"> Muu sotsiaalne kaitse, sh sotsiaalse kaitse haldus</v>
      </c>
      <c r="D1288" s="3" t="str">
        <f>VLOOKUP(Table2[[#This Row],[Tegevusala]],Table4[[Tegevusala kood]:[Tegevusala alanimetus]],4,FALSE)</f>
        <v>Muu sotsiaalne kaitse, sh sotsiaalse kaitse haldus</v>
      </c>
      <c r="E1288" s="3" t="str">
        <f>VLOOKUP(Table2[[#This Row],[Tegevusala nimetus2]],Table4[[Tegevusala nimetus]:[Tegevusala koondnimetus]],2,FALSE)</f>
        <v>Sotsiaalne kaitse</v>
      </c>
      <c r="F1288" t="s">
        <v>462</v>
      </c>
      <c r="G1288" t="s">
        <v>2104</v>
      </c>
      <c r="H1288" s="40">
        <v>1000</v>
      </c>
      <c r="J1288">
        <v>5500</v>
      </c>
      <c r="K1288" s="3" t="str">
        <f>VLOOKUP(Table2[[#This Row],[Konto]],Table5[[Konto]:[Konto nimetus]],2,FALSE)</f>
        <v>Administreerimiskulud</v>
      </c>
      <c r="L1288">
        <v>55</v>
      </c>
      <c r="M1288" t="str">
        <f t="shared" si="41"/>
        <v>55</v>
      </c>
      <c r="N1288" s="3" t="str">
        <f>VLOOKUP(Table2[[#This Row],[Tulu/kulu liik2]],Table5[[Tulu/kulu liik]:[Kontode koondnimetus]],4,FALSE)</f>
        <v>Muud tegevuskulud</v>
      </c>
      <c r="O1288" s="34" t="str">
        <f>VLOOKUP(Table2[[#This Row],[Tulu/kulu liik2]],Table5[],6,FALSE)</f>
        <v>Majandamiskulud</v>
      </c>
      <c r="P1288" s="3" t="str">
        <f>VLOOKUP(Table2[[#This Row],[Tulu/kulu liik2]],Table5[],5,FALSE)</f>
        <v>Põhitegevuse kulu</v>
      </c>
    </row>
    <row r="1289" spans="1:16" hidden="1" x14ac:dyDescent="0.25">
      <c r="A1289" t="str">
        <f>LEFT(B1289,2)</f>
        <v>09</v>
      </c>
      <c r="B1289" t="s">
        <v>359</v>
      </c>
      <c r="C1289" s="3" t="str">
        <f>VLOOKUP(Table2[[#This Row],[Tegevusala]],Table4[],2,FALSE)</f>
        <v xml:space="preserve"> Haldus</v>
      </c>
      <c r="D1289" s="3" t="str">
        <f>VLOOKUP(Table2[[#This Row],[Tegevusala]],Table4[[Tegevusala kood]:[Tegevusala alanimetus]],4,FALSE)</f>
        <v>Muu haridus, sh hariduse haldus</v>
      </c>
      <c r="E1289" s="3" t="str">
        <f>VLOOKUP(Table2[[#This Row],[Tegevusala nimetus2]],Table4[[Tegevusala nimetus]:[Tegevusala koondnimetus]],2,FALSE)</f>
        <v>Haridus</v>
      </c>
      <c r="F1289" t="s">
        <v>1548</v>
      </c>
      <c r="G1289" t="s">
        <v>2227</v>
      </c>
      <c r="H1289" s="40">
        <v>-83233</v>
      </c>
      <c r="J1289">
        <v>35201</v>
      </c>
      <c r="K1289" s="3" t="str">
        <f>VLOOKUP(Table2[[#This Row],[Konto]],Table5[[Konto]:[Konto nimetus]],2,FALSE)</f>
        <v>Toetusfond</v>
      </c>
      <c r="L1289">
        <v>35201</v>
      </c>
      <c r="M1289" t="str">
        <f>LEFT(J1289,2)</f>
        <v>35</v>
      </c>
      <c r="N1289" s="3" t="str">
        <f>VLOOKUP(Table2[[#This Row],[Tulu/kulu liik2]],Table5[[Tulu/kulu liik]:[Kontode koondnimetus]],4,FALSE)</f>
        <v>Saadavad toetused tegevuskuludeks</v>
      </c>
      <c r="O1289" s="34" t="str">
        <f>VLOOKUP(Table2[[#This Row],[Tulu/kulu liik2]],Table5[],6,FALSE)</f>
        <v>Toetusfond</v>
      </c>
      <c r="P1289" s="3" t="str">
        <f>VLOOKUP(Table2[[#This Row],[Tulu/kulu liik2]],Table5[],5,FALSE)</f>
        <v>Põhitegevuse tulu</v>
      </c>
    </row>
    <row r="1290" spans="1:16" hidden="1" x14ac:dyDescent="0.25">
      <c r="A1290" t="str">
        <f>LEFT(B1290,2)</f>
        <v>01</v>
      </c>
      <c r="B1290" t="s">
        <v>15</v>
      </c>
      <c r="C1290" s="3" t="str">
        <f>VLOOKUP(Table2[[#This Row],[Tegevusala]],Table4[],2,FALSE)</f>
        <v xml:space="preserve"> Valla- ja linnavalitsus</v>
      </c>
      <c r="D1290" s="3" t="str">
        <f>VLOOKUP(Table2[[#This Row],[Tegevusala]],Table4[[Tegevusala kood]:[Tegevusala alanimetus]],4,FALSE)</f>
        <v>Valla- ja linnavalitsus</v>
      </c>
      <c r="E1290" s="3" t="str">
        <f>VLOOKUP(Table2[[#This Row],[Tegevusala nimetus2]],Table4[[Tegevusala nimetus]:[Tegevusala koondnimetus]],2,FALSE)</f>
        <v>Üldised valitsussektori teenused</v>
      </c>
      <c r="F1290" t="s">
        <v>1971</v>
      </c>
      <c r="G1290" t="s">
        <v>2228</v>
      </c>
      <c r="H1290" s="40">
        <v>-988</v>
      </c>
      <c r="J1290">
        <v>35201</v>
      </c>
      <c r="K1290" s="3" t="str">
        <f>VLOOKUP(Table2[[#This Row],[Konto]],Table5[[Konto]:[Konto nimetus]],2,FALSE)</f>
        <v>Toetusfond</v>
      </c>
      <c r="L1290">
        <v>35201</v>
      </c>
      <c r="M1290" t="str">
        <f>LEFT(J1290,2)</f>
        <v>35</v>
      </c>
      <c r="N1290" s="3" t="str">
        <f>VLOOKUP(Table2[[#This Row],[Tulu/kulu liik2]],Table5[[Tulu/kulu liik]:[Kontode koondnimetus]],4,FALSE)</f>
        <v>Saadavad toetused tegevuskuludeks</v>
      </c>
      <c r="O1290" s="34" t="str">
        <f>VLOOKUP(Table2[[#This Row],[Tulu/kulu liik2]],Table5[],6,FALSE)</f>
        <v>Toetusfond</v>
      </c>
      <c r="P1290" s="3" t="str">
        <f>VLOOKUP(Table2[[#This Row],[Tulu/kulu liik2]],Table5[],5,FALSE)</f>
        <v>Põhitegevuse tulu</v>
      </c>
    </row>
    <row r="1291" spans="1:16" x14ac:dyDescent="0.25">
      <c r="A1291" t="s">
        <v>2184</v>
      </c>
      <c r="H1291" s="116">
        <f>SUBTOTAL(109,Table2[2020. EA ])</f>
        <v>4803143.3975789994</v>
      </c>
      <c r="I1291"/>
      <c r="P1291">
        <f>SUBTOTAL(103,Table2[Tulu/kulu liigi grupp])</f>
        <v>1227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topLeftCell="A46" zoomScale="85" zoomScaleNormal="85" workbookViewId="0">
      <selection activeCell="F60" sqref="F60"/>
    </sheetView>
  </sheetViews>
  <sheetFormatPr defaultRowHeight="15" x14ac:dyDescent="0.25"/>
  <cols>
    <col min="1" max="1" width="11.5703125" customWidth="1"/>
    <col min="2" max="2" width="13" customWidth="1"/>
    <col min="3" max="3" width="21.7109375" customWidth="1"/>
    <col min="4" max="4" width="23.85546875" bestFit="1" customWidth="1"/>
    <col min="5" max="5" width="26.28515625" customWidth="1"/>
    <col min="6" max="6" width="35.42578125" customWidth="1"/>
    <col min="7" max="7" width="75.140625" customWidth="1"/>
    <col min="8" max="8" width="10.85546875" customWidth="1"/>
    <col min="9" max="9" width="65.140625" bestFit="1" customWidth="1"/>
    <col min="11" max="11" width="16.140625" customWidth="1"/>
    <col min="12" max="12" width="15.85546875" customWidth="1"/>
    <col min="13" max="13" width="14" customWidth="1"/>
    <col min="14" max="14" width="25.85546875" customWidth="1"/>
    <col min="15" max="15" width="21" customWidth="1"/>
  </cols>
  <sheetData>
    <row r="1" spans="1:15" x14ac:dyDescent="0.25">
      <c r="A1" s="11" t="s">
        <v>7</v>
      </c>
      <c r="B1" s="12" t="s">
        <v>1</v>
      </c>
      <c r="C1" s="12" t="s">
        <v>246</v>
      </c>
      <c r="D1" t="s">
        <v>490</v>
      </c>
      <c r="E1" s="12" t="s">
        <v>67</v>
      </c>
      <c r="F1" s="12" t="s">
        <v>5</v>
      </c>
      <c r="G1" s="12" t="s">
        <v>6</v>
      </c>
      <c r="H1" s="13" t="s">
        <v>398</v>
      </c>
      <c r="I1" s="13" t="s">
        <v>165</v>
      </c>
      <c r="J1" s="12" t="s">
        <v>2</v>
      </c>
      <c r="K1" s="12" t="s">
        <v>91</v>
      </c>
      <c r="L1" s="12" t="s">
        <v>77</v>
      </c>
      <c r="M1" s="12" t="s">
        <v>9</v>
      </c>
      <c r="N1" s="12" t="s">
        <v>10</v>
      </c>
      <c r="O1" s="28" t="s">
        <v>135</v>
      </c>
    </row>
    <row r="2" spans="1:15" ht="15" customHeight="1" x14ac:dyDescent="0.25">
      <c r="A2" t="str">
        <f>LEFT(Table3[[#This Row],[Tegevusala]],2)</f>
        <v>09</v>
      </c>
      <c r="B2" t="s">
        <v>247</v>
      </c>
      <c r="C2" t="str">
        <f>VLOOKUP(Table3[[#This Row],[Tegevusala]],Table4[],2,FALSE)</f>
        <v xml:space="preserve"> Roela kool</v>
      </c>
      <c r="D2" s="1" t="str">
        <f>VLOOKUP(Table3[[#This Row],[Tegevusala]],Table4[[Tegevusala kood]:[Tegevusala alanimetus]],4,FALSE)</f>
        <v>Põhihariduse otsekulud</v>
      </c>
      <c r="E2" t="str">
        <f>VLOOKUP(Table3[[#This Row],[Tegevusala nimetus2]],Table4[[Tegevusala nimetus]:[Tegevusala koondnimetus]],2,FALSE)</f>
        <v>Haridus</v>
      </c>
      <c r="F2" t="s">
        <v>614</v>
      </c>
      <c r="G2" t="s">
        <v>605</v>
      </c>
      <c r="H2" s="40">
        <v>10520.4</v>
      </c>
      <c r="I2" t="s">
        <v>615</v>
      </c>
      <c r="J2">
        <v>1551</v>
      </c>
    </row>
    <row r="3" spans="1:15" ht="15" customHeight="1" x14ac:dyDescent="0.25">
      <c r="A3" t="str">
        <f>LEFT(Table3[[#This Row],[Tegevusala]],2)</f>
        <v>09</v>
      </c>
      <c r="B3" t="s">
        <v>247</v>
      </c>
      <c r="C3" t="str">
        <f>VLOOKUP(Table3[[#This Row],[Tegevusala]],Table4[],2,FALSE)</f>
        <v xml:space="preserve"> Roela kool</v>
      </c>
      <c r="D3" t="str">
        <f>VLOOKUP(Table3[[#This Row],[Tegevusala]],Table4[[Tegevusala kood]:[Tegevusala alanimetus]],4,FALSE)</f>
        <v>Põhihariduse otsekulud</v>
      </c>
      <c r="E3" t="str">
        <f>VLOOKUP(Table3[[#This Row],[Tegevusala nimetus2]],Table4[[Tegevusala nimetus]:[Tegevusala koondnimetus]],2,FALSE)</f>
        <v>Haridus</v>
      </c>
      <c r="F3" t="s">
        <v>614</v>
      </c>
      <c r="G3" t="s">
        <v>606</v>
      </c>
      <c r="H3" s="40">
        <v>100491.6</v>
      </c>
      <c r="I3" t="s">
        <v>616</v>
      </c>
      <c r="J3">
        <v>1551</v>
      </c>
    </row>
    <row r="4" spans="1:15" ht="15" customHeight="1" x14ac:dyDescent="0.25">
      <c r="A4" s="8" t="str">
        <f>LEFT(Table3[[#This Row],[Tegevusala]],2)</f>
        <v>09</v>
      </c>
      <c r="B4" s="8" t="s">
        <v>247</v>
      </c>
      <c r="C4" s="8" t="str">
        <f>VLOOKUP(Table3[[#This Row],[Tegevusala]],Table4[],2,FALSE)</f>
        <v xml:space="preserve"> Roela kool</v>
      </c>
      <c r="D4" s="8" t="str">
        <f>VLOOKUP(Table3[[#This Row],[Tegevusala]],Table4[[Tegevusala kood]:[Tegevusala alanimetus]],4,FALSE)</f>
        <v>Põhihariduse otsekulud</v>
      </c>
      <c r="E4" s="8" t="str">
        <f>VLOOKUP(Table3[[#This Row],[Tegevusala nimetus2]],Table4[[Tegevusala nimetus]:[Tegevusala koondnimetus]],2,FALSE)</f>
        <v>Haridus</v>
      </c>
      <c r="F4" s="8" t="s">
        <v>614</v>
      </c>
      <c r="G4" s="8" t="s">
        <v>607</v>
      </c>
      <c r="H4" s="43">
        <v>27135.599999999999</v>
      </c>
      <c r="I4" s="8" t="s">
        <v>617</v>
      </c>
      <c r="J4" s="8">
        <v>1551</v>
      </c>
      <c r="K4" s="8"/>
      <c r="L4" s="8"/>
      <c r="M4" s="8"/>
      <c r="N4" s="8"/>
      <c r="O4" s="8"/>
    </row>
    <row r="5" spans="1:15" ht="15" customHeight="1" x14ac:dyDescent="0.25">
      <c r="A5" s="8" t="str">
        <f>LEFT(Table3[[#This Row],[Tegevusala]],2)</f>
        <v>09</v>
      </c>
      <c r="B5" s="8" t="s">
        <v>247</v>
      </c>
      <c r="C5" s="8" t="str">
        <f>VLOOKUP(Table3[[#This Row],[Tegevusala]],Table4[],2,FALSE)</f>
        <v xml:space="preserve"> Roela kool</v>
      </c>
      <c r="D5" s="8" t="str">
        <f>VLOOKUP(Table3[[#This Row],[Tegevusala]],Table4[[Tegevusala kood]:[Tegevusala alanimetus]],4,FALSE)</f>
        <v>Põhihariduse otsekulud</v>
      </c>
      <c r="E5" s="8" t="str">
        <f>VLOOKUP(Table3[[#This Row],[Tegevusala nimetus2]],Table4[[Tegevusala nimetus]:[Tegevusala koondnimetus]],2,FALSE)</f>
        <v>Haridus</v>
      </c>
      <c r="F5" s="8" t="s">
        <v>614</v>
      </c>
      <c r="G5" s="8" t="s">
        <v>608</v>
      </c>
      <c r="H5" s="43">
        <v>3259.2</v>
      </c>
      <c r="I5" s="8" t="s">
        <v>618</v>
      </c>
      <c r="J5" s="8">
        <v>1551</v>
      </c>
      <c r="K5" s="8"/>
      <c r="L5" s="8"/>
      <c r="M5" s="8"/>
      <c r="N5" s="8"/>
      <c r="O5" s="8"/>
    </row>
    <row r="6" spans="1:15" ht="15" customHeight="1" x14ac:dyDescent="0.25">
      <c r="A6" s="78" t="str">
        <f>LEFT(Table3[[#This Row],[Tegevusala]],2)</f>
        <v>09</v>
      </c>
      <c r="B6" s="78" t="s">
        <v>247</v>
      </c>
      <c r="C6" s="78" t="str">
        <f>VLOOKUP(Table3[[#This Row],[Tegevusala]],Table4[],2,FALSE)</f>
        <v xml:space="preserve"> Roela kool</v>
      </c>
      <c r="D6" s="78" t="str">
        <f>VLOOKUP(Table3[[#This Row],[Tegevusala]],Table4[[Tegevusala kood]:[Tegevusala alanimetus]],4,FALSE)</f>
        <v>Põhihariduse otsekulud</v>
      </c>
      <c r="E6" s="78" t="str">
        <f>VLOOKUP(Table3[[#This Row],[Tegevusala nimetus2]],Table4[[Tegevusala nimetus]:[Tegevusala koondnimetus]],2,FALSE)</f>
        <v>Haridus</v>
      </c>
      <c r="F6" s="78" t="s">
        <v>614</v>
      </c>
      <c r="G6" s="78" t="s">
        <v>609</v>
      </c>
      <c r="H6" s="79">
        <v>785.4</v>
      </c>
      <c r="I6" s="78" t="s">
        <v>619</v>
      </c>
      <c r="J6" s="78">
        <v>5511</v>
      </c>
      <c r="K6" s="78"/>
      <c r="L6" s="78"/>
      <c r="M6" s="78"/>
      <c r="N6" s="78"/>
      <c r="O6" s="78"/>
    </row>
    <row r="7" spans="1:15" ht="15" customHeight="1" x14ac:dyDescent="0.25">
      <c r="A7" t="str">
        <f>LEFT(Table3[[#This Row],[Tegevusala]],2)</f>
        <v>09</v>
      </c>
      <c r="B7" t="s">
        <v>247</v>
      </c>
      <c r="C7" t="str">
        <f>VLOOKUP(Table3[[#This Row],[Tegevusala]],Table4[],2,FALSE)</f>
        <v xml:space="preserve"> Roela kool</v>
      </c>
      <c r="D7" t="str">
        <f>VLOOKUP(Table3[[#This Row],[Tegevusala]],Table4[[Tegevusala kood]:[Tegevusala alanimetus]],4,FALSE)</f>
        <v>Põhihariduse otsekulud</v>
      </c>
      <c r="E7" t="str">
        <f>VLOOKUP(Table3[[#This Row],[Tegevusala nimetus2]],Table4[[Tegevusala nimetus]:[Tegevusala koondnimetus]],2,FALSE)</f>
        <v>Haridus</v>
      </c>
      <c r="F7" t="s">
        <v>614</v>
      </c>
      <c r="G7" t="s">
        <v>610</v>
      </c>
      <c r="H7" s="40">
        <v>5416</v>
      </c>
      <c r="I7" t="s">
        <v>620</v>
      </c>
      <c r="J7">
        <v>5511</v>
      </c>
    </row>
    <row r="8" spans="1:15" ht="15" customHeight="1" x14ac:dyDescent="0.25">
      <c r="A8" s="8" t="str">
        <f>LEFT(Table3[[#This Row],[Tegevusala]],2)</f>
        <v>09</v>
      </c>
      <c r="B8" s="8" t="s">
        <v>247</v>
      </c>
      <c r="C8" s="8" t="str">
        <f>VLOOKUP(Table3[[#This Row],[Tegevusala]],Table4[],2,FALSE)</f>
        <v xml:space="preserve"> Roela kool</v>
      </c>
      <c r="D8" s="8" t="str">
        <f>VLOOKUP(Table3[[#This Row],[Tegevusala]],Table4[[Tegevusala kood]:[Tegevusala alanimetus]],4,FALSE)</f>
        <v>Põhihariduse otsekulud</v>
      </c>
      <c r="E8" s="8" t="str">
        <f>VLOOKUP(Table3[[#This Row],[Tegevusala nimetus2]],Table4[[Tegevusala nimetus]:[Tegevusala koondnimetus]],2,FALSE)</f>
        <v>Haridus</v>
      </c>
      <c r="F8" s="8" t="s">
        <v>614</v>
      </c>
      <c r="G8" s="8" t="s">
        <v>611</v>
      </c>
      <c r="H8" s="43">
        <v>10000</v>
      </c>
      <c r="I8" s="8" t="s">
        <v>621</v>
      </c>
      <c r="J8" s="8">
        <v>5525</v>
      </c>
      <c r="K8" s="8"/>
      <c r="L8" s="8"/>
      <c r="M8" s="8"/>
      <c r="N8" s="8"/>
      <c r="O8" s="8"/>
    </row>
    <row r="9" spans="1:15" ht="15" customHeight="1" x14ac:dyDescent="0.25">
      <c r="A9" s="78" t="str">
        <f>LEFT(Table3[[#This Row],[Tegevusala]],2)</f>
        <v>09</v>
      </c>
      <c r="B9" s="78" t="s">
        <v>247</v>
      </c>
      <c r="C9" s="78" t="str">
        <f>VLOOKUP(Table3[[#This Row],[Tegevusala]],Table4[],2,FALSE)</f>
        <v xml:space="preserve"> Roela kool</v>
      </c>
      <c r="D9" s="78" t="str">
        <f>VLOOKUP(Table3[[#This Row],[Tegevusala]],Table4[[Tegevusala kood]:[Tegevusala alanimetus]],4,FALSE)</f>
        <v>Põhihariduse otsekulud</v>
      </c>
      <c r="E9" s="78" t="str">
        <f>VLOOKUP(Table3[[#This Row],[Tegevusala nimetus2]],Table4[[Tegevusala nimetus]:[Tegevusala koondnimetus]],2,FALSE)</f>
        <v>Haridus</v>
      </c>
      <c r="F9" s="78" t="s">
        <v>614</v>
      </c>
      <c r="G9" s="78" t="s">
        <v>612</v>
      </c>
      <c r="H9" s="79">
        <v>4580</v>
      </c>
      <c r="I9" s="78" t="s">
        <v>622</v>
      </c>
      <c r="J9" s="78">
        <v>5512</v>
      </c>
      <c r="K9" s="78"/>
      <c r="L9" s="78"/>
      <c r="M9" s="78"/>
      <c r="N9" s="78"/>
      <c r="O9" s="78"/>
    </row>
    <row r="10" spans="1:15" ht="15" customHeight="1" x14ac:dyDescent="0.25">
      <c r="A10" s="78" t="str">
        <f>LEFT(Table3[[#This Row],[Tegevusala]],2)</f>
        <v>09</v>
      </c>
      <c r="B10" s="78" t="s">
        <v>247</v>
      </c>
      <c r="C10" s="78" t="str">
        <f>VLOOKUP(Table3[[#This Row],[Tegevusala]],Table4[],2,FALSE)</f>
        <v xml:space="preserve"> Roela kool</v>
      </c>
      <c r="D10" s="78" t="str">
        <f>VLOOKUP(Table3[[#This Row],[Tegevusala]],Table4[[Tegevusala kood]:[Tegevusala alanimetus]],4,FALSE)</f>
        <v>Põhihariduse otsekulud</v>
      </c>
      <c r="E10" s="78" t="str">
        <f>VLOOKUP(Table3[[#This Row],[Tegevusala nimetus2]],Table4[[Tegevusala nimetus]:[Tegevusala koondnimetus]],2,FALSE)</f>
        <v>Haridus</v>
      </c>
      <c r="F10" s="78" t="s">
        <v>614</v>
      </c>
      <c r="G10" s="78" t="s">
        <v>613</v>
      </c>
      <c r="H10" s="79">
        <v>760</v>
      </c>
      <c r="I10" s="78" t="s">
        <v>623</v>
      </c>
      <c r="J10" s="78">
        <v>5540</v>
      </c>
      <c r="K10" s="78"/>
      <c r="L10" s="78"/>
      <c r="M10" s="78"/>
      <c r="N10" s="78"/>
      <c r="O10" s="78"/>
    </row>
    <row r="11" spans="1:15" ht="15" customHeight="1" x14ac:dyDescent="0.25">
      <c r="A11" s="78" t="str">
        <f>LEFT(Table3[[#This Row],[Tegevusala]],2)</f>
        <v>04</v>
      </c>
      <c r="B11" s="78" t="s">
        <v>31</v>
      </c>
      <c r="C11" s="78" t="str">
        <f>VLOOKUP(Table3[[#This Row],[Tegevusala]],Table4[],2,FALSE)</f>
        <v>Maanteetransport</v>
      </c>
      <c r="D11" s="78" t="str">
        <f>VLOOKUP(Table3[[#This Row],[Tegevusala]],Table4[[Tegevusala kood]:[Tegevusala alanimetus]],4,FALSE)</f>
        <v>Maanteetransport</v>
      </c>
      <c r="E11" s="78" t="str">
        <f>VLOOKUP(Table3[[#This Row],[Tegevusala nimetus2]],Table4[[Tegevusala nimetus]:[Tegevusala koondnimetus]],2,FALSE)</f>
        <v>Majandus</v>
      </c>
      <c r="F11" s="78" t="s">
        <v>805</v>
      </c>
      <c r="G11" s="78" t="s">
        <v>806</v>
      </c>
      <c r="H11" s="79">
        <v>100000</v>
      </c>
      <c r="I11" s="78" t="s">
        <v>807</v>
      </c>
      <c r="J11" s="78">
        <v>5512</v>
      </c>
      <c r="K11" s="78"/>
      <c r="L11" s="78"/>
      <c r="M11" s="78"/>
      <c r="N11" s="78"/>
      <c r="O11" s="78"/>
    </row>
    <row r="12" spans="1:15" ht="15" customHeight="1" x14ac:dyDescent="0.25">
      <c r="A12" t="str">
        <f>LEFT(Table3[[#This Row],[Tegevusala]],2)</f>
        <v>06</v>
      </c>
      <c r="B12" t="s">
        <v>254</v>
      </c>
      <c r="C12" t="str">
        <f>VLOOKUP(Table3[[#This Row],[Tegevusala]],Table4[],2,FALSE)</f>
        <v>Laekvere halduspiirkond</v>
      </c>
      <c r="D12" t="str">
        <f>VLOOKUP(Table3[[#This Row],[Tegevusala]],Table4[[Tegevusala kood]:[Tegevusala alanimetus]],4,FALSE)</f>
        <v>Muu elamu- ja kommunaalmajanduse tegevus</v>
      </c>
      <c r="E12" t="str">
        <f>VLOOKUP(Table3[[#This Row],[Tegevusala nimetus2]],Table4[[Tegevusala nimetus]:[Tegevusala koondnimetus]],2,FALSE)</f>
        <v>Elamu- ja kommunaalmajandus</v>
      </c>
      <c r="F12" s="30" t="s">
        <v>850</v>
      </c>
      <c r="G12" s="30" t="s">
        <v>862</v>
      </c>
      <c r="H12" s="40">
        <v>3400</v>
      </c>
      <c r="I12" t="s">
        <v>863</v>
      </c>
      <c r="J12">
        <v>500</v>
      </c>
    </row>
    <row r="13" spans="1:15" ht="15" customHeight="1" x14ac:dyDescent="0.25">
      <c r="A13" t="str">
        <f>LEFT(Table3[[#This Row],[Tegevusala]],2)</f>
        <v>06</v>
      </c>
      <c r="B13" t="s">
        <v>255</v>
      </c>
      <c r="C13" t="str">
        <f>VLOOKUP(Table3[[#This Row],[Tegevusala]],Table4[],2,FALSE)</f>
        <v xml:space="preserve"> Rägavere halduspiirkond</v>
      </c>
      <c r="D13" t="str">
        <f>VLOOKUP(Table3[[#This Row],[Tegevusala]],Table4[[Tegevusala kood]:[Tegevusala alanimetus]],4,FALSE)</f>
        <v>Muu elamu- ja kommunaalmajanduse tegevus</v>
      </c>
      <c r="E13" t="str">
        <f>VLOOKUP(Table3[[#This Row],[Tegevusala nimetus2]],Table4[[Tegevusala nimetus]:[Tegevusala koondnimetus]],2,FALSE)</f>
        <v>Elamu- ja kommunaalmajandus</v>
      </c>
      <c r="F13" s="30" t="s">
        <v>934</v>
      </c>
      <c r="G13" s="30" t="s">
        <v>862</v>
      </c>
      <c r="H13" s="40">
        <v>3400</v>
      </c>
      <c r="J13">
        <v>500</v>
      </c>
    </row>
    <row r="14" spans="1:15" ht="15" customHeight="1" x14ac:dyDescent="0.25">
      <c r="A14" s="3" t="str">
        <f>LEFT(Table3[[#This Row],[Tegevusala]],2)</f>
        <v>10</v>
      </c>
      <c r="B14" t="s">
        <v>380</v>
      </c>
      <c r="C14" s="3" t="str">
        <f>VLOOKUP(Table3[[#This Row],[Tegevusala]],Table4[],2,FALSE)</f>
        <v xml:space="preserve"> Hooldajad</v>
      </c>
      <c r="D14" s="3" t="str">
        <f>VLOOKUP(Table3[[#This Row],[Tegevusala]],Table4[[Tegevusala kood]:[Tegevusala alanimetus]],4,FALSE)</f>
        <v>Muu eakate sotsiaalne kaitse</v>
      </c>
      <c r="E14" s="3" t="str">
        <f>VLOOKUP(Table3[[#This Row],[Tegevusala nimetus2]],Table4[[Tegevusala nimetus]:[Tegevusala koondnimetus]],2,FALSE)</f>
        <v>Sotsiaalne kaitse</v>
      </c>
      <c r="F14" s="30" t="s">
        <v>462</v>
      </c>
      <c r="G14" s="30" t="s">
        <v>743</v>
      </c>
      <c r="H14" s="40">
        <v>1200</v>
      </c>
      <c r="I14" t="s">
        <v>951</v>
      </c>
      <c r="J14">
        <v>500</v>
      </c>
    </row>
    <row r="15" spans="1:15" ht="15" customHeight="1" x14ac:dyDescent="0.25">
      <c r="A15" s="3" t="str">
        <f>LEFT(Table3[[#This Row],[Tegevusala]],2)</f>
        <v>10</v>
      </c>
      <c r="B15" t="s">
        <v>380</v>
      </c>
      <c r="C15" s="3" t="str">
        <f>VLOOKUP(Table3[[#This Row],[Tegevusala]],Table4[],2,FALSE)</f>
        <v xml:space="preserve"> Hooldajad</v>
      </c>
      <c r="D15" s="3" t="str">
        <f>VLOOKUP(Table3[[#This Row],[Tegevusala]],Table4[[Tegevusala kood]:[Tegevusala alanimetus]],4,FALSE)</f>
        <v>Muu eakate sotsiaalne kaitse</v>
      </c>
      <c r="E15" s="3" t="str">
        <f>VLOOKUP(Table3[[#This Row],[Tegevusala nimetus2]],Table4[[Tegevusala nimetus]:[Tegevusala koondnimetus]],2,FALSE)</f>
        <v>Sotsiaalne kaitse</v>
      </c>
      <c r="F15" s="30" t="s">
        <v>462</v>
      </c>
      <c r="G15" s="30" t="s">
        <v>952</v>
      </c>
      <c r="H15" s="40">
        <v>405.6</v>
      </c>
      <c r="I15" t="s">
        <v>951</v>
      </c>
      <c r="J15">
        <v>506</v>
      </c>
    </row>
    <row r="16" spans="1:15" ht="15" customHeight="1" x14ac:dyDescent="0.25">
      <c r="A16" s="80" t="str">
        <f>LEFT(Table3[[#This Row],[Tegevusala]],2)</f>
        <v>06</v>
      </c>
      <c r="B16" s="78" t="s">
        <v>261</v>
      </c>
      <c r="C16" s="80" t="str">
        <f>VLOOKUP(Table3[[#This Row],[Tegevusala]],Table4[],2,FALSE)</f>
        <v xml:space="preserve"> Viru Jaagupi halduspiirkond</v>
      </c>
      <c r="D16" s="80" t="str">
        <f>VLOOKUP(Table3[[#This Row],[Tegevusala]],Table4[[Tegevusala kood]:[Tegevusala alanimetus]],4,FALSE)</f>
        <v>Muu elamu- ja kommunaalmajanduse tegevus</v>
      </c>
      <c r="E16" s="80" t="str">
        <f>VLOOKUP(Table3[[#This Row],[Tegevusala nimetus2]],Table4[[Tegevusala nimetus]:[Tegevusala koondnimetus]],2,FALSE)</f>
        <v>Elamu- ja kommunaalmajandus</v>
      </c>
      <c r="F16" s="82" t="s">
        <v>992</v>
      </c>
      <c r="G16" s="78" t="s">
        <v>1020</v>
      </c>
      <c r="H16" s="79">
        <v>7000</v>
      </c>
      <c r="I16" s="78" t="s">
        <v>994</v>
      </c>
      <c r="J16" s="78">
        <v>5511</v>
      </c>
      <c r="K16" s="78"/>
      <c r="L16" s="78"/>
      <c r="M16" s="78"/>
      <c r="N16" s="78"/>
      <c r="O16" s="78"/>
    </row>
    <row r="17" spans="1:15" ht="15" customHeight="1" x14ac:dyDescent="0.25">
      <c r="A17" s="80" t="str">
        <f>LEFT(Table3[[#This Row],[Tegevusala]],2)</f>
        <v>06</v>
      </c>
      <c r="B17" s="78" t="s">
        <v>267</v>
      </c>
      <c r="C17" s="80" t="str">
        <f>VLOOKUP(Table3[[#This Row],[Tegevusala]],Table4[],2,FALSE)</f>
        <v xml:space="preserve"> Kalmistud</v>
      </c>
      <c r="D17" s="80" t="str">
        <f>VLOOKUP(Table3[[#This Row],[Tegevusala]],Table4[[Tegevusala kood]:[Tegevusala alanimetus]],4,FALSE)</f>
        <v>Muu elamu- ja kommunaalmajanduse tegevus</v>
      </c>
      <c r="E17" s="80" t="str">
        <f>VLOOKUP(Table3[[#This Row],[Tegevusala nimetus2]],Table4[[Tegevusala nimetus]:[Tegevusala koondnimetus]],2,FALSE)</f>
        <v>Elamu- ja kommunaalmajandus</v>
      </c>
      <c r="F17" s="82" t="s">
        <v>1023</v>
      </c>
      <c r="G17" s="78" t="s">
        <v>1024</v>
      </c>
      <c r="H17" s="79">
        <v>2000</v>
      </c>
      <c r="I17" s="78"/>
      <c r="J17" s="78">
        <v>5511</v>
      </c>
      <c r="K17" s="78"/>
      <c r="L17" s="78"/>
      <c r="M17" s="78"/>
      <c r="N17" s="78"/>
      <c r="O17" s="78"/>
    </row>
    <row r="18" spans="1:15" ht="15" customHeight="1" x14ac:dyDescent="0.25">
      <c r="A18" s="80" t="str">
        <f>LEFT(Table3[[#This Row],[Tegevusala]],2)</f>
        <v>06</v>
      </c>
      <c r="B18" s="78" t="s">
        <v>267</v>
      </c>
      <c r="C18" s="80" t="str">
        <f>VLOOKUP(Table3[[#This Row],[Tegevusala]],Table4[],2,FALSE)</f>
        <v xml:space="preserve"> Kalmistud</v>
      </c>
      <c r="D18" s="80" t="str">
        <f>VLOOKUP(Table3[[#This Row],[Tegevusala]],Table4[[Tegevusala kood]:[Tegevusala alanimetus]],4,FALSE)</f>
        <v>Muu elamu- ja kommunaalmajanduse tegevus</v>
      </c>
      <c r="E18" s="80" t="str">
        <f>VLOOKUP(Table3[[#This Row],[Tegevusala nimetus2]],Table4[[Tegevusala nimetus]:[Tegevusala koondnimetus]],2,FALSE)</f>
        <v>Elamu- ja kommunaalmajandus</v>
      </c>
      <c r="F18" s="82" t="s">
        <v>1023</v>
      </c>
      <c r="G18" s="78" t="s">
        <v>1025</v>
      </c>
      <c r="H18" s="79">
        <v>10000</v>
      </c>
      <c r="I18" s="78"/>
      <c r="J18" s="78">
        <v>5512</v>
      </c>
      <c r="K18" s="78"/>
      <c r="L18" s="78"/>
      <c r="M18" s="78"/>
      <c r="N18" s="78"/>
      <c r="O18" s="78"/>
    </row>
    <row r="19" spans="1:15" ht="15" customHeight="1" x14ac:dyDescent="0.25">
      <c r="A19" s="32" t="str">
        <f>LEFT(Table3[[#This Row],[Tegevusala]],2)</f>
        <v>08</v>
      </c>
      <c r="B19" s="8" t="s">
        <v>296</v>
      </c>
      <c r="C19" s="32" t="str">
        <f>VLOOKUP(Table3[[#This Row],[Tegevusala]],Table4[],2,FALSE)</f>
        <v xml:space="preserve"> Vinni Raamatukogu</v>
      </c>
      <c r="D19" s="32" t="str">
        <f>VLOOKUP(Table3[[#This Row],[Tegevusala]],Table4[[Tegevusala kood]:[Tegevusala alanimetus]],4,FALSE)</f>
        <v>Raamatukogud</v>
      </c>
      <c r="E19" s="32" t="str">
        <f>VLOOKUP(Table3[[#This Row],[Tegevusala nimetus2]],Table4[[Tegevusala nimetus]:[Tegevusala koondnimetus]],2,FALSE)</f>
        <v>Vabaaeg, kultuur ja religioon</v>
      </c>
      <c r="F19" s="8" t="s">
        <v>1055</v>
      </c>
      <c r="G19" s="8" t="s">
        <v>1075</v>
      </c>
      <c r="H19" s="43"/>
      <c r="I19" s="8"/>
      <c r="J19" s="8"/>
      <c r="K19" s="8"/>
      <c r="L19" s="8"/>
      <c r="M19" s="8"/>
      <c r="N19" s="8"/>
      <c r="O19" s="8"/>
    </row>
    <row r="20" spans="1:15" ht="15" customHeight="1" x14ac:dyDescent="0.25">
      <c r="A20" s="32" t="str">
        <f>LEFT(Table3[[#This Row],[Tegevusala]],2)</f>
        <v>08</v>
      </c>
      <c r="B20" s="8" t="s">
        <v>296</v>
      </c>
      <c r="C20" s="32" t="str">
        <f>VLOOKUP(Table3[[#This Row],[Tegevusala]],Table4[],2,FALSE)</f>
        <v xml:space="preserve"> Vinni Raamatukogu</v>
      </c>
      <c r="D20" s="32" t="str">
        <f>VLOOKUP(Table3[[#This Row],[Tegevusala]],Table4[[Tegevusala kood]:[Tegevusala alanimetus]],4,FALSE)</f>
        <v>Raamatukogud</v>
      </c>
      <c r="E20" s="32" t="str">
        <f>VLOOKUP(Table3[[#This Row],[Tegevusala nimetus2]],Table4[[Tegevusala nimetus]:[Tegevusala koondnimetus]],2,FALSE)</f>
        <v>Vabaaeg, kultuur ja religioon</v>
      </c>
      <c r="F20" s="8" t="s">
        <v>1055</v>
      </c>
      <c r="G20" s="8" t="s">
        <v>1076</v>
      </c>
      <c r="H20" s="43"/>
      <c r="I20" s="8"/>
      <c r="J20" s="8"/>
      <c r="K20" s="8"/>
      <c r="L20" s="8"/>
      <c r="M20" s="8"/>
      <c r="N20" s="8"/>
      <c r="O20" s="8"/>
    </row>
    <row r="21" spans="1:15" ht="15" customHeight="1" x14ac:dyDescent="0.25">
      <c r="A21" s="32" t="str">
        <f>LEFT(Table3[[#This Row],[Tegevusala]],2)</f>
        <v>08</v>
      </c>
      <c r="B21" s="8" t="s">
        <v>296</v>
      </c>
      <c r="C21" s="32" t="str">
        <f>VLOOKUP(Table3[[#This Row],[Tegevusala]],Table4[],2,FALSE)</f>
        <v xml:space="preserve"> Vinni Raamatukogu</v>
      </c>
      <c r="D21" s="32" t="str">
        <f>VLOOKUP(Table3[[#This Row],[Tegevusala]],Table4[[Tegevusala kood]:[Tegevusala alanimetus]],4,FALSE)</f>
        <v>Raamatukogud</v>
      </c>
      <c r="E21" s="32" t="str">
        <f>VLOOKUP(Table3[[#This Row],[Tegevusala nimetus2]],Table4[[Tegevusala nimetus]:[Tegevusala koondnimetus]],2,FALSE)</f>
        <v>Vabaaeg, kultuur ja religioon</v>
      </c>
      <c r="F21" s="8" t="s">
        <v>1055</v>
      </c>
      <c r="G21" s="8" t="s">
        <v>1077</v>
      </c>
      <c r="H21" s="43"/>
      <c r="I21" s="8"/>
      <c r="J21" s="8"/>
      <c r="K21" s="8"/>
      <c r="L21" s="8"/>
      <c r="M21" s="8"/>
      <c r="N21" s="8"/>
      <c r="O21" s="8"/>
    </row>
    <row r="22" spans="1:15" ht="15" customHeight="1" x14ac:dyDescent="0.25">
      <c r="A22" s="32" t="str">
        <f>LEFT(Table3[[#This Row],[Tegevusala]],2)</f>
        <v>08</v>
      </c>
      <c r="B22" s="8" t="s">
        <v>296</v>
      </c>
      <c r="C22" s="32" t="str">
        <f>VLOOKUP(Table3[[#This Row],[Tegevusala]],Table4[],2,FALSE)</f>
        <v xml:space="preserve"> Vinni Raamatukogu</v>
      </c>
      <c r="D22" s="32" t="str">
        <f>VLOOKUP(Table3[[#This Row],[Tegevusala]],Table4[[Tegevusala kood]:[Tegevusala alanimetus]],4,FALSE)</f>
        <v>Raamatukogud</v>
      </c>
      <c r="E22" s="32" t="str">
        <f>VLOOKUP(Table3[[#This Row],[Tegevusala nimetus2]],Table4[[Tegevusala nimetus]:[Tegevusala koondnimetus]],2,FALSE)</f>
        <v>Vabaaeg, kultuur ja religioon</v>
      </c>
      <c r="F22" s="8" t="s">
        <v>1055</v>
      </c>
      <c r="G22" s="8" t="s">
        <v>1078</v>
      </c>
      <c r="H22" s="43"/>
      <c r="I22" s="8"/>
      <c r="J22" s="8"/>
      <c r="K22" s="8"/>
      <c r="L22" s="8"/>
      <c r="M22" s="8"/>
      <c r="N22" s="8"/>
      <c r="O22" s="8"/>
    </row>
    <row r="23" spans="1:15" ht="15" customHeight="1" x14ac:dyDescent="0.25">
      <c r="A23" s="32" t="str">
        <f>LEFT(Table3[[#This Row],[Tegevusala]],2)</f>
        <v>08</v>
      </c>
      <c r="B23" s="8" t="s">
        <v>296</v>
      </c>
      <c r="C23" s="32" t="str">
        <f>VLOOKUP(Table3[[#This Row],[Tegevusala]],Table4[],2,FALSE)</f>
        <v xml:space="preserve"> Vinni Raamatukogu</v>
      </c>
      <c r="D23" s="32" t="str">
        <f>VLOOKUP(Table3[[#This Row],[Tegevusala]],Table4[[Tegevusala kood]:[Tegevusala alanimetus]],4,FALSE)</f>
        <v>Raamatukogud</v>
      </c>
      <c r="E23" s="32" t="str">
        <f>VLOOKUP(Table3[[#This Row],[Tegevusala nimetus2]],Table4[[Tegevusala nimetus]:[Tegevusala koondnimetus]],2,FALSE)</f>
        <v>Vabaaeg, kultuur ja religioon</v>
      </c>
      <c r="F23" s="8" t="s">
        <v>1055</v>
      </c>
      <c r="G23" s="8" t="s">
        <v>1079</v>
      </c>
      <c r="H23" s="43"/>
      <c r="I23" s="8"/>
      <c r="J23" s="8"/>
      <c r="K23" s="8"/>
      <c r="L23" s="8"/>
      <c r="M23" s="8"/>
      <c r="N23" s="8"/>
      <c r="O23" s="8"/>
    </row>
    <row r="24" spans="1:15" ht="15" customHeight="1" x14ac:dyDescent="0.25">
      <c r="A24" s="32" t="str">
        <f>LEFT(Table3[[#This Row],[Tegevusala]],2)</f>
        <v>08</v>
      </c>
      <c r="B24" s="8" t="s">
        <v>296</v>
      </c>
      <c r="C24" s="32" t="str">
        <f>VLOOKUP(Table3[[#This Row],[Tegevusala]],Table4[],2,FALSE)</f>
        <v xml:space="preserve"> Vinni Raamatukogu</v>
      </c>
      <c r="D24" s="32" t="str">
        <f>VLOOKUP(Table3[[#This Row],[Tegevusala]],Table4[[Tegevusala kood]:[Tegevusala alanimetus]],4,FALSE)</f>
        <v>Raamatukogud</v>
      </c>
      <c r="E24" s="32" t="str">
        <f>VLOOKUP(Table3[[#This Row],[Tegevusala nimetus2]],Table4[[Tegevusala nimetus]:[Tegevusala koondnimetus]],2,FALSE)</f>
        <v>Vabaaeg, kultuur ja religioon</v>
      </c>
      <c r="F24" s="8" t="s">
        <v>1055</v>
      </c>
      <c r="G24" s="8" t="s">
        <v>1080</v>
      </c>
      <c r="H24" s="43"/>
      <c r="I24" s="8"/>
      <c r="J24" s="8"/>
      <c r="K24" s="8"/>
      <c r="L24" s="8"/>
      <c r="M24" s="8"/>
      <c r="N24" s="8"/>
      <c r="O24" s="8"/>
    </row>
    <row r="25" spans="1:15" ht="15" customHeight="1" x14ac:dyDescent="0.25">
      <c r="A25" s="80" t="str">
        <f>LEFT(Table3[[#This Row],[Tegevusala]],2)</f>
        <v>08</v>
      </c>
      <c r="B25" s="78" t="s">
        <v>296</v>
      </c>
      <c r="C25" s="80" t="str">
        <f>VLOOKUP(Table3[[#This Row],[Tegevusala]],Table4[],2,FALSE)</f>
        <v xml:space="preserve"> Vinni Raamatukogu</v>
      </c>
      <c r="D25" s="80" t="str">
        <f>VLOOKUP(Table3[[#This Row],[Tegevusala]],Table4[[Tegevusala kood]:[Tegevusala alanimetus]],4,FALSE)</f>
        <v>Raamatukogud</v>
      </c>
      <c r="E25" s="80" t="str">
        <f>VLOOKUP(Table3[[#This Row],[Tegevusala nimetus2]],Table4[[Tegevusala nimetus]:[Tegevusala koondnimetus]],2,FALSE)</f>
        <v>Vabaaeg, kultuur ja religioon</v>
      </c>
      <c r="F25" s="78" t="s">
        <v>1055</v>
      </c>
      <c r="G25" s="78" t="s">
        <v>2185</v>
      </c>
      <c r="H25" s="79">
        <v>5000</v>
      </c>
      <c r="I25" s="78" t="s">
        <v>2181</v>
      </c>
      <c r="J25" s="78">
        <v>5511</v>
      </c>
      <c r="K25" s="78"/>
      <c r="L25" s="78"/>
      <c r="M25" s="78"/>
      <c r="N25" s="78"/>
      <c r="O25" s="78"/>
    </row>
    <row r="26" spans="1:15" ht="15" customHeight="1" x14ac:dyDescent="0.25">
      <c r="A26" s="80" t="str">
        <f>LEFT(Table3[[#This Row],[Tegevusala]],2)</f>
        <v>08</v>
      </c>
      <c r="B26" s="78" t="s">
        <v>296</v>
      </c>
      <c r="C26" s="80" t="str">
        <f>VLOOKUP(Table3[[#This Row],[Tegevusala]],Table4[],2,FALSE)</f>
        <v xml:space="preserve"> Vinni Raamatukogu</v>
      </c>
      <c r="D26" s="80" t="str">
        <f>VLOOKUP(Table3[[#This Row],[Tegevusala]],Table4[[Tegevusala kood]:[Tegevusala alanimetus]],4,FALSE)</f>
        <v>Raamatukogud</v>
      </c>
      <c r="E26" s="80" t="str">
        <f>VLOOKUP(Table3[[#This Row],[Tegevusala nimetus2]],Table4[[Tegevusala nimetus]:[Tegevusala koondnimetus]],2,FALSE)</f>
        <v>Vabaaeg, kultuur ja religioon</v>
      </c>
      <c r="F26" s="78" t="s">
        <v>1055</v>
      </c>
      <c r="G26" s="78" t="s">
        <v>1081</v>
      </c>
      <c r="H26" s="79">
        <v>300</v>
      </c>
      <c r="I26" s="78"/>
      <c r="J26" s="78">
        <v>5515</v>
      </c>
      <c r="K26" s="78"/>
      <c r="L26" s="78"/>
      <c r="M26" s="78"/>
      <c r="N26" s="78"/>
      <c r="O26" s="78"/>
    </row>
    <row r="27" spans="1:15" ht="15" customHeight="1" x14ac:dyDescent="0.25">
      <c r="A27" s="80" t="str">
        <f>LEFT(Table3[[#This Row],[Tegevusala]],2)</f>
        <v>08</v>
      </c>
      <c r="B27" s="78" t="s">
        <v>298</v>
      </c>
      <c r="C27" s="80" t="str">
        <f>VLOOKUP(Table3[[#This Row],[Tegevusala]],Table4[],2,FALSE)</f>
        <v xml:space="preserve"> Viru-Jaagupi Raamatukogu</v>
      </c>
      <c r="D27" s="80" t="str">
        <f>VLOOKUP(Table3[[#This Row],[Tegevusala]],Table4[[Tegevusala kood]:[Tegevusala alanimetus]],4,FALSE)</f>
        <v>Raamatukogud</v>
      </c>
      <c r="E27" s="80" t="str">
        <f>VLOOKUP(Table3[[#This Row],[Tegevusala nimetus2]],Table4[[Tegevusala nimetus]:[Tegevusala koondnimetus]],2,FALSE)</f>
        <v>Vabaaeg, kultuur ja religioon</v>
      </c>
      <c r="F27" s="82" t="s">
        <v>1083</v>
      </c>
      <c r="G27" s="78" t="s">
        <v>1085</v>
      </c>
      <c r="H27" s="79">
        <v>400</v>
      </c>
      <c r="I27" s="78" t="s">
        <v>1086</v>
      </c>
      <c r="J27" s="78">
        <v>5514</v>
      </c>
      <c r="K27" s="78"/>
      <c r="L27" s="78"/>
      <c r="M27" s="78"/>
      <c r="N27" s="78"/>
      <c r="O27" s="78"/>
    </row>
    <row r="28" spans="1:15" ht="15" customHeight="1" x14ac:dyDescent="0.25">
      <c r="A28" s="3" t="str">
        <f>LEFT(Table3[[#This Row],[Tegevusala]],2)</f>
        <v>08</v>
      </c>
      <c r="B28" t="s">
        <v>320</v>
      </c>
      <c r="C28" s="3" t="str">
        <f>VLOOKUP(Table3[[#This Row],[Tegevusala]],Table4[],2,FALSE)</f>
        <v xml:space="preserve"> Laekvere Rahvamaja</v>
      </c>
      <c r="D28" s="3" t="str">
        <f>VLOOKUP(Table3[[#This Row],[Tegevusala]],Table4[[Tegevusala kood]:[Tegevusala alanimetus]],4,FALSE)</f>
        <v>Rahvakultuur</v>
      </c>
      <c r="E28" s="3" t="str">
        <f>VLOOKUP(Table3[[#This Row],[Tegevusala nimetus2]],Table4[[Tegevusala nimetus]:[Tegevusala koondnimetus]],2,FALSE)</f>
        <v>Vabaaeg, kultuur ja religioon</v>
      </c>
      <c r="F28" s="30" t="s">
        <v>1110</v>
      </c>
      <c r="G28" s="30" t="s">
        <v>1112</v>
      </c>
      <c r="H28" s="40">
        <v>1969</v>
      </c>
      <c r="I28" t="s">
        <v>1113</v>
      </c>
      <c r="J28">
        <v>500</v>
      </c>
    </row>
    <row r="29" spans="1:15" ht="15" customHeight="1" x14ac:dyDescent="0.25">
      <c r="A29" s="3" t="str">
        <f>LEFT(Table3[[#This Row],[Tegevusala]],2)</f>
        <v>08</v>
      </c>
      <c r="B29" t="s">
        <v>320</v>
      </c>
      <c r="C29" s="3" t="str">
        <f>VLOOKUP(Table3[[#This Row],[Tegevusala]],Table4[],2,FALSE)</f>
        <v xml:space="preserve"> Laekvere Rahvamaja</v>
      </c>
      <c r="D29" s="3" t="str">
        <f>VLOOKUP(Table3[[#This Row],[Tegevusala]],Table4[[Tegevusala kood]:[Tegevusala alanimetus]],4,FALSE)</f>
        <v>Rahvakultuur</v>
      </c>
      <c r="E29" s="3" t="str">
        <f>VLOOKUP(Table3[[#This Row],[Tegevusala nimetus2]],Table4[[Tegevusala nimetus]:[Tegevusala koondnimetus]],2,FALSE)</f>
        <v>Vabaaeg, kultuur ja religioon</v>
      </c>
      <c r="F29" t="s">
        <v>1110</v>
      </c>
      <c r="G29" t="s">
        <v>1114</v>
      </c>
      <c r="H29" s="40">
        <v>2000</v>
      </c>
      <c r="I29" t="s">
        <v>1115</v>
      </c>
      <c r="J29">
        <v>5511</v>
      </c>
    </row>
    <row r="30" spans="1:15" ht="15" customHeight="1" x14ac:dyDescent="0.25">
      <c r="A30" s="3" t="str">
        <f>LEFT(Table3[[#This Row],[Tegevusala]],2)</f>
        <v>08</v>
      </c>
      <c r="B30" t="s">
        <v>320</v>
      </c>
      <c r="C30" s="3" t="str">
        <f>VLOOKUP(Table3[[#This Row],[Tegevusala]],Table4[],2,FALSE)</f>
        <v xml:space="preserve"> Laekvere Rahvamaja</v>
      </c>
      <c r="D30" s="3" t="str">
        <f>VLOOKUP(Table3[[#This Row],[Tegevusala]],Table4[[Tegevusala kood]:[Tegevusala alanimetus]],4,FALSE)</f>
        <v>Rahvakultuur</v>
      </c>
      <c r="E30" s="3" t="str">
        <f>VLOOKUP(Table3[[#This Row],[Tegevusala nimetus2]],Table4[[Tegevusala nimetus]:[Tegevusala koondnimetus]],2,FALSE)</f>
        <v>Vabaaeg, kultuur ja religioon</v>
      </c>
      <c r="F30" t="s">
        <v>1110</v>
      </c>
      <c r="G30" t="s">
        <v>102</v>
      </c>
      <c r="H30" s="40">
        <v>300</v>
      </c>
      <c r="I30" t="s">
        <v>1116</v>
      </c>
      <c r="J30">
        <v>5504</v>
      </c>
    </row>
    <row r="31" spans="1:15" ht="15" customHeight="1" x14ac:dyDescent="0.25">
      <c r="A31" s="32" t="str">
        <f>LEFT(Table3[[#This Row],[Tegevusala]],2)</f>
        <v>08</v>
      </c>
      <c r="B31" s="8" t="s">
        <v>320</v>
      </c>
      <c r="C31" s="32" t="str">
        <f>VLOOKUP(Table3[[#This Row],[Tegevusala]],Table4[],2,FALSE)</f>
        <v xml:space="preserve"> Laekvere Rahvamaja</v>
      </c>
      <c r="D31" s="32" t="str">
        <f>VLOOKUP(Table3[[#This Row],[Tegevusala]],Table4[[Tegevusala kood]:[Tegevusala alanimetus]],4,FALSE)</f>
        <v>Rahvakultuur</v>
      </c>
      <c r="E31" s="32" t="str">
        <f>VLOOKUP(Table3[[#This Row],[Tegevusala nimetus2]],Table4[[Tegevusala nimetus]:[Tegevusala koondnimetus]],2,FALSE)</f>
        <v>Vabaaeg, kultuur ja religioon</v>
      </c>
      <c r="F31" s="8" t="s">
        <v>1110</v>
      </c>
      <c r="G31" s="8" t="s">
        <v>1117</v>
      </c>
      <c r="H31" s="43">
        <v>1200</v>
      </c>
      <c r="I31" s="8" t="s">
        <v>1118</v>
      </c>
      <c r="J31" s="8">
        <v>5525</v>
      </c>
      <c r="K31" s="8"/>
      <c r="L31" s="8"/>
      <c r="M31" s="8"/>
      <c r="N31" s="8"/>
      <c r="O31" s="8"/>
    </row>
    <row r="32" spans="1:15" ht="15" customHeight="1" x14ac:dyDescent="0.25">
      <c r="A32" s="3" t="str">
        <f>LEFT(Table3[[#This Row],[Tegevusala]],2)</f>
        <v>08</v>
      </c>
      <c r="B32" t="s">
        <v>320</v>
      </c>
      <c r="C32" s="3" t="str">
        <f>VLOOKUP(Table3[[#This Row],[Tegevusala]],Table4[],2,FALSE)</f>
        <v xml:space="preserve"> Laekvere Rahvamaja</v>
      </c>
      <c r="D32" s="3" t="str">
        <f>VLOOKUP(Table3[[#This Row],[Tegevusala]],Table4[[Tegevusala kood]:[Tegevusala alanimetus]],4,FALSE)</f>
        <v>Rahvakultuur</v>
      </c>
      <c r="E32" s="3" t="str">
        <f>VLOOKUP(Table3[[#This Row],[Tegevusala nimetus2]],Table4[[Tegevusala nimetus]:[Tegevusala koondnimetus]],2,FALSE)</f>
        <v>Vabaaeg, kultuur ja religioon</v>
      </c>
      <c r="F32" t="s">
        <v>1110</v>
      </c>
      <c r="G32" t="s">
        <v>1069</v>
      </c>
      <c r="H32" s="40">
        <v>1000</v>
      </c>
      <c r="I32" t="s">
        <v>1135</v>
      </c>
      <c r="J32">
        <v>5514</v>
      </c>
    </row>
    <row r="33" spans="1:15" ht="15" customHeight="1" x14ac:dyDescent="0.25">
      <c r="A33" s="3" t="str">
        <f>LEFT(Table3[[#This Row],[Tegevusala]],2)</f>
        <v>08</v>
      </c>
      <c r="B33" t="s">
        <v>320</v>
      </c>
      <c r="C33" s="3" t="str">
        <f>VLOOKUP(Table3[[#This Row],[Tegevusala]],Table4[],2,FALSE)</f>
        <v xml:space="preserve"> Laekvere Rahvamaja</v>
      </c>
      <c r="D33" s="3" t="str">
        <f>VLOOKUP(Table3[[#This Row],[Tegevusala]],Table4[[Tegevusala kood]:[Tegevusala alanimetus]],4,FALSE)</f>
        <v>Rahvakultuur</v>
      </c>
      <c r="E33" s="3" t="str">
        <f>VLOOKUP(Table3[[#This Row],[Tegevusala nimetus2]],Table4[[Tegevusala nimetus]:[Tegevusala koondnimetus]],2,FALSE)</f>
        <v>Vabaaeg, kultuur ja religioon</v>
      </c>
      <c r="F33" t="s">
        <v>1110</v>
      </c>
      <c r="G33" t="s">
        <v>1133</v>
      </c>
      <c r="H33" s="40">
        <v>3000</v>
      </c>
      <c r="I33" t="s">
        <v>1134</v>
      </c>
      <c r="J33">
        <v>5515</v>
      </c>
    </row>
    <row r="34" spans="1:15" ht="15" customHeight="1" x14ac:dyDescent="0.25">
      <c r="A34" s="3" t="str">
        <f>LEFT(Table3[[#This Row],[Tegevusala]],2)</f>
        <v>09</v>
      </c>
      <c r="B34" t="s">
        <v>325</v>
      </c>
      <c r="C34" s="3" t="str">
        <f>VLOOKUP(Table3[[#This Row],[Tegevusala]],Table4[],2,FALSE)</f>
        <v xml:space="preserve"> Vinni Lasteaed</v>
      </c>
      <c r="D34" s="3" t="str">
        <f>VLOOKUP(Table3[[#This Row],[Tegevusala]],Table4[[Tegevusala kood]:[Tegevusala alanimetus]],4,FALSE)</f>
        <v>Alusharidus</v>
      </c>
      <c r="E34" s="3" t="str">
        <f>VLOOKUP(Table3[[#This Row],[Tegevusala nimetus2]],Table4[[Tegevusala nimetus]:[Tegevusala koondnimetus]],2,FALSE)</f>
        <v>Haridus</v>
      </c>
      <c r="F34" t="s">
        <v>1203</v>
      </c>
      <c r="G34" t="s">
        <v>1197</v>
      </c>
      <c r="H34" s="40">
        <v>14000</v>
      </c>
      <c r="I34" t="s">
        <v>1198</v>
      </c>
      <c r="J34">
        <v>5512</v>
      </c>
    </row>
    <row r="35" spans="1:15" ht="15" customHeight="1" x14ac:dyDescent="0.25">
      <c r="A35" s="3" t="str">
        <f>LEFT(Table3[[#This Row],[Tegevusala]],2)</f>
        <v>09</v>
      </c>
      <c r="B35" t="s">
        <v>325</v>
      </c>
      <c r="C35" s="3" t="str">
        <f>VLOOKUP(Table3[[#This Row],[Tegevusala]],Table4[],2,FALSE)</f>
        <v xml:space="preserve"> Vinni Lasteaed</v>
      </c>
      <c r="D35" s="3" t="str">
        <f>VLOOKUP(Table3[[#This Row],[Tegevusala]],Table4[[Tegevusala kood]:[Tegevusala alanimetus]],4,FALSE)</f>
        <v>Alusharidus</v>
      </c>
      <c r="E35" s="3" t="str">
        <f>VLOOKUP(Table3[[#This Row],[Tegevusala nimetus2]],Table4[[Tegevusala nimetus]:[Tegevusala koondnimetus]],2,FALSE)</f>
        <v>Haridus</v>
      </c>
      <c r="F35" t="s">
        <v>1203</v>
      </c>
      <c r="G35" t="s">
        <v>1199</v>
      </c>
      <c r="H35" s="40">
        <v>20000</v>
      </c>
      <c r="I35" t="s">
        <v>1200</v>
      </c>
      <c r="J35">
        <v>1551</v>
      </c>
    </row>
    <row r="36" spans="1:15" ht="15" customHeight="1" x14ac:dyDescent="0.25">
      <c r="A36" s="80" t="str">
        <f>LEFT(Table3[[#This Row],[Tegevusala]],2)</f>
        <v>09</v>
      </c>
      <c r="B36" s="78" t="s">
        <v>325</v>
      </c>
      <c r="C36" s="80" t="str">
        <f>VLOOKUP(Table3[[#This Row],[Tegevusala]],Table4[],2,FALSE)</f>
        <v xml:space="preserve"> Vinni Lasteaed</v>
      </c>
      <c r="D36" s="80" t="str">
        <f>VLOOKUP(Table3[[#This Row],[Tegevusala]],Table4[[Tegevusala kood]:[Tegevusala alanimetus]],4,FALSE)</f>
        <v>Alusharidus</v>
      </c>
      <c r="E36" s="80" t="str">
        <f>VLOOKUP(Table3[[#This Row],[Tegevusala nimetus2]],Table4[[Tegevusala nimetus]:[Tegevusala koondnimetus]],2,FALSE)</f>
        <v>Haridus</v>
      </c>
      <c r="F36" s="78" t="s">
        <v>1203</v>
      </c>
      <c r="G36" s="78" t="s">
        <v>1199</v>
      </c>
      <c r="H36" s="79">
        <v>5000</v>
      </c>
      <c r="I36" s="78" t="s">
        <v>2187</v>
      </c>
      <c r="J36" s="78">
        <v>5511</v>
      </c>
      <c r="K36" s="78"/>
      <c r="L36" s="78"/>
      <c r="M36" s="78"/>
      <c r="N36" s="78"/>
      <c r="O36" s="78"/>
    </row>
    <row r="37" spans="1:15" ht="15" customHeight="1" x14ac:dyDescent="0.25">
      <c r="A37" s="80" t="str">
        <f>LEFT(Table3[[#This Row],[Tegevusala]],2)</f>
        <v>09</v>
      </c>
      <c r="B37" s="78" t="s">
        <v>325</v>
      </c>
      <c r="C37" s="80" t="str">
        <f>VLOOKUP(Table3[[#This Row],[Tegevusala]],Table4[],2,FALSE)</f>
        <v xml:space="preserve"> Vinni Lasteaed</v>
      </c>
      <c r="D37" s="80" t="str">
        <f>VLOOKUP(Table3[[#This Row],[Tegevusala]],Table4[[Tegevusala kood]:[Tegevusala alanimetus]],4,FALSE)</f>
        <v>Alusharidus</v>
      </c>
      <c r="E37" s="80" t="str">
        <f>VLOOKUP(Table3[[#This Row],[Tegevusala nimetus2]],Table4[[Tegevusala nimetus]:[Tegevusala koondnimetus]],2,FALSE)</f>
        <v>Haridus</v>
      </c>
      <c r="F37" s="78" t="s">
        <v>1203</v>
      </c>
      <c r="G37" s="78" t="s">
        <v>2186</v>
      </c>
      <c r="H37" s="79"/>
      <c r="I37" s="78"/>
      <c r="J37" s="78">
        <v>5511</v>
      </c>
      <c r="K37" s="78"/>
      <c r="L37" s="78"/>
      <c r="M37" s="78"/>
      <c r="N37" s="78"/>
      <c r="O37" s="78"/>
    </row>
    <row r="38" spans="1:15" ht="15" customHeight="1" x14ac:dyDescent="0.25">
      <c r="A38" s="3" t="str">
        <f>LEFT(Table3[[#This Row],[Tegevusala]],2)</f>
        <v>09</v>
      </c>
      <c r="B38" t="s">
        <v>325</v>
      </c>
      <c r="C38" s="3" t="str">
        <f>VLOOKUP(Table3[[#This Row],[Tegevusala]],Table4[],2,FALSE)</f>
        <v xml:space="preserve"> Vinni Lasteaed</v>
      </c>
      <c r="D38" s="3" t="str">
        <f>VLOOKUP(Table3[[#This Row],[Tegevusala]],Table4[[Tegevusala kood]:[Tegevusala alanimetus]],4,FALSE)</f>
        <v>Alusharidus</v>
      </c>
      <c r="E38" s="3" t="str">
        <f>VLOOKUP(Table3[[#This Row],[Tegevusala nimetus2]],Table4[[Tegevusala nimetus]:[Tegevusala koondnimetus]],2,FALSE)</f>
        <v>Haridus</v>
      </c>
      <c r="F38" t="s">
        <v>1203</v>
      </c>
      <c r="G38" t="s">
        <v>1201</v>
      </c>
      <c r="H38" s="40">
        <v>8000</v>
      </c>
      <c r="I38" t="s">
        <v>1202</v>
      </c>
      <c r="J38">
        <v>5511</v>
      </c>
    </row>
    <row r="39" spans="1:15" ht="15" customHeight="1" x14ac:dyDescent="0.25">
      <c r="A39" s="3" t="str">
        <f>LEFT(Table3[[#This Row],[Tegevusala]],2)</f>
        <v>09</v>
      </c>
      <c r="B39" t="s">
        <v>327</v>
      </c>
      <c r="C39" s="3" t="str">
        <f>VLOOKUP(Table3[[#This Row],[Tegevusala]],Table4[],2,FALSE)</f>
        <v xml:space="preserve"> Pajusti Lasteaed</v>
      </c>
      <c r="D39" s="3" t="str">
        <f>VLOOKUP(Table3[[#This Row],[Tegevusala]],Table4[[Tegevusala kood]:[Tegevusala alanimetus]],4,FALSE)</f>
        <v>Alusharidus</v>
      </c>
      <c r="E39" s="3" t="str">
        <f>VLOOKUP(Table3[[#This Row],[Tegevusala nimetus2]],Table4[[Tegevusala nimetus]:[Tegevusala koondnimetus]],2,FALSE)</f>
        <v>Haridus</v>
      </c>
      <c r="F39" t="s">
        <v>1273</v>
      </c>
      <c r="G39" t="s">
        <v>1278</v>
      </c>
      <c r="H39" s="40">
        <v>2775</v>
      </c>
      <c r="I39" t="s">
        <v>1275</v>
      </c>
      <c r="J39">
        <v>5515</v>
      </c>
    </row>
    <row r="40" spans="1:15" ht="15" customHeight="1" x14ac:dyDescent="0.25">
      <c r="A40" s="3" t="str">
        <f>LEFT(Table3[[#This Row],[Tegevusala]],2)</f>
        <v>09</v>
      </c>
      <c r="B40" t="s">
        <v>327</v>
      </c>
      <c r="C40" s="3" t="str">
        <f>VLOOKUP(Table3[[#This Row],[Tegevusala]],Table4[],2,FALSE)</f>
        <v xml:space="preserve"> Pajusti Lasteaed</v>
      </c>
      <c r="D40" s="3" t="str">
        <f>VLOOKUP(Table3[[#This Row],[Tegevusala]],Table4[[Tegevusala kood]:[Tegevusala alanimetus]],4,FALSE)</f>
        <v>Alusharidus</v>
      </c>
      <c r="E40" s="3" t="str">
        <f>VLOOKUP(Table3[[#This Row],[Tegevusala nimetus2]],Table4[[Tegevusala nimetus]:[Tegevusala koondnimetus]],2,FALSE)</f>
        <v>Haridus</v>
      </c>
      <c r="F40" t="s">
        <v>1273</v>
      </c>
      <c r="G40" t="s">
        <v>1279</v>
      </c>
      <c r="H40" s="40">
        <v>17602</v>
      </c>
      <c r="I40" t="s">
        <v>1280</v>
      </c>
      <c r="J40">
        <v>1551</v>
      </c>
    </row>
    <row r="41" spans="1:15" ht="15" customHeight="1" x14ac:dyDescent="0.25">
      <c r="A41" s="80" t="str">
        <f>LEFT(Table3[[#This Row],[Tegevusala]],2)</f>
        <v>09</v>
      </c>
      <c r="B41" s="78" t="s">
        <v>327</v>
      </c>
      <c r="C41" s="80" t="str">
        <f>VLOOKUP(Table3[[#This Row],[Tegevusala]],Table4[],2,FALSE)</f>
        <v xml:space="preserve"> Pajusti Lasteaed</v>
      </c>
      <c r="D41" s="80" t="str">
        <f>VLOOKUP(Table3[[#This Row],[Tegevusala]],Table4[[Tegevusala kood]:[Tegevusala alanimetus]],4,FALSE)</f>
        <v>Alusharidus</v>
      </c>
      <c r="E41" s="80" t="str">
        <f>VLOOKUP(Table3[[#This Row],[Tegevusala nimetus2]],Table4[[Tegevusala nimetus]:[Tegevusala koondnimetus]],2,FALSE)</f>
        <v>Haridus</v>
      </c>
      <c r="F41" s="78" t="s">
        <v>1273</v>
      </c>
      <c r="G41" s="78" t="s">
        <v>2188</v>
      </c>
      <c r="H41" s="79">
        <v>5500</v>
      </c>
      <c r="I41" s="78"/>
      <c r="J41" s="78">
        <v>5511</v>
      </c>
      <c r="K41" s="78"/>
      <c r="L41" s="78"/>
      <c r="M41" s="78"/>
      <c r="N41" s="78"/>
      <c r="O41" s="78"/>
    </row>
    <row r="42" spans="1:15" ht="15" customHeight="1" x14ac:dyDescent="0.25">
      <c r="A42" s="3" t="str">
        <f>LEFT(Table3[[#This Row],[Tegevusala]],2)</f>
        <v>09</v>
      </c>
      <c r="B42" t="s">
        <v>327</v>
      </c>
      <c r="C42" s="3" t="str">
        <f>VLOOKUP(Table3[[#This Row],[Tegevusala]],Table4[],2,FALSE)</f>
        <v xml:space="preserve"> Pajusti Lasteaed</v>
      </c>
      <c r="D42" s="3" t="str">
        <f>VLOOKUP(Table3[[#This Row],[Tegevusala]],Table4[[Tegevusala kood]:[Tegevusala alanimetus]],4,FALSE)</f>
        <v>Alusharidus</v>
      </c>
      <c r="E42" s="3" t="str">
        <f>VLOOKUP(Table3[[#This Row],[Tegevusala nimetus2]],Table4[[Tegevusala nimetus]:[Tegevusala koondnimetus]],2,FALSE)</f>
        <v>Haridus</v>
      </c>
      <c r="F42" t="s">
        <v>1273</v>
      </c>
      <c r="G42" t="s">
        <v>1276</v>
      </c>
      <c r="H42" s="40">
        <v>130000</v>
      </c>
      <c r="I42" t="s">
        <v>1277</v>
      </c>
      <c r="J42">
        <v>1551</v>
      </c>
    </row>
    <row r="43" spans="1:15" x14ac:dyDescent="0.25">
      <c r="A43" s="80" t="str">
        <f>LEFT(Table3[[#This Row],[Tegevusala]],2)</f>
        <v>09</v>
      </c>
      <c r="B43" s="78" t="s">
        <v>345</v>
      </c>
      <c r="C43" s="80" t="str">
        <f>VLOOKUP(Table3[[#This Row],[Tegevusala]],Table4[],2,FALSE)</f>
        <v xml:space="preserve"> Vinni pajusti Gümnaasium</v>
      </c>
      <c r="D43" s="80" t="str">
        <f>VLOOKUP(Table3[[#This Row],[Tegevusala]],Table4[[Tegevusala kood]:[Tegevusala alanimetus]],4,FALSE)</f>
        <v>Põhihariduse otsekulud</v>
      </c>
      <c r="E43" s="80" t="str">
        <f>VLOOKUP(Table3[[#This Row],[Tegevusala nimetus2]],Table4[[Tegevusala nimetus]:[Tegevusala koondnimetus]],2,FALSE)</f>
        <v>Haridus</v>
      </c>
      <c r="F43" s="78" t="s">
        <v>1449</v>
      </c>
      <c r="G43" s="78" t="s">
        <v>1450</v>
      </c>
      <c r="H43" s="79">
        <v>10000</v>
      </c>
      <c r="I43" s="78" t="s">
        <v>1451</v>
      </c>
      <c r="J43" s="78">
        <v>5515</v>
      </c>
      <c r="K43" s="78"/>
      <c r="L43" s="78"/>
      <c r="M43" s="78"/>
      <c r="N43" s="78"/>
      <c r="O43" s="78"/>
    </row>
    <row r="44" spans="1:15" x14ac:dyDescent="0.25">
      <c r="A44" s="80" t="str">
        <f>LEFT(Table3[[#This Row],[Tegevusala]],2)</f>
        <v>09</v>
      </c>
      <c r="B44" s="78" t="s">
        <v>345</v>
      </c>
      <c r="C44" s="80" t="str">
        <f>VLOOKUP(Table3[[#This Row],[Tegevusala]],Table4[],2,FALSE)</f>
        <v xml:space="preserve"> Vinni pajusti Gümnaasium</v>
      </c>
      <c r="D44" s="80" t="str">
        <f>VLOOKUP(Table3[[#This Row],[Tegevusala]],Table4[[Tegevusala kood]:[Tegevusala alanimetus]],4,FALSE)</f>
        <v>Põhihariduse otsekulud</v>
      </c>
      <c r="E44" s="80" t="str">
        <f>VLOOKUP(Table3[[#This Row],[Tegevusala nimetus2]],Table4[[Tegevusala nimetus]:[Tegevusala koondnimetus]],2,FALSE)</f>
        <v>Haridus</v>
      </c>
      <c r="F44" s="78" t="s">
        <v>1449</v>
      </c>
      <c r="G44" s="78" t="s">
        <v>1452</v>
      </c>
      <c r="H44" s="79">
        <v>2500</v>
      </c>
      <c r="I44" s="78" t="s">
        <v>1453</v>
      </c>
      <c r="J44" s="78">
        <v>5515</v>
      </c>
      <c r="K44" s="78"/>
      <c r="L44" s="78"/>
      <c r="M44" s="78"/>
      <c r="N44" s="78"/>
      <c r="O44" s="78"/>
    </row>
    <row r="45" spans="1:15" x14ac:dyDescent="0.25">
      <c r="A45" s="80" t="str">
        <f>LEFT(Table3[[#This Row],[Tegevusala]],2)</f>
        <v>09</v>
      </c>
      <c r="B45" s="78" t="s">
        <v>345</v>
      </c>
      <c r="C45" s="80" t="str">
        <f>VLOOKUP(Table3[[#This Row],[Tegevusala]],Table4[],2,FALSE)</f>
        <v xml:space="preserve"> Vinni pajusti Gümnaasium</v>
      </c>
      <c r="D45" s="80" t="str">
        <f>VLOOKUP(Table3[[#This Row],[Tegevusala]],Table4[[Tegevusala kood]:[Tegevusala alanimetus]],4,FALSE)</f>
        <v>Põhihariduse otsekulud</v>
      </c>
      <c r="E45" s="80" t="str">
        <f>VLOOKUP(Table3[[#This Row],[Tegevusala nimetus2]],Table4[[Tegevusala nimetus]:[Tegevusala koondnimetus]],2,FALSE)</f>
        <v>Haridus</v>
      </c>
      <c r="F45" s="78" t="s">
        <v>1449</v>
      </c>
      <c r="G45" s="78" t="s">
        <v>1454</v>
      </c>
      <c r="H45" s="79">
        <v>1000</v>
      </c>
      <c r="I45" s="78" t="s">
        <v>1455</v>
      </c>
      <c r="J45" s="78">
        <v>5514</v>
      </c>
      <c r="K45" s="78"/>
      <c r="L45" s="78"/>
      <c r="M45" s="78"/>
      <c r="N45" s="78"/>
      <c r="O45" s="78"/>
    </row>
    <row r="46" spans="1:15" x14ac:dyDescent="0.25">
      <c r="A46" s="80" t="str">
        <f>LEFT(Table3[[#This Row],[Tegevusala]],2)</f>
        <v>09</v>
      </c>
      <c r="B46" s="78" t="s">
        <v>345</v>
      </c>
      <c r="C46" s="80" t="str">
        <f>VLOOKUP(Table3[[#This Row],[Tegevusala]],Table4[],2,FALSE)</f>
        <v xml:space="preserve"> Vinni pajusti Gümnaasium</v>
      </c>
      <c r="D46" s="80" t="str">
        <f>VLOOKUP(Table3[[#This Row],[Tegevusala]],Table4[[Tegevusala kood]:[Tegevusala alanimetus]],4,FALSE)</f>
        <v>Põhihariduse otsekulud</v>
      </c>
      <c r="E46" s="80" t="str">
        <f>VLOOKUP(Table3[[#This Row],[Tegevusala nimetus2]],Table4[[Tegevusala nimetus]:[Tegevusala koondnimetus]],2,FALSE)</f>
        <v>Haridus</v>
      </c>
      <c r="F46" s="78" t="s">
        <v>1449</v>
      </c>
      <c r="G46" s="78" t="s">
        <v>1456</v>
      </c>
      <c r="H46" s="79">
        <v>8500</v>
      </c>
      <c r="I46" s="78" t="s">
        <v>1457</v>
      </c>
      <c r="J46" s="78">
        <v>5515</v>
      </c>
      <c r="K46" s="78"/>
      <c r="L46" s="78"/>
      <c r="M46" s="78"/>
      <c r="N46" s="78"/>
      <c r="O46" s="78"/>
    </row>
    <row r="47" spans="1:15" x14ac:dyDescent="0.25">
      <c r="A47" s="80" t="str">
        <f>LEFT(Table3[[#This Row],[Tegevusala]],2)</f>
        <v>09</v>
      </c>
      <c r="B47" s="78" t="s">
        <v>345</v>
      </c>
      <c r="C47" s="80" t="str">
        <f>VLOOKUP(Table3[[#This Row],[Tegevusala]],Table4[],2,FALSE)</f>
        <v xml:space="preserve"> Vinni pajusti Gümnaasium</v>
      </c>
      <c r="D47" s="80" t="str">
        <f>VLOOKUP(Table3[[#This Row],[Tegevusala]],Table4[[Tegevusala kood]:[Tegevusala alanimetus]],4,FALSE)</f>
        <v>Põhihariduse otsekulud</v>
      </c>
      <c r="E47" s="80" t="str">
        <f>VLOOKUP(Table3[[#This Row],[Tegevusala nimetus2]],Table4[[Tegevusala nimetus]:[Tegevusala koondnimetus]],2,FALSE)</f>
        <v>Haridus</v>
      </c>
      <c r="F47" s="78" t="s">
        <v>1449</v>
      </c>
      <c r="G47" s="78" t="s">
        <v>1458</v>
      </c>
      <c r="H47" s="79">
        <v>2500</v>
      </c>
      <c r="I47" s="78" t="s">
        <v>1459</v>
      </c>
      <c r="J47" s="78">
        <v>5514</v>
      </c>
      <c r="K47" s="78"/>
      <c r="L47" s="78"/>
      <c r="M47" s="78"/>
      <c r="N47" s="78"/>
      <c r="O47" s="78"/>
    </row>
    <row r="48" spans="1:15" x14ac:dyDescent="0.25">
      <c r="A48" s="80" t="str">
        <f>LEFT(Table3[[#This Row],[Tegevusala]],2)</f>
        <v>09</v>
      </c>
      <c r="B48" s="78" t="s">
        <v>345</v>
      </c>
      <c r="C48" s="80" t="str">
        <f>VLOOKUP(Table3[[#This Row],[Tegevusala]],Table4[],2,FALSE)</f>
        <v xml:space="preserve"> Vinni pajusti Gümnaasium</v>
      </c>
      <c r="D48" s="80" t="str">
        <f>VLOOKUP(Table3[[#This Row],[Tegevusala]],Table4[[Tegevusala kood]:[Tegevusala alanimetus]],4,FALSE)</f>
        <v>Põhihariduse otsekulud</v>
      </c>
      <c r="E48" s="80" t="str">
        <f>VLOOKUP(Table3[[#This Row],[Tegevusala nimetus2]],Table4[[Tegevusala nimetus]:[Tegevusala koondnimetus]],2,FALSE)</f>
        <v>Haridus</v>
      </c>
      <c r="F48" s="78" t="s">
        <v>1449</v>
      </c>
      <c r="G48" s="78" t="s">
        <v>1460</v>
      </c>
      <c r="H48" s="79">
        <v>1000</v>
      </c>
      <c r="I48" s="78" t="s">
        <v>1461</v>
      </c>
      <c r="J48" s="78">
        <v>5511</v>
      </c>
      <c r="K48" s="78"/>
      <c r="L48" s="78"/>
      <c r="M48" s="78"/>
      <c r="N48" s="78"/>
      <c r="O48" s="78"/>
    </row>
    <row r="49" spans="1:15" x14ac:dyDescent="0.25">
      <c r="A49" s="80" t="str">
        <f>LEFT(Table3[[#This Row],[Tegevusala]],2)</f>
        <v>09</v>
      </c>
      <c r="B49" s="78" t="s">
        <v>345</v>
      </c>
      <c r="C49" s="80" t="str">
        <f>VLOOKUP(Table3[[#This Row],[Tegevusala]],Table4[],2,FALSE)</f>
        <v xml:space="preserve"> Vinni pajusti Gümnaasium</v>
      </c>
      <c r="D49" s="80" t="str">
        <f>VLOOKUP(Table3[[#This Row],[Tegevusala]],Table4[[Tegevusala kood]:[Tegevusala alanimetus]],4,FALSE)</f>
        <v>Põhihariduse otsekulud</v>
      </c>
      <c r="E49" s="80" t="str">
        <f>VLOOKUP(Table3[[#This Row],[Tegevusala nimetus2]],Table4[[Tegevusala nimetus]:[Tegevusala koondnimetus]],2,FALSE)</f>
        <v>Haridus</v>
      </c>
      <c r="F49" s="78" t="s">
        <v>1449</v>
      </c>
      <c r="G49" s="78" t="s">
        <v>1462</v>
      </c>
      <c r="H49" s="79">
        <v>8000</v>
      </c>
      <c r="I49" s="78" t="s">
        <v>1463</v>
      </c>
      <c r="J49" s="78">
        <v>5515</v>
      </c>
      <c r="K49" s="78"/>
      <c r="L49" s="78"/>
      <c r="M49" s="78"/>
      <c r="N49" s="78"/>
      <c r="O49" s="78"/>
    </row>
    <row r="50" spans="1:15" ht="15" customHeight="1" x14ac:dyDescent="0.25">
      <c r="A50" s="3" t="str">
        <f>LEFT(Table3[[#This Row],[Tegevusala]],2)</f>
        <v>10</v>
      </c>
      <c r="B50" t="s">
        <v>372</v>
      </c>
      <c r="C50" s="3" t="str">
        <f>VLOOKUP(Table3[[#This Row],[Tegevusala]],Table4[],2,FALSE)</f>
        <v xml:space="preserve"> Tammiku Kodu</v>
      </c>
      <c r="D50" s="3" t="str">
        <f>VLOOKUP(Table3[[#This Row],[Tegevusala]],Table4[[Tegevusala kood]:[Tegevusala alanimetus]],4,FALSE)</f>
        <v>Eakate sotsiaalhoolekande asutused</v>
      </c>
      <c r="E50" s="3" t="str">
        <f>VLOOKUP(Table3[[#This Row],[Tegevusala nimetus2]],Table4[[Tegevusala nimetus]:[Tegevusala koondnimetus]],2,FALSE)</f>
        <v>Sotsiaalne kaitse</v>
      </c>
      <c r="F50" t="s">
        <v>1594</v>
      </c>
      <c r="G50" t="s">
        <v>1595</v>
      </c>
      <c r="H50" s="40">
        <v>5000</v>
      </c>
      <c r="I50" t="s">
        <v>1596</v>
      </c>
      <c r="J50">
        <v>5511</v>
      </c>
    </row>
    <row r="51" spans="1:15" ht="15" customHeight="1" x14ac:dyDescent="0.25">
      <c r="A51" s="3" t="str">
        <f>LEFT(Table3[[#This Row],[Tegevusala]],2)</f>
        <v>08</v>
      </c>
      <c r="B51" t="s">
        <v>302</v>
      </c>
      <c r="C51" s="3" t="str">
        <f>VLOOKUP(Table3[[#This Row],[Tegevusala]],Table4[],2,FALSE)</f>
        <v xml:space="preserve"> Tudu Raamatukogu</v>
      </c>
      <c r="D51" s="3" t="str">
        <f>VLOOKUP(Table3[[#This Row],[Tegevusala]],Table4[[Tegevusala kood]:[Tegevusala alanimetus]],4,FALSE)</f>
        <v>Raamatukogud</v>
      </c>
      <c r="E51" s="3" t="str">
        <f>VLOOKUP(Table3[[#This Row],[Tegevusala nimetus2]],Table4[[Tegevusala nimetus]:[Tegevusala koondnimetus]],2,FALSE)</f>
        <v>Vabaaeg, kultuur ja religioon</v>
      </c>
      <c r="F51" t="s">
        <v>1672</v>
      </c>
      <c r="G51" t="s">
        <v>1673</v>
      </c>
      <c r="H51" s="40">
        <v>200</v>
      </c>
      <c r="J51">
        <v>5515</v>
      </c>
    </row>
    <row r="52" spans="1:15" ht="15" customHeight="1" x14ac:dyDescent="0.25">
      <c r="A52" s="3" t="str">
        <f>LEFT(Table3[[#This Row],[Tegevusala]],2)</f>
        <v>09</v>
      </c>
      <c r="B52" t="s">
        <v>343</v>
      </c>
      <c r="C52" s="3" t="str">
        <f>VLOOKUP(Table3[[#This Row],[Tegevusala]],Table4[],2,FALSE)</f>
        <v xml:space="preserve"> Tudu kool</v>
      </c>
      <c r="D52" s="3" t="str">
        <f>VLOOKUP(Table3[[#This Row],[Tegevusala]],Table4[[Tegevusala kood]:[Tegevusala alanimetus]],4,FALSE)</f>
        <v>Põhihariduse otsekulud</v>
      </c>
      <c r="E52" s="3" t="str">
        <f>VLOOKUP(Table3[[#This Row],[Tegevusala nimetus2]],Table4[[Tegevusala nimetus]:[Tegevusala koondnimetus]],2,FALSE)</f>
        <v>Haridus</v>
      </c>
      <c r="F52" s="14" t="s">
        <v>1726</v>
      </c>
      <c r="G52" t="s">
        <v>1727</v>
      </c>
      <c r="H52" s="40">
        <v>1600</v>
      </c>
      <c r="I52" t="s">
        <v>1728</v>
      </c>
      <c r="J52">
        <v>5511</v>
      </c>
    </row>
    <row r="53" spans="1:15" ht="15" customHeight="1" x14ac:dyDescent="0.25">
      <c r="A53" s="3" t="str">
        <f>LEFT(Table3[[#This Row],[Tegevusala]],2)</f>
        <v>09</v>
      </c>
      <c r="B53" t="s">
        <v>343</v>
      </c>
      <c r="C53" s="3" t="str">
        <f>VLOOKUP(Table3[[#This Row],[Tegevusala]],Table4[],2,FALSE)</f>
        <v xml:space="preserve"> Tudu kool</v>
      </c>
      <c r="D53" s="3" t="str">
        <f>VLOOKUP(Table3[[#This Row],[Tegevusala]],Table4[[Tegevusala kood]:[Tegevusala alanimetus]],4,FALSE)</f>
        <v>Põhihariduse otsekulud</v>
      </c>
      <c r="E53" s="3" t="str">
        <f>VLOOKUP(Table3[[#This Row],[Tegevusala nimetus2]],Table4[[Tegevusala nimetus]:[Tegevusala koondnimetus]],2,FALSE)</f>
        <v>Haridus</v>
      </c>
      <c r="F53" s="14" t="s">
        <v>1726</v>
      </c>
      <c r="G53" t="s">
        <v>1729</v>
      </c>
      <c r="H53" s="40">
        <v>2500</v>
      </c>
      <c r="I53" t="s">
        <v>1730</v>
      </c>
      <c r="J53">
        <v>5511</v>
      </c>
    </row>
    <row r="54" spans="1:15" ht="15" customHeight="1" x14ac:dyDescent="0.25">
      <c r="A54" s="3" t="str">
        <f>LEFT(Table3[[#This Row],[Tegevusala]],2)</f>
        <v>08</v>
      </c>
      <c r="B54" t="s">
        <v>316</v>
      </c>
      <c r="C54" s="3" t="str">
        <f>VLOOKUP(Table3[[#This Row],[Tegevusala]],Table4[],2,FALSE)</f>
        <v xml:space="preserve"> Roela Rahvamaja</v>
      </c>
      <c r="D54" s="3" t="str">
        <f>VLOOKUP(Table3[[#This Row],[Tegevusala]],Table4[[Tegevusala kood]:[Tegevusala alanimetus]],4,FALSE)</f>
        <v>Rahvakultuur</v>
      </c>
      <c r="E54" s="3" t="str">
        <f>VLOOKUP(Table3[[#This Row],[Tegevusala nimetus2]],Table4[[Tegevusala nimetus]:[Tegevusala koondnimetus]],2,FALSE)</f>
        <v>Vabaaeg, kultuur ja religioon</v>
      </c>
      <c r="F54" s="30" t="s">
        <v>1788</v>
      </c>
      <c r="G54" s="30" t="s">
        <v>1789</v>
      </c>
      <c r="H54" s="40">
        <v>1100</v>
      </c>
      <c r="I54" t="s">
        <v>1790</v>
      </c>
      <c r="J54">
        <v>500</v>
      </c>
    </row>
    <row r="55" spans="1:15" ht="15" customHeight="1" x14ac:dyDescent="0.25">
      <c r="A55" s="3" t="str">
        <f>LEFT(Table3[[#This Row],[Tegevusala]],2)</f>
        <v>08</v>
      </c>
      <c r="B55" t="s">
        <v>316</v>
      </c>
      <c r="C55" s="3" t="str">
        <f>VLOOKUP(Table3[[#This Row],[Tegevusala]],Table4[],2,FALSE)</f>
        <v xml:space="preserve"> Roela Rahvamaja</v>
      </c>
      <c r="D55" s="3" t="str">
        <f>VLOOKUP(Table3[[#This Row],[Tegevusala]],Table4[[Tegevusala kood]:[Tegevusala alanimetus]],4,FALSE)</f>
        <v>Rahvakultuur</v>
      </c>
      <c r="E55" s="3" t="str">
        <f>VLOOKUP(Table3[[#This Row],[Tegevusala nimetus2]],Table4[[Tegevusala nimetus]:[Tegevusala koondnimetus]],2,FALSE)</f>
        <v>Vabaaeg, kultuur ja religioon</v>
      </c>
      <c r="F55" t="s">
        <v>1788</v>
      </c>
      <c r="G55" t="s">
        <v>1791</v>
      </c>
      <c r="H55" s="40">
        <v>3000</v>
      </c>
      <c r="J55">
        <v>5515</v>
      </c>
    </row>
    <row r="56" spans="1:15" ht="15" customHeight="1" x14ac:dyDescent="0.25">
      <c r="A56" s="34" t="str">
        <f>LEFT(Table3[[#This Row],[Tegevusala]],2)</f>
        <v>09</v>
      </c>
      <c r="B56" s="33" t="s">
        <v>343</v>
      </c>
      <c r="C56" s="34" t="str">
        <f>VLOOKUP(Table3[[#This Row],[Tegevusala]],Table4[],2,FALSE)</f>
        <v xml:space="preserve"> Tudu kool</v>
      </c>
      <c r="D56" s="34" t="str">
        <f>VLOOKUP(Table3[[#This Row],[Tegevusala]],Table4[[Tegevusala kood]:[Tegevusala alanimetus]],4,FALSE)</f>
        <v>Põhihariduse otsekulud</v>
      </c>
      <c r="E56" s="34" t="str">
        <f>VLOOKUP(Table3[[#This Row],[Tegevusala nimetus2]],Table4[[Tegevusala nimetus]:[Tegevusala koondnimetus]],2,FALSE)</f>
        <v>Haridus</v>
      </c>
      <c r="F56" s="33" t="s">
        <v>1726</v>
      </c>
      <c r="G56" s="33" t="s">
        <v>1831</v>
      </c>
      <c r="H56" s="47">
        <v>1500</v>
      </c>
      <c r="I56" s="33"/>
      <c r="J56" s="33">
        <v>5511</v>
      </c>
      <c r="K56" s="33"/>
      <c r="L56" s="33"/>
      <c r="M56" s="33"/>
      <c r="N56" s="33"/>
      <c r="O56" s="33"/>
    </row>
    <row r="57" spans="1:15" ht="15" customHeight="1" x14ac:dyDescent="0.25">
      <c r="A57" s="34" t="str">
        <f>LEFT(Table3[[#This Row],[Tegevusala]],2)</f>
        <v>09</v>
      </c>
      <c r="B57" s="33" t="s">
        <v>343</v>
      </c>
      <c r="C57" s="34" t="str">
        <f>VLOOKUP(Table3[[#This Row],[Tegevusala]],Table4[],2,FALSE)</f>
        <v xml:space="preserve"> Tudu kool</v>
      </c>
      <c r="D57" s="34" t="str">
        <f>VLOOKUP(Table3[[#This Row],[Tegevusala]],Table4[[Tegevusala kood]:[Tegevusala alanimetus]],4,FALSE)</f>
        <v>Põhihariduse otsekulud</v>
      </c>
      <c r="E57" s="34" t="str">
        <f>VLOOKUP(Table3[[#This Row],[Tegevusala nimetus2]],Table4[[Tegevusala nimetus]:[Tegevusala koondnimetus]],2,FALSE)</f>
        <v>Haridus</v>
      </c>
      <c r="F57" s="33" t="s">
        <v>1726</v>
      </c>
      <c r="G57" s="33" t="s">
        <v>1829</v>
      </c>
      <c r="H57" s="47">
        <v>1600</v>
      </c>
      <c r="I57" s="33" t="s">
        <v>1830</v>
      </c>
      <c r="J57" s="33">
        <v>5511</v>
      </c>
      <c r="K57" s="33"/>
      <c r="L57" s="33"/>
      <c r="M57" s="33"/>
      <c r="N57" s="33"/>
      <c r="O57" s="33"/>
    </row>
    <row r="58" spans="1:15" ht="15" customHeight="1" x14ac:dyDescent="0.25">
      <c r="A58" s="3" t="str">
        <f>LEFT(Table3[[#This Row],[Tegevusala]],2)</f>
        <v>08</v>
      </c>
      <c r="B58" t="s">
        <v>314</v>
      </c>
      <c r="C58" s="3" t="str">
        <f>VLOOKUP(Table3[[#This Row],[Tegevusala]],Table4[],2,FALSE)</f>
        <v xml:space="preserve"> Pajusti klubi</v>
      </c>
      <c r="D58" s="3" t="str">
        <f>VLOOKUP(Table3[[#This Row],[Tegevusala]],Table4[[Tegevusala kood]:[Tegevusala alanimetus]],4,FALSE)</f>
        <v>Rahvakultuur</v>
      </c>
      <c r="E58" s="3" t="str">
        <f>VLOOKUP(Table3[[#This Row],[Tegevusala nimetus2]],Table4[[Tegevusala nimetus]:[Tegevusala koondnimetus]],2,FALSE)</f>
        <v>Vabaaeg, kultuur ja religioon</v>
      </c>
      <c r="F58" t="s">
        <v>1845</v>
      </c>
      <c r="G58" t="s">
        <v>1846</v>
      </c>
      <c r="H58" s="40">
        <v>1200</v>
      </c>
      <c r="J58">
        <v>5511</v>
      </c>
    </row>
    <row r="59" spans="1:15" ht="15" customHeight="1" x14ac:dyDescent="0.25">
      <c r="A59" s="3" t="str">
        <f>LEFT(Table3[[#This Row],[Tegevusala]],2)</f>
        <v>09</v>
      </c>
      <c r="B59" t="s">
        <v>335</v>
      </c>
      <c r="C59" s="3" t="str">
        <f>VLOOKUP(Table3[[#This Row],[Tegevusala]],Table4[],2,FALSE)</f>
        <v xml:space="preserve"> Laekvere Lasteaed</v>
      </c>
      <c r="D59" s="3" t="str">
        <f>VLOOKUP(Table3[[#This Row],[Tegevusala]],Table4[[Tegevusala kood]:[Tegevusala alanimetus]],4,FALSE)</f>
        <v>Alusharidus</v>
      </c>
      <c r="E59" s="3" t="str">
        <f>VLOOKUP(Table3[[#This Row],[Tegevusala nimetus2]],Table4[[Tegevusala nimetus]:[Tegevusala koondnimetus]],2,FALSE)</f>
        <v>Haridus</v>
      </c>
      <c r="F59" t="s">
        <v>1870</v>
      </c>
      <c r="G59" t="s">
        <v>1875</v>
      </c>
      <c r="H59" s="40">
        <v>5000</v>
      </c>
      <c r="I59" t="s">
        <v>1876</v>
      </c>
      <c r="J59">
        <v>5511</v>
      </c>
    </row>
    <row r="60" spans="1:15" ht="15" customHeight="1" x14ac:dyDescent="0.25">
      <c r="A60" s="3" t="str">
        <f>LEFT(Table3[[#This Row],[Tegevusala]],2)</f>
        <v>09</v>
      </c>
      <c r="B60" t="s">
        <v>335</v>
      </c>
      <c r="C60" s="3" t="str">
        <f>VLOOKUP(Table3[[#This Row],[Tegevusala]],Table4[],2,FALSE)</f>
        <v xml:space="preserve"> Laekvere Lasteaed</v>
      </c>
      <c r="D60" s="3" t="str">
        <f>VLOOKUP(Table3[[#This Row],[Tegevusala]],Table4[[Tegevusala kood]:[Tegevusala alanimetus]],4,FALSE)</f>
        <v>Alusharidus</v>
      </c>
      <c r="E60" s="3" t="str">
        <f>VLOOKUP(Table3[[#This Row],[Tegevusala nimetus2]],Table4[[Tegevusala nimetus]:[Tegevusala koondnimetus]],2,FALSE)</f>
        <v>Haridus</v>
      </c>
      <c r="F60" t="s">
        <v>1870</v>
      </c>
      <c r="G60" t="s">
        <v>1877</v>
      </c>
      <c r="H60" s="40">
        <v>2000</v>
      </c>
      <c r="I60" t="s">
        <v>1878</v>
      </c>
      <c r="J60">
        <v>5511</v>
      </c>
    </row>
    <row r="61" spans="1:15" ht="15" customHeight="1" x14ac:dyDescent="0.25">
      <c r="A61" s="3" t="str">
        <f>LEFT(Table3[[#This Row],[Tegevusala]],2)</f>
        <v>09</v>
      </c>
      <c r="B61" t="s">
        <v>335</v>
      </c>
      <c r="C61" s="3" t="str">
        <f>VLOOKUP(Table3[[#This Row],[Tegevusala]],Table4[],2,FALSE)</f>
        <v xml:space="preserve"> Laekvere Lasteaed</v>
      </c>
      <c r="D61" s="3" t="str">
        <f>VLOOKUP(Table3[[#This Row],[Tegevusala]],Table4[[Tegevusala kood]:[Tegevusala alanimetus]],4,FALSE)</f>
        <v>Alusharidus</v>
      </c>
      <c r="E61" s="3" t="str">
        <f>VLOOKUP(Table3[[#This Row],[Tegevusala nimetus2]],Table4[[Tegevusala nimetus]:[Tegevusala koondnimetus]],2,FALSE)</f>
        <v>Haridus</v>
      </c>
      <c r="F61" t="s">
        <v>1870</v>
      </c>
      <c r="G61" t="s">
        <v>1879</v>
      </c>
      <c r="H61" s="40">
        <v>2000</v>
      </c>
      <c r="I61" t="s">
        <v>1880</v>
      </c>
      <c r="J61">
        <v>5514</v>
      </c>
    </row>
    <row r="62" spans="1:15" ht="15" customHeight="1" x14ac:dyDescent="0.25">
      <c r="A62" s="3" t="str">
        <f>LEFT(Table3[[#This Row],[Tegevusala]],2)</f>
        <v>09</v>
      </c>
      <c r="B62" t="s">
        <v>335</v>
      </c>
      <c r="C62" s="3" t="str">
        <f>VLOOKUP(Table3[[#This Row],[Tegevusala]],Table4[],2,FALSE)</f>
        <v xml:space="preserve"> Laekvere Lasteaed</v>
      </c>
      <c r="D62" s="3" t="str">
        <f>VLOOKUP(Table3[[#This Row],[Tegevusala]],Table4[[Tegevusala kood]:[Tegevusala alanimetus]],4,FALSE)</f>
        <v>Alusharidus</v>
      </c>
      <c r="E62" s="3" t="str">
        <f>VLOOKUP(Table3[[#This Row],[Tegevusala nimetus2]],Table4[[Tegevusala nimetus]:[Tegevusala koondnimetus]],2,FALSE)</f>
        <v>Haridus</v>
      </c>
      <c r="F62" t="s">
        <v>1870</v>
      </c>
      <c r="G62" t="s">
        <v>1881</v>
      </c>
      <c r="H62" s="40">
        <v>1000</v>
      </c>
      <c r="I62" t="s">
        <v>1882</v>
      </c>
      <c r="J62">
        <v>5514</v>
      </c>
    </row>
    <row r="63" spans="1:15" ht="15" customHeight="1" x14ac:dyDescent="0.25">
      <c r="A63" s="3" t="str">
        <f>LEFT(Table3[[#This Row],[Tegevusala]],2)</f>
        <v>09</v>
      </c>
      <c r="B63" t="s">
        <v>340</v>
      </c>
      <c r="C63" s="3" t="str">
        <f>VLOOKUP(Table3[[#This Row],[Tegevusala]],Table4[],2,FALSE)</f>
        <v xml:space="preserve"> Muuga-laekvere kool-Laekvere õppehoone</v>
      </c>
      <c r="D63" s="3" t="str">
        <f>VLOOKUP(Table3[[#This Row],[Tegevusala]],Table4[[Tegevusala kood]:[Tegevusala alanimetus]],4,FALSE)</f>
        <v>Põhihariduse otsekulud</v>
      </c>
      <c r="E63" s="3" t="str">
        <f>VLOOKUP(Table3[[#This Row],[Tegevusala nimetus2]],Table4[[Tegevusala nimetus]:[Tegevusala koondnimetus]],2,FALSE)</f>
        <v>Haridus</v>
      </c>
      <c r="F63" t="s">
        <v>1870</v>
      </c>
      <c r="G63" t="s">
        <v>1895</v>
      </c>
      <c r="H63" s="40">
        <v>1000</v>
      </c>
      <c r="I63" t="s">
        <v>1896</v>
      </c>
      <c r="J63">
        <v>5511</v>
      </c>
    </row>
    <row r="64" spans="1:15" ht="15" customHeight="1" x14ac:dyDescent="0.25">
      <c r="A64" s="3" t="str">
        <f>LEFT(Table3[[#This Row],[Tegevusala]],2)</f>
        <v>09</v>
      </c>
      <c r="B64" t="s">
        <v>340</v>
      </c>
      <c r="C64" s="3" t="str">
        <f>VLOOKUP(Table3[[#This Row],[Tegevusala]],Table4[],2,FALSE)</f>
        <v xml:space="preserve"> Muuga-laekvere kool-Laekvere õppehoone</v>
      </c>
      <c r="D64" s="3" t="str">
        <f>VLOOKUP(Table3[[#This Row],[Tegevusala]],Table4[[Tegevusala kood]:[Tegevusala alanimetus]],4,FALSE)</f>
        <v>Põhihariduse otsekulud</v>
      </c>
      <c r="E64" s="3" t="str">
        <f>VLOOKUP(Table3[[#This Row],[Tegevusala nimetus2]],Table4[[Tegevusala nimetus]:[Tegevusala koondnimetus]],2,FALSE)</f>
        <v>Haridus</v>
      </c>
      <c r="F64" t="s">
        <v>1870</v>
      </c>
      <c r="G64" t="s">
        <v>1897</v>
      </c>
      <c r="H64" s="40">
        <v>500</v>
      </c>
      <c r="I64" t="s">
        <v>1898</v>
      </c>
      <c r="J64">
        <v>5515</v>
      </c>
    </row>
    <row r="65" spans="1:15" ht="15" customHeight="1" x14ac:dyDescent="0.25">
      <c r="A65" s="3" t="str">
        <f>LEFT(Table3[[#This Row],[Tegevusala]],2)</f>
        <v>09</v>
      </c>
      <c r="B65" t="s">
        <v>340</v>
      </c>
      <c r="C65" s="3" t="str">
        <f>VLOOKUP(Table3[[#This Row],[Tegevusala]],Table4[],2,FALSE)</f>
        <v xml:space="preserve"> Muuga-laekvere kool-Laekvere õppehoone</v>
      </c>
      <c r="D65" s="3" t="str">
        <f>VLOOKUP(Table3[[#This Row],[Tegevusala]],Table4[[Tegevusala kood]:[Tegevusala alanimetus]],4,FALSE)</f>
        <v>Põhihariduse otsekulud</v>
      </c>
      <c r="E65" s="3" t="str">
        <f>VLOOKUP(Table3[[#This Row],[Tegevusala nimetus2]],Table4[[Tegevusala nimetus]:[Tegevusala koondnimetus]],2,FALSE)</f>
        <v>Haridus</v>
      </c>
      <c r="F65" t="s">
        <v>1870</v>
      </c>
      <c r="G65" t="s">
        <v>1899</v>
      </c>
      <c r="H65" s="40">
        <v>1600</v>
      </c>
      <c r="I65" t="s">
        <v>1900</v>
      </c>
      <c r="J65">
        <v>5511</v>
      </c>
    </row>
    <row r="66" spans="1:15" ht="15" customHeight="1" x14ac:dyDescent="0.25">
      <c r="A66" s="3" t="str">
        <f>LEFT(Table3[[#This Row],[Tegevusala]],2)</f>
        <v>09</v>
      </c>
      <c r="B66" t="s">
        <v>340</v>
      </c>
      <c r="C66" s="3" t="str">
        <f>VLOOKUP(Table3[[#This Row],[Tegevusala]],Table4[],2,FALSE)</f>
        <v xml:space="preserve"> Muuga-laekvere kool-Laekvere õppehoone</v>
      </c>
      <c r="D66" s="3" t="str">
        <f>VLOOKUP(Table3[[#This Row],[Tegevusala]],Table4[[Tegevusala kood]:[Tegevusala alanimetus]],4,FALSE)</f>
        <v>Põhihariduse otsekulud</v>
      </c>
      <c r="E66" s="3" t="str">
        <f>VLOOKUP(Table3[[#This Row],[Tegevusala nimetus2]],Table4[[Tegevusala nimetus]:[Tegevusala koondnimetus]],2,FALSE)</f>
        <v>Haridus</v>
      </c>
      <c r="F66" t="s">
        <v>1870</v>
      </c>
      <c r="G66" t="s">
        <v>1901</v>
      </c>
      <c r="H66" s="40">
        <v>2000</v>
      </c>
      <c r="I66" t="s">
        <v>1902</v>
      </c>
      <c r="J66">
        <v>5515</v>
      </c>
    </row>
    <row r="67" spans="1:15" ht="15" customHeight="1" x14ac:dyDescent="0.25">
      <c r="A67" s="3" t="str">
        <f>LEFT(Table3[[#This Row],[Tegevusala]],2)</f>
        <v>09</v>
      </c>
      <c r="B67" t="s">
        <v>340</v>
      </c>
      <c r="C67" s="3" t="str">
        <f>VLOOKUP(Table3[[#This Row],[Tegevusala]],Table4[],2,FALSE)</f>
        <v xml:space="preserve"> Muuga-laekvere kool-Laekvere õppehoone</v>
      </c>
      <c r="D67" s="3" t="str">
        <f>VLOOKUP(Table3[[#This Row],[Tegevusala]],Table4[[Tegevusala kood]:[Tegevusala alanimetus]],4,FALSE)</f>
        <v>Põhihariduse otsekulud</v>
      </c>
      <c r="E67" s="3" t="str">
        <f>VLOOKUP(Table3[[#This Row],[Tegevusala nimetus2]],Table4[[Tegevusala nimetus]:[Tegevusala koondnimetus]],2,FALSE)</f>
        <v>Haridus</v>
      </c>
      <c r="F67" t="s">
        <v>1870</v>
      </c>
      <c r="G67" t="s">
        <v>1903</v>
      </c>
      <c r="H67" s="40">
        <v>2000</v>
      </c>
      <c r="I67" t="s">
        <v>1904</v>
      </c>
      <c r="J67">
        <v>5515</v>
      </c>
    </row>
    <row r="68" spans="1:15" ht="15" customHeight="1" x14ac:dyDescent="0.25">
      <c r="A68" s="3" t="str">
        <f>LEFT(Table3[[#This Row],[Tegevusala]],2)</f>
        <v>09</v>
      </c>
      <c r="B68" t="s">
        <v>340</v>
      </c>
      <c r="C68" s="3" t="str">
        <f>VLOOKUP(Table3[[#This Row],[Tegevusala]],Table4[],2,FALSE)</f>
        <v xml:space="preserve"> Muuga-laekvere kool-Laekvere õppehoone</v>
      </c>
      <c r="D68" s="3" t="str">
        <f>VLOOKUP(Table3[[#This Row],[Tegevusala]],Table4[[Tegevusala kood]:[Tegevusala alanimetus]],4,FALSE)</f>
        <v>Põhihariduse otsekulud</v>
      </c>
      <c r="E68" s="3" t="str">
        <f>VLOOKUP(Table3[[#This Row],[Tegevusala nimetus2]],Table4[[Tegevusala nimetus]:[Tegevusala koondnimetus]],2,FALSE)</f>
        <v>Haridus</v>
      </c>
      <c r="F68" t="s">
        <v>1870</v>
      </c>
      <c r="G68" t="s">
        <v>1905</v>
      </c>
      <c r="H68" s="40">
        <v>1500</v>
      </c>
      <c r="I68" t="s">
        <v>1906</v>
      </c>
      <c r="J68">
        <v>5511</v>
      </c>
    </row>
    <row r="69" spans="1:15" ht="15" customHeight="1" x14ac:dyDescent="0.25">
      <c r="A69" s="3" t="str">
        <f>LEFT(Table3[[#This Row],[Tegevusala]],2)</f>
        <v>09</v>
      </c>
      <c r="B69" t="s">
        <v>341</v>
      </c>
      <c r="C69" s="3" t="str">
        <f>VLOOKUP(Table3[[#This Row],[Tegevusala]],Table4[],2,FALSE)</f>
        <v xml:space="preserve"> Muuga Laekvere kool-Muuga õppehoone</v>
      </c>
      <c r="D69" s="3" t="str">
        <f>VLOOKUP(Table3[[#This Row],[Tegevusala]],Table4[[Tegevusala kood]:[Tegevusala alanimetus]],4,FALSE)</f>
        <v>Põhihariduse otsekulud</v>
      </c>
      <c r="E69" s="3" t="str">
        <f>VLOOKUP(Table3[[#This Row],[Tegevusala nimetus2]],Table4[[Tegevusala nimetus]:[Tegevusala koondnimetus]],2,FALSE)</f>
        <v>Haridus</v>
      </c>
      <c r="F69" t="s">
        <v>1870</v>
      </c>
      <c r="G69" t="s">
        <v>1908</v>
      </c>
      <c r="H69" s="40">
        <v>2100</v>
      </c>
      <c r="I69" t="s">
        <v>1896</v>
      </c>
      <c r="J69">
        <v>5511</v>
      </c>
    </row>
    <row r="70" spans="1:15" ht="15" customHeight="1" x14ac:dyDescent="0.25">
      <c r="A70" s="3" t="str">
        <f>LEFT(Table3[[#This Row],[Tegevusala]],2)</f>
        <v>09</v>
      </c>
      <c r="B70" t="s">
        <v>341</v>
      </c>
      <c r="C70" s="3" t="str">
        <f>VLOOKUP(Table3[[#This Row],[Tegevusala]],Table4[],2,FALSE)</f>
        <v xml:space="preserve"> Muuga Laekvere kool-Muuga õppehoone</v>
      </c>
      <c r="D70" s="3" t="str">
        <f>VLOOKUP(Table3[[#This Row],[Tegevusala]],Table4[[Tegevusala kood]:[Tegevusala alanimetus]],4,FALSE)</f>
        <v>Põhihariduse otsekulud</v>
      </c>
      <c r="E70" s="3" t="str">
        <f>VLOOKUP(Table3[[#This Row],[Tegevusala nimetus2]],Table4[[Tegevusala nimetus]:[Tegevusala koondnimetus]],2,FALSE)</f>
        <v>Haridus</v>
      </c>
      <c r="F70" t="s">
        <v>1870</v>
      </c>
      <c r="G70" t="s">
        <v>1903</v>
      </c>
      <c r="H70" s="40">
        <v>700</v>
      </c>
      <c r="I70" t="s">
        <v>1904</v>
      </c>
      <c r="J70">
        <v>5515</v>
      </c>
    </row>
    <row r="71" spans="1:15" ht="15" customHeight="1" x14ac:dyDescent="0.25">
      <c r="A71" s="3" t="str">
        <f>LEFT(Table3[[#This Row],[Tegevusala]],2)</f>
        <v>09</v>
      </c>
      <c r="B71" t="s">
        <v>341</v>
      </c>
      <c r="C71" s="3" t="str">
        <f>VLOOKUP(Table3[[#This Row],[Tegevusala]],Table4[],2,FALSE)</f>
        <v xml:space="preserve"> Muuga Laekvere kool-Muuga õppehoone</v>
      </c>
      <c r="D71" s="3" t="str">
        <f>VLOOKUP(Table3[[#This Row],[Tegevusala]],Table4[[Tegevusala kood]:[Tegevusala alanimetus]],4,FALSE)</f>
        <v>Põhihariduse otsekulud</v>
      </c>
      <c r="E71" s="3" t="str">
        <f>VLOOKUP(Table3[[#This Row],[Tegevusala nimetus2]],Table4[[Tegevusala nimetus]:[Tegevusala koondnimetus]],2,FALSE)</f>
        <v>Haridus</v>
      </c>
      <c r="F71" t="s">
        <v>1870</v>
      </c>
      <c r="G71" t="s">
        <v>1909</v>
      </c>
      <c r="H71" s="40">
        <v>1000</v>
      </c>
      <c r="I71" t="s">
        <v>1910</v>
      </c>
      <c r="J71">
        <v>5511</v>
      </c>
    </row>
    <row r="72" spans="1:15" ht="15" customHeight="1" x14ac:dyDescent="0.25">
      <c r="A72" s="34" t="str">
        <f>LEFT(Table3[[#This Row],[Tegevusala]],2)</f>
        <v>09</v>
      </c>
      <c r="B72" s="33" t="s">
        <v>327</v>
      </c>
      <c r="C72" s="34" t="str">
        <f>VLOOKUP(Table3[[#This Row],[Tegevusala]],Table4[],2,FALSE)</f>
        <v xml:space="preserve"> Pajusti Lasteaed</v>
      </c>
      <c r="D72" s="34" t="str">
        <f>VLOOKUP(Table3[[#This Row],[Tegevusala]],Table4[[Tegevusala kood]:[Tegevusala alanimetus]],4,FALSE)</f>
        <v>Alusharidus</v>
      </c>
      <c r="E72" s="34" t="str">
        <f>VLOOKUP(Table3[[#This Row],[Tegevusala nimetus2]],Table4[[Tegevusala nimetus]:[Tegevusala koondnimetus]],2,FALSE)</f>
        <v>Haridus</v>
      </c>
      <c r="F72" s="33" t="s">
        <v>1273</v>
      </c>
      <c r="G72" s="33" t="s">
        <v>2021</v>
      </c>
      <c r="H72" s="47">
        <v>1500</v>
      </c>
      <c r="I72" s="33" t="s">
        <v>2022</v>
      </c>
      <c r="J72" s="33">
        <v>5511</v>
      </c>
      <c r="K72" s="33"/>
      <c r="L72" s="33"/>
      <c r="M72" s="33"/>
      <c r="N72" s="33"/>
      <c r="O72" s="33"/>
    </row>
    <row r="73" spans="1:15" x14ac:dyDescent="0.25">
      <c r="A73" s="3" t="str">
        <f>LEFT(Table3[[#This Row],[Tegevusala]],2)</f>
        <v>10</v>
      </c>
      <c r="B73" t="s">
        <v>374</v>
      </c>
      <c r="C73" s="3" t="str">
        <f>VLOOKUP(Table3[[#This Row],[Tegevusala]],Table4[],2,FALSE)</f>
        <v xml:space="preserve"> Ulvi Hooldekodu</v>
      </c>
      <c r="D73" s="3" t="str">
        <f>VLOOKUP(Table3[[#This Row],[Tegevusala]],Table4[[Tegevusala kood]:[Tegevusala alanimetus]],4,FALSE)</f>
        <v>Eakate sotsiaalhoolekande asutused</v>
      </c>
      <c r="E73" s="3" t="str">
        <f>VLOOKUP(Table3[[#This Row],[Tegevusala nimetus2]],Table4[[Tegevusala nimetus]:[Tegevusala koondnimetus]],2,FALSE)</f>
        <v>Sotsiaalne kaitse</v>
      </c>
      <c r="F73" t="s">
        <v>2148</v>
      </c>
      <c r="G73" t="s">
        <v>1658</v>
      </c>
      <c r="H73" s="40">
        <v>1960</v>
      </c>
      <c r="J73">
        <v>5515</v>
      </c>
    </row>
    <row r="74" spans="1:15" x14ac:dyDescent="0.25">
      <c r="A74" s="3" t="str">
        <f>LEFT(Table3[[#This Row],[Tegevusala]],2)</f>
        <v>10</v>
      </c>
      <c r="B74" t="s">
        <v>374</v>
      </c>
      <c r="C74" s="3" t="str">
        <f>VLOOKUP(Table3[[#This Row],[Tegevusala]],Table4[],2,FALSE)</f>
        <v xml:space="preserve"> Ulvi Hooldekodu</v>
      </c>
      <c r="D74" s="3" t="str">
        <f>VLOOKUP(Table3[[#This Row],[Tegevusala]],Table4[[Tegevusala kood]:[Tegevusala alanimetus]],4,FALSE)</f>
        <v>Eakate sotsiaalhoolekande asutused</v>
      </c>
      <c r="E74" s="3" t="str">
        <f>VLOOKUP(Table3[[#This Row],[Tegevusala nimetus2]],Table4[[Tegevusala nimetus]:[Tegevusala koondnimetus]],2,FALSE)</f>
        <v>Sotsiaalne kaitse</v>
      </c>
      <c r="F74" t="s">
        <v>2148</v>
      </c>
      <c r="G74" t="s">
        <v>1660</v>
      </c>
      <c r="H74" s="40">
        <v>2590</v>
      </c>
      <c r="I74" t="s">
        <v>2149</v>
      </c>
      <c r="J74">
        <v>5515</v>
      </c>
    </row>
    <row r="75" spans="1:15" x14ac:dyDescent="0.25">
      <c r="A75" s="3" t="str">
        <f>LEFT(Table3[[#This Row],[Tegevusala]],2)</f>
        <v>10</v>
      </c>
      <c r="B75" t="s">
        <v>374</v>
      </c>
      <c r="C75" s="3" t="str">
        <f>VLOOKUP(Table3[[#This Row],[Tegevusala]],Table4[],2,FALSE)</f>
        <v xml:space="preserve"> Ulvi Hooldekodu</v>
      </c>
      <c r="D75" s="3" t="str">
        <f>VLOOKUP(Table3[[#This Row],[Tegevusala]],Table4[[Tegevusala kood]:[Tegevusala alanimetus]],4,FALSE)</f>
        <v>Eakate sotsiaalhoolekande asutused</v>
      </c>
      <c r="E75" s="3" t="str">
        <f>VLOOKUP(Table3[[#This Row],[Tegevusala nimetus2]],Table4[[Tegevusala nimetus]:[Tegevusala koondnimetus]],2,FALSE)</f>
        <v>Sotsiaalne kaitse</v>
      </c>
      <c r="F75" t="s">
        <v>1641</v>
      </c>
      <c r="G75" t="s">
        <v>1663</v>
      </c>
      <c r="H75" s="40">
        <v>1231</v>
      </c>
      <c r="J75">
        <v>5511</v>
      </c>
    </row>
    <row r="76" spans="1:15" x14ac:dyDescent="0.25">
      <c r="A76" s="3" t="str">
        <f>LEFT(Table3[[#This Row],[Tegevusala]],2)</f>
        <v>08</v>
      </c>
      <c r="B76" t="s">
        <v>273</v>
      </c>
      <c r="C76" s="3" t="str">
        <f>VLOOKUP(Table3[[#This Row],[Tegevusala]],Table4[],2,FALSE)</f>
        <v xml:space="preserve"> Muuga Spordihoone</v>
      </c>
      <c r="D76" s="3" t="str">
        <f>VLOOKUP(Table3[[#This Row],[Tegevusala]],Table4[[Tegevusala kood]:[Tegevusala alanimetus]],4,FALSE)</f>
        <v>Sport</v>
      </c>
      <c r="E76" s="3" t="str">
        <f>VLOOKUP(Table3[[#This Row],[Tegevusala nimetus2]],Table4[[Tegevusala nimetus]:[Tegevusala koondnimetus]],2,FALSE)</f>
        <v>Vabaaeg, kultuur ja religioon</v>
      </c>
      <c r="F76" t="s">
        <v>2182</v>
      </c>
      <c r="G76" t="s">
        <v>2183</v>
      </c>
      <c r="H76" s="40">
        <v>3000</v>
      </c>
      <c r="J76">
        <v>5511</v>
      </c>
    </row>
    <row r="77" spans="1:15" x14ac:dyDescent="0.25">
      <c r="A77" s="3" t="str">
        <f>LEFT(Table3[[#This Row],[Tegevusala]],2)</f>
        <v>08</v>
      </c>
      <c r="B77" t="s">
        <v>320</v>
      </c>
      <c r="C77" s="3" t="str">
        <f>VLOOKUP(Table3[[#This Row],[Tegevusala]],Table4[],2,FALSE)</f>
        <v xml:space="preserve"> Laekvere Rahvamaja</v>
      </c>
      <c r="D77" s="3" t="str">
        <f>VLOOKUP(Table3[[#This Row],[Tegevusala]],Table4[[Tegevusala kood]:[Tegevusala alanimetus]],4,FALSE)</f>
        <v>Rahvakultuur</v>
      </c>
      <c r="E77" s="3" t="str">
        <f>VLOOKUP(Table3[[#This Row],[Tegevusala nimetus2]],Table4[[Tegevusala nimetus]:[Tegevusala koondnimetus]],2,FALSE)</f>
        <v>Vabaaeg, kultuur ja religioon</v>
      </c>
      <c r="F77" t="s">
        <v>1110</v>
      </c>
      <c r="G77" t="s">
        <v>1139</v>
      </c>
      <c r="H77" s="40">
        <v>10</v>
      </c>
      <c r="J77">
        <v>500</v>
      </c>
    </row>
    <row r="78" spans="1:15" x14ac:dyDescent="0.25">
      <c r="A78" s="3" t="str">
        <f>LEFT(Table3[[#This Row],[Tegevusala]],2)</f>
        <v>08</v>
      </c>
      <c r="B78" t="s">
        <v>320</v>
      </c>
      <c r="C78" s="3" t="str">
        <f>VLOOKUP(Table3[[#This Row],[Tegevusala]],Table4[],2,FALSE)</f>
        <v xml:space="preserve"> Laekvere Rahvamaja</v>
      </c>
      <c r="D78" s="3" t="str">
        <f>VLOOKUP(Table3[[#This Row],[Tegevusala]],Table4[[Tegevusala kood]:[Tegevusala alanimetus]],4,FALSE)</f>
        <v>Rahvakultuur</v>
      </c>
      <c r="E78" s="3" t="str">
        <f>VLOOKUP(Table3[[#This Row],[Tegevusala nimetus2]],Table4[[Tegevusala nimetus]:[Tegevusala koondnimetus]],2,FALSE)</f>
        <v>Vabaaeg, kultuur ja religioon</v>
      </c>
      <c r="F78" t="s">
        <v>1110</v>
      </c>
      <c r="G78" t="s">
        <v>1140</v>
      </c>
      <c r="H78" s="40">
        <v>10</v>
      </c>
      <c r="J78">
        <v>500</v>
      </c>
    </row>
    <row r="79" spans="1:15" x14ac:dyDescent="0.25">
      <c r="A79" s="3" t="str">
        <f>LEFT(Table3[[#This Row],[Tegevusala]],2)</f>
        <v>08</v>
      </c>
      <c r="B79" t="s">
        <v>320</v>
      </c>
      <c r="C79" s="3" t="str">
        <f>VLOOKUP(Table3[[#This Row],[Tegevusala]],Table4[],2,FALSE)</f>
        <v xml:space="preserve"> Laekvere Rahvamaja</v>
      </c>
      <c r="D79" s="3" t="str">
        <f>VLOOKUP(Table3[[#This Row],[Tegevusala]],Table4[[Tegevusala kood]:[Tegevusala alanimetus]],4,FALSE)</f>
        <v>Rahvakultuur</v>
      </c>
      <c r="E79" s="3" t="str">
        <f>VLOOKUP(Table3[[#This Row],[Tegevusala nimetus2]],Table4[[Tegevusala nimetus]:[Tegevusala koondnimetus]],2,FALSE)</f>
        <v>Vabaaeg, kultuur ja religioon</v>
      </c>
      <c r="F79" t="s">
        <v>1110</v>
      </c>
      <c r="G79" t="s">
        <v>1139</v>
      </c>
      <c r="H79" s="40">
        <v>3.38</v>
      </c>
      <c r="I79" t="s">
        <v>2206</v>
      </c>
      <c r="J79">
        <v>506</v>
      </c>
    </row>
    <row r="80" spans="1:15" x14ac:dyDescent="0.25">
      <c r="A80" s="3" t="str">
        <f>LEFT(Table3[[#This Row],[Tegevusala]],2)</f>
        <v>08</v>
      </c>
      <c r="B80" t="s">
        <v>320</v>
      </c>
      <c r="C80" s="3" t="str">
        <f>VLOOKUP(Table3[[#This Row],[Tegevusala]],Table4[],2,FALSE)</f>
        <v xml:space="preserve"> Laekvere Rahvamaja</v>
      </c>
      <c r="D80" s="3" t="str">
        <f>VLOOKUP(Table3[[#This Row],[Tegevusala]],Table4[[Tegevusala kood]:[Tegevusala alanimetus]],4,FALSE)</f>
        <v>Rahvakultuur</v>
      </c>
      <c r="E80" s="3" t="str">
        <f>VLOOKUP(Table3[[#This Row],[Tegevusala nimetus2]],Table4[[Tegevusala nimetus]:[Tegevusala koondnimetus]],2,FALSE)</f>
        <v>Vabaaeg, kultuur ja religioon</v>
      </c>
      <c r="F80" t="s">
        <v>1110</v>
      </c>
      <c r="G80" t="s">
        <v>1140</v>
      </c>
      <c r="H80" s="40">
        <v>3.38</v>
      </c>
      <c r="I80" t="s">
        <v>2206</v>
      </c>
      <c r="J80">
        <v>506</v>
      </c>
    </row>
    <row r="81" spans="1:10" x14ac:dyDescent="0.25">
      <c r="A81" s="3" t="str">
        <f>LEFT(Table3[[#This Row],[Tegevusala]],2)</f>
        <v>10</v>
      </c>
      <c r="B81" t="s">
        <v>380</v>
      </c>
      <c r="C81" s="3" t="str">
        <f>VLOOKUP(Table3[[#This Row],[Tegevusala]],Table4[],2,FALSE)</f>
        <v xml:space="preserve"> Hooldajad</v>
      </c>
      <c r="D81" s="3" t="str">
        <f>VLOOKUP(Table3[[#This Row],[Tegevusala]],Table4[[Tegevusala kood]:[Tegevusala alanimetus]],4,FALSE)</f>
        <v>Muu eakate sotsiaalne kaitse</v>
      </c>
      <c r="E81" s="3" t="str">
        <f>VLOOKUP(Table3[[#This Row],[Tegevusala nimetus2]],Table4[[Tegevusala nimetus]:[Tegevusala koondnimetus]],2,FALSE)</f>
        <v>Sotsiaalne kaitse</v>
      </c>
      <c r="F81" t="s">
        <v>462</v>
      </c>
      <c r="G81" t="s">
        <v>743</v>
      </c>
      <c r="H81" s="40">
        <v>100</v>
      </c>
      <c r="J81">
        <v>500</v>
      </c>
    </row>
    <row r="82" spans="1:10" x14ac:dyDescent="0.25">
      <c r="A82" s="3" t="str">
        <f>LEFT(Table3[[#This Row],[Tegevusala]],2)</f>
        <v>10</v>
      </c>
      <c r="B82" t="s">
        <v>380</v>
      </c>
      <c r="C82" s="3" t="str">
        <f>VLOOKUP(Table3[[#This Row],[Tegevusala]],Table4[],2,FALSE)</f>
        <v xml:space="preserve"> Hooldajad</v>
      </c>
      <c r="D82" s="3" t="str">
        <f>VLOOKUP(Table3[[#This Row],[Tegevusala]],Table4[[Tegevusala kood]:[Tegevusala alanimetus]],4,FALSE)</f>
        <v>Muu eakate sotsiaalne kaitse</v>
      </c>
      <c r="E82" s="3" t="str">
        <f>VLOOKUP(Table3[[#This Row],[Tegevusala nimetus2]],Table4[[Tegevusala nimetus]:[Tegevusala koondnimetus]],2,FALSE)</f>
        <v>Sotsiaalne kaitse</v>
      </c>
      <c r="F82" t="s">
        <v>462</v>
      </c>
      <c r="G82" t="s">
        <v>743</v>
      </c>
      <c r="H82" s="40">
        <v>33.799999999999997</v>
      </c>
      <c r="I82" t="s">
        <v>2206</v>
      </c>
      <c r="J82">
        <v>506</v>
      </c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zoomScale="85" zoomScaleNormal="85" workbookViewId="0">
      <selection activeCell="C36" sqref="B36:C36"/>
    </sheetView>
  </sheetViews>
  <sheetFormatPr defaultRowHeight="15" x14ac:dyDescent="0.25"/>
  <cols>
    <col min="1" max="1" width="49.42578125" customWidth="1"/>
    <col min="2" max="2" width="15.42578125" bestFit="1" customWidth="1"/>
    <col min="3" max="3" width="14.7109375" bestFit="1" customWidth="1"/>
    <col min="4" max="4" width="11.7109375" bestFit="1" customWidth="1"/>
    <col min="5" max="5" width="11.7109375" style="40" bestFit="1" customWidth="1"/>
    <col min="6" max="6" width="12.42578125" bestFit="1" customWidth="1"/>
  </cols>
  <sheetData>
    <row r="1" spans="1:7" x14ac:dyDescent="0.25">
      <c r="A1" s="4" t="s">
        <v>67</v>
      </c>
      <c r="B1" t="s">
        <v>461</v>
      </c>
    </row>
    <row r="2" spans="1:7" x14ac:dyDescent="0.25">
      <c r="A2" s="4" t="s">
        <v>1</v>
      </c>
      <c r="B2" t="s">
        <v>461</v>
      </c>
    </row>
    <row r="4" spans="1:7" x14ac:dyDescent="0.25">
      <c r="A4" s="4" t="s">
        <v>396</v>
      </c>
      <c r="B4" t="s">
        <v>399</v>
      </c>
      <c r="C4" t="s">
        <v>1395</v>
      </c>
      <c r="E4" s="107">
        <v>2019</v>
      </c>
    </row>
    <row r="5" spans="1:7" x14ac:dyDescent="0.25">
      <c r="A5" s="5" t="s">
        <v>798</v>
      </c>
      <c r="B5" s="2">
        <v>267895</v>
      </c>
      <c r="C5" s="2">
        <v>90548.510000000009</v>
      </c>
    </row>
    <row r="6" spans="1:7" x14ac:dyDescent="0.25">
      <c r="A6" s="6" t="s">
        <v>562</v>
      </c>
      <c r="B6" s="2">
        <v>255</v>
      </c>
      <c r="C6" s="2">
        <v>86.190000000000012</v>
      </c>
      <c r="D6" s="2">
        <f>B6+C6</f>
        <v>341.19</v>
      </c>
      <c r="E6" s="40">
        <v>39391</v>
      </c>
      <c r="F6" s="2">
        <f>D6-E6</f>
        <v>-39049.81</v>
      </c>
      <c r="G6" t="s">
        <v>2065</v>
      </c>
    </row>
    <row r="7" spans="1:7" x14ac:dyDescent="0.25">
      <c r="A7" s="6" t="s">
        <v>560</v>
      </c>
      <c r="B7" s="2">
        <v>240560</v>
      </c>
      <c r="C7" s="2">
        <v>81309.279999999999</v>
      </c>
      <c r="D7" s="2">
        <f t="shared" ref="D7:D28" si="0">B7+C7</f>
        <v>321869.28000000003</v>
      </c>
      <c r="E7" s="40">
        <v>315421</v>
      </c>
      <c r="F7" s="2">
        <f>D7-E7</f>
        <v>6448.2800000000279</v>
      </c>
    </row>
    <row r="8" spans="1:7" x14ac:dyDescent="0.25">
      <c r="A8" s="6" t="s">
        <v>559</v>
      </c>
      <c r="B8" s="2">
        <v>27080</v>
      </c>
      <c r="C8" s="2">
        <v>9153.0400000000009</v>
      </c>
      <c r="D8" s="2">
        <f t="shared" si="0"/>
        <v>36233.040000000001</v>
      </c>
      <c r="E8" s="40">
        <v>35403</v>
      </c>
      <c r="F8" s="2">
        <f t="shared" ref="F8:F30" si="1">D8-E8</f>
        <v>830.04000000000087</v>
      </c>
    </row>
    <row r="9" spans="1:7" x14ac:dyDescent="0.25">
      <c r="A9" s="5" t="s">
        <v>1102</v>
      </c>
      <c r="B9" s="2">
        <v>1706.9639999999999</v>
      </c>
      <c r="C9" s="2">
        <v>576.95383200000003</v>
      </c>
      <c r="D9" s="2"/>
      <c r="F9" s="2"/>
    </row>
    <row r="10" spans="1:7" x14ac:dyDescent="0.25">
      <c r="A10" s="6" t="s">
        <v>565</v>
      </c>
      <c r="B10" s="2">
        <v>1706.9639999999999</v>
      </c>
      <c r="C10" s="2">
        <v>576.95383200000003</v>
      </c>
      <c r="D10" s="2">
        <f t="shared" si="0"/>
        <v>2283.9178320000001</v>
      </c>
      <c r="E10" s="40">
        <v>3820</v>
      </c>
      <c r="F10" s="2">
        <f t="shared" si="1"/>
        <v>-1536.0821679999999</v>
      </c>
    </row>
    <row r="11" spans="1:7" x14ac:dyDescent="0.25">
      <c r="A11" s="5" t="s">
        <v>824</v>
      </c>
      <c r="B11" s="2">
        <v>112110</v>
      </c>
      <c r="C11" s="2">
        <v>37893.18</v>
      </c>
      <c r="D11" s="2"/>
      <c r="F11" s="2"/>
    </row>
    <row r="12" spans="1:7" x14ac:dyDescent="0.25">
      <c r="A12" s="6" t="s">
        <v>1108</v>
      </c>
      <c r="B12" s="2">
        <v>93390</v>
      </c>
      <c r="C12" s="2">
        <v>31565.82</v>
      </c>
      <c r="D12" s="2">
        <f t="shared" si="0"/>
        <v>124955.82</v>
      </c>
      <c r="E12" s="40">
        <v>134603</v>
      </c>
      <c r="F12" s="2">
        <f t="shared" si="1"/>
        <v>-9647.179999999993</v>
      </c>
    </row>
    <row r="13" spans="1:7" x14ac:dyDescent="0.25">
      <c r="A13" s="6" t="s">
        <v>567</v>
      </c>
      <c r="B13" s="2">
        <v>18720</v>
      </c>
      <c r="C13" s="2">
        <v>6327.3600000000006</v>
      </c>
      <c r="D13" s="2">
        <f t="shared" si="0"/>
        <v>25047.360000000001</v>
      </c>
      <c r="E13" s="40">
        <v>25716</v>
      </c>
      <c r="F13" s="2">
        <f t="shared" si="1"/>
        <v>-668.63999999999942</v>
      </c>
    </row>
    <row r="14" spans="1:7" x14ac:dyDescent="0.25">
      <c r="A14" s="5" t="s">
        <v>1103</v>
      </c>
      <c r="B14" s="2">
        <v>215821.8</v>
      </c>
      <c r="C14" s="2">
        <v>68908.568399999989</v>
      </c>
      <c r="D14" s="2"/>
      <c r="F14" s="2"/>
    </row>
    <row r="15" spans="1:7" x14ac:dyDescent="0.25">
      <c r="A15" s="6" t="s">
        <v>573</v>
      </c>
      <c r="B15" s="2">
        <v>215821.8</v>
      </c>
      <c r="C15" s="2">
        <v>68908.568399999989</v>
      </c>
      <c r="D15" s="2">
        <f t="shared" si="0"/>
        <v>284730.36839999998</v>
      </c>
      <c r="E15" s="40">
        <v>305587</v>
      </c>
      <c r="F15" s="2">
        <f t="shared" si="1"/>
        <v>-20856.631600000022</v>
      </c>
    </row>
    <row r="16" spans="1:7" x14ac:dyDescent="0.25">
      <c r="A16" s="5" t="s">
        <v>799</v>
      </c>
      <c r="B16" s="2">
        <v>313393.61200000002</v>
      </c>
      <c r="C16" s="2">
        <v>105927.04085600001</v>
      </c>
      <c r="D16" s="2"/>
      <c r="F16" s="2"/>
    </row>
    <row r="17" spans="1:7" x14ac:dyDescent="0.25">
      <c r="A17" s="6" t="s">
        <v>577</v>
      </c>
      <c r="B17" s="2">
        <v>29407.59</v>
      </c>
      <c r="C17" s="2">
        <v>9939.7654200000015</v>
      </c>
      <c r="D17" s="2">
        <f t="shared" si="0"/>
        <v>39347.35542</v>
      </c>
      <c r="E17" s="40">
        <v>64999</v>
      </c>
      <c r="F17" s="2">
        <f t="shared" si="1"/>
        <v>-25651.64458</v>
      </c>
    </row>
    <row r="18" spans="1:7" x14ac:dyDescent="0.25">
      <c r="A18" s="6" t="s">
        <v>460</v>
      </c>
      <c r="B18" s="2">
        <v>87960</v>
      </c>
      <c r="C18" s="2">
        <v>29730.480000000003</v>
      </c>
      <c r="D18" s="2">
        <f t="shared" si="0"/>
        <v>117690.48000000001</v>
      </c>
      <c r="E18" s="40">
        <v>117680</v>
      </c>
      <c r="F18" s="2">
        <f t="shared" si="1"/>
        <v>10.480000000010477</v>
      </c>
    </row>
    <row r="19" spans="1:7" x14ac:dyDescent="0.25">
      <c r="A19" s="6" t="s">
        <v>578</v>
      </c>
      <c r="B19" s="2">
        <v>128430.11</v>
      </c>
      <c r="C19" s="2">
        <v>43409.377180000003</v>
      </c>
      <c r="D19" s="2">
        <f t="shared" si="0"/>
        <v>171839.48718</v>
      </c>
      <c r="E19" s="40">
        <v>162195</v>
      </c>
      <c r="F19" s="2">
        <f t="shared" si="1"/>
        <v>9644.4871799999964</v>
      </c>
    </row>
    <row r="20" spans="1:7" x14ac:dyDescent="0.25">
      <c r="A20" s="6" t="s">
        <v>769</v>
      </c>
      <c r="B20" s="2">
        <v>21023</v>
      </c>
      <c r="C20" s="2">
        <v>7105.7740000000013</v>
      </c>
      <c r="D20" s="2">
        <f t="shared" si="0"/>
        <v>28128.774000000001</v>
      </c>
      <c r="F20" s="2">
        <f t="shared" si="1"/>
        <v>28128.774000000001</v>
      </c>
      <c r="G20" t="s">
        <v>2193</v>
      </c>
    </row>
    <row r="21" spans="1:7" x14ac:dyDescent="0.25">
      <c r="A21" s="6" t="s">
        <v>643</v>
      </c>
      <c r="B21" s="2">
        <v>18720</v>
      </c>
      <c r="C21" s="2">
        <v>6327.3600000000006</v>
      </c>
      <c r="D21" s="2">
        <f t="shared" si="0"/>
        <v>25047.360000000001</v>
      </c>
      <c r="E21" s="40">
        <v>25716</v>
      </c>
      <c r="F21" s="2">
        <f t="shared" si="1"/>
        <v>-668.63999999999942</v>
      </c>
    </row>
    <row r="22" spans="1:7" x14ac:dyDescent="0.25">
      <c r="A22" s="6" t="s">
        <v>2077</v>
      </c>
      <c r="B22" s="2">
        <v>27852.912</v>
      </c>
      <c r="C22" s="2">
        <v>9414.2842560000008</v>
      </c>
      <c r="D22" s="2">
        <f t="shared" si="0"/>
        <v>37267.196256000003</v>
      </c>
      <c r="E22" s="40">
        <v>0</v>
      </c>
      <c r="F22" s="2">
        <f t="shared" si="1"/>
        <v>37267.196256000003</v>
      </c>
    </row>
    <row r="23" spans="1:7" x14ac:dyDescent="0.25">
      <c r="A23" s="5" t="s">
        <v>800</v>
      </c>
      <c r="B23" s="2">
        <v>3123084.6329080006</v>
      </c>
      <c r="C23" s="2">
        <v>1055602.6059229041</v>
      </c>
      <c r="D23" s="2"/>
      <c r="F23" s="2"/>
    </row>
    <row r="24" spans="1:7" x14ac:dyDescent="0.25">
      <c r="A24" s="6" t="s">
        <v>581</v>
      </c>
      <c r="B24" s="2">
        <v>945451.99514400004</v>
      </c>
      <c r="C24" s="2">
        <v>319562.77435867186</v>
      </c>
      <c r="D24" s="2">
        <f t="shared" si="0"/>
        <v>1265014.7695026719</v>
      </c>
      <c r="E24" s="40">
        <v>1089901</v>
      </c>
      <c r="F24" s="2">
        <f t="shared" si="1"/>
        <v>175113.7695026719</v>
      </c>
    </row>
    <row r="25" spans="1:7" x14ac:dyDescent="0.25">
      <c r="A25" s="6" t="s">
        <v>585</v>
      </c>
      <c r="B25" s="2">
        <v>12000</v>
      </c>
      <c r="C25" s="2">
        <v>4056.0000000000005</v>
      </c>
      <c r="D25" s="2">
        <f t="shared" si="0"/>
        <v>16056</v>
      </c>
      <c r="E25" s="40">
        <v>15842</v>
      </c>
      <c r="F25" s="2">
        <f t="shared" si="1"/>
        <v>214</v>
      </c>
    </row>
    <row r="26" spans="1:7" x14ac:dyDescent="0.25">
      <c r="A26" s="6" t="s">
        <v>582</v>
      </c>
      <c r="B26" s="2">
        <v>1836996.1667640002</v>
      </c>
      <c r="C26" s="2">
        <v>620904.70436623215</v>
      </c>
      <c r="D26" s="2">
        <f t="shared" si="0"/>
        <v>2457900.8711302322</v>
      </c>
      <c r="E26" s="40">
        <f>2607454-33640</f>
        <v>2573814</v>
      </c>
      <c r="F26" s="2">
        <f t="shared" si="1"/>
        <v>-115913.12886976777</v>
      </c>
    </row>
    <row r="27" spans="1:7" x14ac:dyDescent="0.25">
      <c r="A27" s="6" t="s">
        <v>583</v>
      </c>
      <c r="B27" s="2">
        <v>82511.210999999996</v>
      </c>
      <c r="C27" s="2">
        <v>27888.789317999999</v>
      </c>
      <c r="D27" s="2">
        <f t="shared" si="0"/>
        <v>110400.00031799999</v>
      </c>
      <c r="F27" s="2">
        <f t="shared" si="1"/>
        <v>110400.00031799999</v>
      </c>
    </row>
    <row r="28" spans="1:7" x14ac:dyDescent="0.25">
      <c r="A28" s="6" t="s">
        <v>1543</v>
      </c>
      <c r="B28" s="2">
        <v>112074.56</v>
      </c>
      <c r="C28" s="2">
        <v>37881.201280000001</v>
      </c>
      <c r="D28" s="2">
        <f t="shared" si="0"/>
        <v>149955.76128000001</v>
      </c>
      <c r="E28" s="40">
        <v>25716</v>
      </c>
      <c r="F28" s="2">
        <f t="shared" si="1"/>
        <v>124239.76128000001</v>
      </c>
    </row>
    <row r="29" spans="1:7" x14ac:dyDescent="0.25">
      <c r="A29" s="6" t="s">
        <v>586</v>
      </c>
      <c r="B29" s="2">
        <v>22800</v>
      </c>
      <c r="C29" s="2">
        <v>7706.4000000000005</v>
      </c>
      <c r="D29" s="2">
        <f>B29+C29</f>
        <v>30506.400000000001</v>
      </c>
      <c r="E29" s="40">
        <v>33640</v>
      </c>
      <c r="F29" s="2">
        <f t="shared" si="1"/>
        <v>-3133.5999999999985</v>
      </c>
    </row>
    <row r="30" spans="1:7" x14ac:dyDescent="0.25">
      <c r="A30" s="6" t="s">
        <v>584</v>
      </c>
      <c r="B30" s="2">
        <v>111250.7</v>
      </c>
      <c r="C30" s="2">
        <v>37602.736600000004</v>
      </c>
      <c r="D30" s="2">
        <f>B30+C30</f>
        <v>148853.43660000002</v>
      </c>
      <c r="E30" s="40">
        <v>89801</v>
      </c>
      <c r="F30" s="2">
        <f t="shared" si="1"/>
        <v>59052.436600000015</v>
      </c>
    </row>
    <row r="31" spans="1:7" x14ac:dyDescent="0.25">
      <c r="A31" s="5" t="s">
        <v>801</v>
      </c>
      <c r="B31" s="2">
        <v>701049.00120000006</v>
      </c>
      <c r="C31" s="2">
        <v>236954.56240560001</v>
      </c>
    </row>
    <row r="32" spans="1:7" x14ac:dyDescent="0.25">
      <c r="A32" s="6" t="s">
        <v>590</v>
      </c>
      <c r="B32" s="2">
        <v>24271</v>
      </c>
      <c r="C32" s="2">
        <v>8203.5980000000018</v>
      </c>
      <c r="D32" s="2">
        <f>B32+C32</f>
        <v>32474.598000000002</v>
      </c>
      <c r="E32" s="40">
        <v>72809</v>
      </c>
      <c r="F32" s="2">
        <f>D32-E32</f>
        <v>-40334.402000000002</v>
      </c>
    </row>
    <row r="33" spans="1:6" x14ac:dyDescent="0.25">
      <c r="A33" s="6" t="s">
        <v>686</v>
      </c>
      <c r="B33" s="2">
        <v>90240</v>
      </c>
      <c r="C33" s="2">
        <v>30501.120000000003</v>
      </c>
      <c r="D33" s="2">
        <f t="shared" ref="D33:D36" si="2">B33+C33</f>
        <v>120741.12</v>
      </c>
      <c r="E33" s="40">
        <v>132301</v>
      </c>
      <c r="F33" s="2">
        <f>D33-E33</f>
        <v>-11559.880000000005</v>
      </c>
    </row>
    <row r="34" spans="1:6" x14ac:dyDescent="0.25">
      <c r="A34" s="6" t="s">
        <v>589</v>
      </c>
      <c r="B34" s="2">
        <v>237358.0012</v>
      </c>
      <c r="C34" s="2">
        <v>80227.004405600004</v>
      </c>
      <c r="D34" s="2">
        <f t="shared" si="2"/>
        <v>317585.00560560002</v>
      </c>
      <c r="E34" s="40">
        <v>294334</v>
      </c>
      <c r="F34" s="2">
        <f>D34-E34</f>
        <v>23251.005605600018</v>
      </c>
    </row>
    <row r="35" spans="1:6" x14ac:dyDescent="0.25">
      <c r="A35" s="6" t="s">
        <v>591</v>
      </c>
      <c r="B35" s="2">
        <v>349180</v>
      </c>
      <c r="C35" s="2">
        <v>118022.84</v>
      </c>
      <c r="D35" s="2">
        <f t="shared" si="2"/>
        <v>467202.83999999997</v>
      </c>
      <c r="E35" s="40">
        <v>408896</v>
      </c>
      <c r="F35" s="2">
        <f>D35-E35</f>
        <v>58306.839999999967</v>
      </c>
    </row>
    <row r="36" spans="1:6" x14ac:dyDescent="0.25">
      <c r="A36" s="5" t="s">
        <v>548</v>
      </c>
      <c r="B36" s="2">
        <v>4735061.0101080006</v>
      </c>
      <c r="C36" s="2">
        <v>1596411.4214165041</v>
      </c>
      <c r="D36" s="2">
        <f t="shared" si="2"/>
        <v>6331472.4315245049</v>
      </c>
      <c r="E36" s="40">
        <f>SUM(E6:E35)</f>
        <v>5967585</v>
      </c>
      <c r="F36" s="2">
        <f>D36-E36</f>
        <v>363887.43152450491</v>
      </c>
    </row>
  </sheetData>
  <pageMargins left="0.7" right="0.7" top="0.75" bottom="0.75" header="0.3" footer="0.3"/>
  <pageSetup scale="67" orientation="portrait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3"/>
  <sheetViews>
    <sheetView topLeftCell="A124" zoomScale="85" zoomScaleNormal="85" workbookViewId="0">
      <selection activeCell="E145" sqref="E145"/>
    </sheetView>
  </sheetViews>
  <sheetFormatPr defaultRowHeight="15" x14ac:dyDescent="0.25"/>
  <cols>
    <col min="1" max="1" width="51.5703125" customWidth="1"/>
    <col min="2" max="2" width="21.140625" bestFit="1" customWidth="1"/>
  </cols>
  <sheetData>
    <row r="3" spans="1:2" x14ac:dyDescent="0.25">
      <c r="A3" s="168" t="s">
        <v>396</v>
      </c>
      <c r="B3" t="s">
        <v>2248</v>
      </c>
    </row>
    <row r="4" spans="1:2" x14ac:dyDescent="0.25">
      <c r="A4" s="5" t="s">
        <v>798</v>
      </c>
      <c r="B4" s="7">
        <v>358443.51</v>
      </c>
    </row>
    <row r="5" spans="1:2" x14ac:dyDescent="0.25">
      <c r="A5" s="6" t="s">
        <v>13</v>
      </c>
      <c r="B5" s="7">
        <v>36233.040000000001</v>
      </c>
    </row>
    <row r="6" spans="1:2" x14ac:dyDescent="0.25">
      <c r="A6" s="99" t="s">
        <v>14</v>
      </c>
      <c r="B6" s="7">
        <v>36233.040000000001</v>
      </c>
    </row>
    <row r="7" spans="1:2" x14ac:dyDescent="0.25">
      <c r="A7" s="6" t="s">
        <v>15</v>
      </c>
      <c r="B7" s="7">
        <v>321869.28000000003</v>
      </c>
    </row>
    <row r="8" spans="1:2" x14ac:dyDescent="0.25">
      <c r="A8" s="99" t="s">
        <v>16</v>
      </c>
      <c r="B8" s="7">
        <v>321869.28000000003</v>
      </c>
    </row>
    <row r="9" spans="1:2" x14ac:dyDescent="0.25">
      <c r="A9" s="6" t="s">
        <v>19</v>
      </c>
      <c r="B9" s="7">
        <v>341.19</v>
      </c>
    </row>
    <row r="10" spans="1:2" x14ac:dyDescent="0.25">
      <c r="A10" s="99" t="s">
        <v>20</v>
      </c>
      <c r="B10" s="7">
        <v>341.19</v>
      </c>
    </row>
    <row r="11" spans="1:2" x14ac:dyDescent="0.25">
      <c r="A11" s="5" t="s">
        <v>1102</v>
      </c>
      <c r="B11" s="7">
        <v>2283.9178320000001</v>
      </c>
    </row>
    <row r="12" spans="1:2" x14ac:dyDescent="0.25">
      <c r="A12" s="6" t="s">
        <v>27</v>
      </c>
      <c r="B12" s="7">
        <v>2283.9178320000001</v>
      </c>
    </row>
    <row r="13" spans="1:2" x14ac:dyDescent="0.25">
      <c r="A13" s="99" t="s">
        <v>28</v>
      </c>
      <c r="B13" s="7">
        <v>2283.9178320000001</v>
      </c>
    </row>
    <row r="14" spans="1:2" x14ac:dyDescent="0.25">
      <c r="A14" s="5" t="s">
        <v>824</v>
      </c>
      <c r="B14" s="7">
        <v>150003.18</v>
      </c>
    </row>
    <row r="15" spans="1:2" x14ac:dyDescent="0.25">
      <c r="A15" s="6" t="s">
        <v>32</v>
      </c>
      <c r="B15" s="7">
        <v>25047.360000000001</v>
      </c>
    </row>
    <row r="16" spans="1:2" x14ac:dyDescent="0.25">
      <c r="A16" s="99" t="s">
        <v>33</v>
      </c>
      <c r="B16" s="7">
        <v>25047.360000000001</v>
      </c>
    </row>
    <row r="17" spans="1:2" x14ac:dyDescent="0.25">
      <c r="A17" s="6" t="s">
        <v>34</v>
      </c>
      <c r="B17" s="7">
        <v>124955.82</v>
      </c>
    </row>
    <row r="18" spans="1:2" x14ac:dyDescent="0.25">
      <c r="A18" s="99" t="s">
        <v>35</v>
      </c>
      <c r="B18" s="7">
        <v>124955.82</v>
      </c>
    </row>
    <row r="19" spans="1:2" x14ac:dyDescent="0.25">
      <c r="A19" s="5" t="s">
        <v>1103</v>
      </c>
      <c r="B19" s="7">
        <v>284730.36839999998</v>
      </c>
    </row>
    <row r="20" spans="1:2" x14ac:dyDescent="0.25">
      <c r="A20" s="6" t="s">
        <v>254</v>
      </c>
      <c r="B20" s="7">
        <v>79525.368000000002</v>
      </c>
    </row>
    <row r="21" spans="1:2" x14ac:dyDescent="0.25">
      <c r="A21" s="99" t="s">
        <v>2038</v>
      </c>
      <c r="B21" s="7">
        <v>79525.368000000002</v>
      </c>
    </row>
    <row r="22" spans="1:2" x14ac:dyDescent="0.25">
      <c r="A22" s="6" t="s">
        <v>255</v>
      </c>
      <c r="B22" s="7">
        <v>35756.712</v>
      </c>
    </row>
    <row r="23" spans="1:2" x14ac:dyDescent="0.25">
      <c r="A23" s="99" t="s">
        <v>256</v>
      </c>
      <c r="B23" s="7">
        <v>35756.712</v>
      </c>
    </row>
    <row r="24" spans="1:2" x14ac:dyDescent="0.25">
      <c r="A24" s="6" t="s">
        <v>257</v>
      </c>
      <c r="B24" s="7">
        <v>7976.6208000000006</v>
      </c>
    </row>
    <row r="25" spans="1:2" x14ac:dyDescent="0.25">
      <c r="A25" s="99" t="s">
        <v>258</v>
      </c>
      <c r="B25" s="7">
        <v>7976.6208000000006</v>
      </c>
    </row>
    <row r="26" spans="1:2" x14ac:dyDescent="0.25">
      <c r="A26" s="6" t="s">
        <v>259</v>
      </c>
      <c r="B26" s="7">
        <v>8670.24</v>
      </c>
    </row>
    <row r="27" spans="1:2" x14ac:dyDescent="0.25">
      <c r="A27" s="99" t="s">
        <v>260</v>
      </c>
      <c r="B27" s="7">
        <v>8670.24</v>
      </c>
    </row>
    <row r="28" spans="1:2" x14ac:dyDescent="0.25">
      <c r="A28" s="6" t="s">
        <v>261</v>
      </c>
      <c r="B28" s="7">
        <v>49714.995599999995</v>
      </c>
    </row>
    <row r="29" spans="1:2" x14ac:dyDescent="0.25">
      <c r="A29" s="99" t="s">
        <v>262</v>
      </c>
      <c r="B29" s="7">
        <v>49714.995599999995</v>
      </c>
    </row>
    <row r="30" spans="1:2" x14ac:dyDescent="0.25">
      <c r="A30" s="6" t="s">
        <v>263</v>
      </c>
      <c r="B30" s="7">
        <v>74956.320000000007</v>
      </c>
    </row>
    <row r="31" spans="1:2" x14ac:dyDescent="0.25">
      <c r="A31" s="99" t="s">
        <v>264</v>
      </c>
      <c r="B31" s="7">
        <v>74956.320000000007</v>
      </c>
    </row>
    <row r="32" spans="1:2" x14ac:dyDescent="0.25">
      <c r="A32" s="6" t="s">
        <v>265</v>
      </c>
      <c r="B32" s="7">
        <v>16409.232</v>
      </c>
    </row>
    <row r="33" spans="1:2" x14ac:dyDescent="0.25">
      <c r="A33" s="99" t="s">
        <v>266</v>
      </c>
      <c r="B33" s="7">
        <v>16409.232</v>
      </c>
    </row>
    <row r="34" spans="1:2" x14ac:dyDescent="0.25">
      <c r="A34" s="6" t="s">
        <v>267</v>
      </c>
      <c r="B34" s="7">
        <v>11720.880000000001</v>
      </c>
    </row>
    <row r="35" spans="1:2" x14ac:dyDescent="0.25">
      <c r="A35" s="99" t="s">
        <v>268</v>
      </c>
      <c r="B35" s="7">
        <v>11720.880000000001</v>
      </c>
    </row>
    <row r="36" spans="1:2" x14ac:dyDescent="0.25">
      <c r="A36" s="5" t="s">
        <v>799</v>
      </c>
      <c r="B36" s="7">
        <v>419320.652856</v>
      </c>
    </row>
    <row r="37" spans="1:2" x14ac:dyDescent="0.25">
      <c r="A37" s="6" t="s">
        <v>273</v>
      </c>
      <c r="B37" s="7">
        <v>21385.254000000001</v>
      </c>
    </row>
    <row r="38" spans="1:2" x14ac:dyDescent="0.25">
      <c r="A38" s="99" t="s">
        <v>274</v>
      </c>
      <c r="B38" s="7">
        <v>21385.254000000001</v>
      </c>
    </row>
    <row r="39" spans="1:2" x14ac:dyDescent="0.25">
      <c r="A39" s="6" t="s">
        <v>275</v>
      </c>
      <c r="B39" s="7">
        <v>6743.52</v>
      </c>
    </row>
    <row r="40" spans="1:2" x14ac:dyDescent="0.25">
      <c r="A40" s="99" t="s">
        <v>276</v>
      </c>
      <c r="B40" s="7">
        <v>6743.52</v>
      </c>
    </row>
    <row r="41" spans="1:2" x14ac:dyDescent="0.25">
      <c r="A41" s="6" t="s">
        <v>281</v>
      </c>
      <c r="B41" s="7">
        <v>25047.360000000001</v>
      </c>
    </row>
    <row r="42" spans="1:2" x14ac:dyDescent="0.25">
      <c r="A42" s="99" t="s">
        <v>780</v>
      </c>
      <c r="B42" s="7">
        <v>25047.360000000001</v>
      </c>
    </row>
    <row r="43" spans="1:2" x14ac:dyDescent="0.25">
      <c r="A43" s="6" t="s">
        <v>642</v>
      </c>
      <c r="B43" s="7">
        <v>14299.995420000001</v>
      </c>
    </row>
    <row r="44" spans="1:2" x14ac:dyDescent="0.25">
      <c r="A44" s="99" t="s">
        <v>778</v>
      </c>
      <c r="B44" s="7">
        <v>14299.995420000001</v>
      </c>
    </row>
    <row r="45" spans="1:2" x14ac:dyDescent="0.25">
      <c r="A45" s="6" t="s">
        <v>296</v>
      </c>
      <c r="B45" s="7">
        <v>37827.936000000002</v>
      </c>
    </row>
    <row r="46" spans="1:2" x14ac:dyDescent="0.25">
      <c r="A46" s="99" t="s">
        <v>297</v>
      </c>
      <c r="B46" s="7">
        <v>37827.936000000002</v>
      </c>
    </row>
    <row r="47" spans="1:2" x14ac:dyDescent="0.25">
      <c r="A47" s="6" t="s">
        <v>298</v>
      </c>
      <c r="B47" s="7">
        <v>15205.031999999999</v>
      </c>
    </row>
    <row r="48" spans="1:2" x14ac:dyDescent="0.25">
      <c r="A48" s="99" t="s">
        <v>299</v>
      </c>
      <c r="B48" s="7">
        <v>15205.031999999999</v>
      </c>
    </row>
    <row r="49" spans="1:2" x14ac:dyDescent="0.25">
      <c r="A49" s="6" t="s">
        <v>300</v>
      </c>
      <c r="B49" s="7">
        <v>12234.672</v>
      </c>
    </row>
    <row r="50" spans="1:2" x14ac:dyDescent="0.25">
      <c r="A50" s="99" t="s">
        <v>301</v>
      </c>
      <c r="B50" s="7">
        <v>12234.672</v>
      </c>
    </row>
    <row r="51" spans="1:2" x14ac:dyDescent="0.25">
      <c r="A51" s="6" t="s">
        <v>302</v>
      </c>
      <c r="B51" s="7">
        <v>9489.0959999999995</v>
      </c>
    </row>
    <row r="52" spans="1:2" x14ac:dyDescent="0.25">
      <c r="A52" s="99" t="s">
        <v>303</v>
      </c>
      <c r="B52" s="7">
        <v>9489.0959999999995</v>
      </c>
    </row>
    <row r="53" spans="1:2" x14ac:dyDescent="0.25">
      <c r="A53" s="6" t="s">
        <v>304</v>
      </c>
      <c r="B53" s="7">
        <v>15606.432000000001</v>
      </c>
    </row>
    <row r="54" spans="1:2" x14ac:dyDescent="0.25">
      <c r="A54" s="99" t="s">
        <v>305</v>
      </c>
      <c r="B54" s="7">
        <v>15606.432000000001</v>
      </c>
    </row>
    <row r="55" spans="1:2" x14ac:dyDescent="0.25">
      <c r="A55" s="6" t="s">
        <v>306</v>
      </c>
      <c r="B55" s="7">
        <v>27327.312000000002</v>
      </c>
    </row>
    <row r="56" spans="1:2" x14ac:dyDescent="0.25">
      <c r="A56" s="99" t="s">
        <v>307</v>
      </c>
      <c r="B56" s="7">
        <v>27327.312000000002</v>
      </c>
    </row>
    <row r="57" spans="1:2" x14ac:dyDescent="0.25">
      <c r="A57" s="6" t="s">
        <v>312</v>
      </c>
      <c r="B57" s="7">
        <v>9376.7039999999997</v>
      </c>
    </row>
    <row r="58" spans="1:2" x14ac:dyDescent="0.25">
      <c r="A58" s="99" t="s">
        <v>313</v>
      </c>
      <c r="B58" s="7">
        <v>9376.7039999999997</v>
      </c>
    </row>
    <row r="59" spans="1:2" x14ac:dyDescent="0.25">
      <c r="A59" s="6" t="s">
        <v>314</v>
      </c>
      <c r="B59" s="7">
        <v>51114.275999999998</v>
      </c>
    </row>
    <row r="60" spans="1:2" x14ac:dyDescent="0.25">
      <c r="A60" s="99" t="s">
        <v>315</v>
      </c>
      <c r="B60" s="7">
        <v>51114.275999999998</v>
      </c>
    </row>
    <row r="61" spans="1:2" x14ac:dyDescent="0.25">
      <c r="A61" s="6" t="s">
        <v>316</v>
      </c>
      <c r="B61" s="7">
        <v>31623.630000000005</v>
      </c>
    </row>
    <row r="62" spans="1:2" x14ac:dyDescent="0.25">
      <c r="A62" s="99" t="s">
        <v>317</v>
      </c>
      <c r="B62" s="7">
        <v>31623.630000000005</v>
      </c>
    </row>
    <row r="63" spans="1:2" x14ac:dyDescent="0.25">
      <c r="A63" s="6" t="s">
        <v>318</v>
      </c>
      <c r="B63" s="7">
        <v>5009.4719999999998</v>
      </c>
    </row>
    <row r="64" spans="1:2" x14ac:dyDescent="0.25">
      <c r="A64" s="99" t="s">
        <v>319</v>
      </c>
      <c r="B64" s="7">
        <v>5009.4719999999998</v>
      </c>
    </row>
    <row r="65" spans="1:2" x14ac:dyDescent="0.25">
      <c r="A65" s="6" t="s">
        <v>320</v>
      </c>
      <c r="B65" s="7">
        <v>37519.00518</v>
      </c>
    </row>
    <row r="66" spans="1:2" x14ac:dyDescent="0.25">
      <c r="A66" s="99" t="s">
        <v>2054</v>
      </c>
      <c r="B66" s="7">
        <v>37519.00518</v>
      </c>
    </row>
    <row r="67" spans="1:2" x14ac:dyDescent="0.25">
      <c r="A67" s="6" t="s">
        <v>321</v>
      </c>
      <c r="B67" s="7">
        <v>11948.34</v>
      </c>
    </row>
    <row r="68" spans="1:2" x14ac:dyDescent="0.25">
      <c r="A68" s="99" t="s">
        <v>322</v>
      </c>
      <c r="B68" s="7">
        <v>11948.34</v>
      </c>
    </row>
    <row r="69" spans="1:2" x14ac:dyDescent="0.25">
      <c r="A69" s="6" t="s">
        <v>323</v>
      </c>
      <c r="B69" s="7">
        <v>25248.06</v>
      </c>
    </row>
    <row r="70" spans="1:2" x14ac:dyDescent="0.25">
      <c r="A70" s="99" t="s">
        <v>324</v>
      </c>
      <c r="B70" s="7">
        <v>25248.06</v>
      </c>
    </row>
    <row r="71" spans="1:2" x14ac:dyDescent="0.25">
      <c r="A71" s="6" t="s">
        <v>2076</v>
      </c>
      <c r="B71" s="7">
        <v>37267.196256000003</v>
      </c>
    </row>
    <row r="72" spans="1:2" x14ac:dyDescent="0.25">
      <c r="A72" s="99" t="s">
        <v>2078</v>
      </c>
      <c r="B72" s="7">
        <v>37267.196256000003</v>
      </c>
    </row>
    <row r="73" spans="1:2" x14ac:dyDescent="0.25">
      <c r="A73" s="6" t="s">
        <v>47</v>
      </c>
      <c r="B73" s="7">
        <v>25047.360000000001</v>
      </c>
    </row>
    <row r="74" spans="1:2" x14ac:dyDescent="0.25">
      <c r="A74" s="99" t="s">
        <v>48</v>
      </c>
      <c r="B74" s="7">
        <v>25047.360000000001</v>
      </c>
    </row>
    <row r="75" spans="1:2" x14ac:dyDescent="0.25">
      <c r="A75" s="5" t="s">
        <v>800</v>
      </c>
      <c r="B75" s="7">
        <v>4178687.2388309031</v>
      </c>
    </row>
    <row r="76" spans="1:2" x14ac:dyDescent="0.25">
      <c r="A76" s="6" t="s">
        <v>325</v>
      </c>
      <c r="B76" s="7">
        <v>456044.82984000002</v>
      </c>
    </row>
    <row r="77" spans="1:2" x14ac:dyDescent="0.25">
      <c r="A77" s="99" t="s">
        <v>326</v>
      </c>
      <c r="B77" s="7">
        <v>456044.82984000002</v>
      </c>
    </row>
    <row r="78" spans="1:2" x14ac:dyDescent="0.25">
      <c r="A78" s="6" t="s">
        <v>327</v>
      </c>
      <c r="B78" s="7">
        <v>218395.56513</v>
      </c>
    </row>
    <row r="79" spans="1:2" x14ac:dyDescent="0.25">
      <c r="A79" s="99" t="s">
        <v>328</v>
      </c>
      <c r="B79" s="7">
        <v>218395.56513</v>
      </c>
    </row>
    <row r="80" spans="1:2" x14ac:dyDescent="0.25">
      <c r="A80" s="6" t="s">
        <v>329</v>
      </c>
      <c r="B80" s="7">
        <v>154014.50400000002</v>
      </c>
    </row>
    <row r="81" spans="1:2" x14ac:dyDescent="0.25">
      <c r="A81" s="99" t="s">
        <v>330</v>
      </c>
      <c r="B81" s="7">
        <v>154014.50400000002</v>
      </c>
    </row>
    <row r="82" spans="1:2" x14ac:dyDescent="0.25">
      <c r="A82" s="6" t="s">
        <v>331</v>
      </c>
      <c r="B82" s="7">
        <v>53479.766532672016</v>
      </c>
    </row>
    <row r="83" spans="1:2" x14ac:dyDescent="0.25">
      <c r="A83" s="99" t="s">
        <v>332</v>
      </c>
      <c r="B83" s="7">
        <v>53479.766532672016</v>
      </c>
    </row>
    <row r="84" spans="1:2" x14ac:dyDescent="0.25">
      <c r="A84" s="6" t="s">
        <v>333</v>
      </c>
      <c r="B84" s="7">
        <v>116101.3374</v>
      </c>
    </row>
    <row r="85" spans="1:2" x14ac:dyDescent="0.25">
      <c r="A85" s="99" t="s">
        <v>334</v>
      </c>
      <c r="B85" s="7">
        <v>116101.3374</v>
      </c>
    </row>
    <row r="86" spans="1:2" x14ac:dyDescent="0.25">
      <c r="A86" s="6" t="s">
        <v>335</v>
      </c>
      <c r="B86" s="7">
        <v>156335.26500000001</v>
      </c>
    </row>
    <row r="87" spans="1:2" x14ac:dyDescent="0.25">
      <c r="A87" s="99" t="s">
        <v>336</v>
      </c>
      <c r="B87" s="7">
        <v>156335.26500000001</v>
      </c>
    </row>
    <row r="88" spans="1:2" x14ac:dyDescent="0.25">
      <c r="A88" s="6" t="s">
        <v>245</v>
      </c>
      <c r="B88" s="7">
        <v>110643.50160000002</v>
      </c>
    </row>
    <row r="89" spans="1:2" x14ac:dyDescent="0.25">
      <c r="A89" s="99" t="s">
        <v>337</v>
      </c>
      <c r="B89" s="7">
        <v>110643.50160000002</v>
      </c>
    </row>
    <row r="90" spans="1:2" x14ac:dyDescent="0.25">
      <c r="A90" s="6" t="s">
        <v>340</v>
      </c>
      <c r="B90" s="7">
        <v>515936.32562999998</v>
      </c>
    </row>
    <row r="91" spans="1:2" x14ac:dyDescent="0.25">
      <c r="A91" s="99" t="s">
        <v>2169</v>
      </c>
      <c r="B91" s="7">
        <v>515936.32562999998</v>
      </c>
    </row>
    <row r="92" spans="1:2" x14ac:dyDescent="0.25">
      <c r="A92" s="6" t="s">
        <v>341</v>
      </c>
      <c r="B92" s="7">
        <v>72425.886480000001</v>
      </c>
    </row>
    <row r="93" spans="1:2" x14ac:dyDescent="0.25">
      <c r="A93" s="99" t="s">
        <v>2170</v>
      </c>
      <c r="B93" s="7">
        <v>72425.886480000001</v>
      </c>
    </row>
    <row r="94" spans="1:2" x14ac:dyDescent="0.25">
      <c r="A94" s="6" t="s">
        <v>247</v>
      </c>
      <c r="B94" s="7">
        <v>398486.11162800004</v>
      </c>
    </row>
    <row r="95" spans="1:2" x14ac:dyDescent="0.25">
      <c r="A95" s="99" t="s">
        <v>342</v>
      </c>
      <c r="B95" s="7">
        <v>398486.11162800004</v>
      </c>
    </row>
    <row r="96" spans="1:2" x14ac:dyDescent="0.25">
      <c r="A96" s="6" t="s">
        <v>343</v>
      </c>
      <c r="B96" s="7">
        <v>160047.19753663201</v>
      </c>
    </row>
    <row r="97" spans="1:2" x14ac:dyDescent="0.25">
      <c r="A97" s="99" t="s">
        <v>344</v>
      </c>
      <c r="B97" s="7">
        <v>160047.19753663201</v>
      </c>
    </row>
    <row r="98" spans="1:2" x14ac:dyDescent="0.25">
      <c r="A98" s="6" t="s">
        <v>345</v>
      </c>
      <c r="B98" s="7">
        <v>1170256.5001079999</v>
      </c>
    </row>
    <row r="99" spans="1:2" x14ac:dyDescent="0.25">
      <c r="A99" s="99" t="s">
        <v>346</v>
      </c>
      <c r="B99" s="7">
        <v>1170256.5001079999</v>
      </c>
    </row>
    <row r="100" spans="1:2" x14ac:dyDescent="0.25">
      <c r="A100" s="6" t="s">
        <v>348</v>
      </c>
      <c r="B100" s="7">
        <v>140748.8497476</v>
      </c>
    </row>
    <row r="101" spans="1:2" x14ac:dyDescent="0.25">
      <c r="A101" s="99" t="s">
        <v>349</v>
      </c>
      <c r="B101" s="7">
        <v>140748.8497476</v>
      </c>
    </row>
    <row r="102" spans="1:2" x14ac:dyDescent="0.25">
      <c r="A102" s="6" t="s">
        <v>350</v>
      </c>
      <c r="B102" s="7">
        <v>110400.00031799999</v>
      </c>
    </row>
    <row r="103" spans="1:2" x14ac:dyDescent="0.25">
      <c r="A103" s="99" t="s">
        <v>346</v>
      </c>
      <c r="B103" s="7">
        <v>110400.00031799999</v>
      </c>
    </row>
    <row r="104" spans="1:2" x14ac:dyDescent="0.25">
      <c r="A104" s="6" t="s">
        <v>51</v>
      </c>
      <c r="B104" s="7">
        <v>148853.43660000002</v>
      </c>
    </row>
    <row r="105" spans="1:2" x14ac:dyDescent="0.25">
      <c r="A105" s="99" t="s">
        <v>52</v>
      </c>
      <c r="B105" s="7">
        <v>148853.43660000002</v>
      </c>
    </row>
    <row r="106" spans="1:2" x14ac:dyDescent="0.25">
      <c r="A106" s="6" t="s">
        <v>53</v>
      </c>
      <c r="B106" s="7">
        <v>16056</v>
      </c>
    </row>
    <row r="107" spans="1:2" x14ac:dyDescent="0.25">
      <c r="A107" s="99" t="s">
        <v>54</v>
      </c>
      <c r="B107" s="7">
        <v>16056</v>
      </c>
    </row>
    <row r="108" spans="1:2" x14ac:dyDescent="0.25">
      <c r="A108" s="6" t="s">
        <v>353</v>
      </c>
      <c r="B108" s="7">
        <v>30506.400000000001</v>
      </c>
    </row>
    <row r="109" spans="1:2" x14ac:dyDescent="0.25">
      <c r="A109" s="99" t="s">
        <v>354</v>
      </c>
      <c r="B109" s="7">
        <v>30506.400000000001</v>
      </c>
    </row>
    <row r="110" spans="1:2" x14ac:dyDescent="0.25">
      <c r="A110" s="6" t="s">
        <v>359</v>
      </c>
      <c r="B110" s="7">
        <v>71609.760000000009</v>
      </c>
    </row>
    <row r="111" spans="1:2" x14ac:dyDescent="0.25">
      <c r="A111" s="99" t="s">
        <v>360</v>
      </c>
      <c r="B111" s="7">
        <v>71609.760000000009</v>
      </c>
    </row>
    <row r="112" spans="1:2" x14ac:dyDescent="0.25">
      <c r="A112" s="6" t="s">
        <v>1577</v>
      </c>
      <c r="B112" s="7">
        <v>78346.001279999997</v>
      </c>
    </row>
    <row r="113" spans="1:2" x14ac:dyDescent="0.25">
      <c r="A113" s="99" t="s">
        <v>1950</v>
      </c>
      <c r="B113" s="7">
        <v>78346.001279999997</v>
      </c>
    </row>
    <row r="114" spans="1:2" x14ac:dyDescent="0.25">
      <c r="A114" s="5" t="s">
        <v>801</v>
      </c>
      <c r="B114" s="7">
        <v>953641.56360560004</v>
      </c>
    </row>
    <row r="115" spans="1:2" x14ac:dyDescent="0.25">
      <c r="A115" s="6" t="s">
        <v>55</v>
      </c>
      <c r="B115" s="7">
        <v>8368</v>
      </c>
    </row>
    <row r="116" spans="1:2" x14ac:dyDescent="0.25">
      <c r="A116" s="99" t="s">
        <v>56</v>
      </c>
      <c r="B116" s="7">
        <v>8368</v>
      </c>
    </row>
    <row r="117" spans="1:2" x14ac:dyDescent="0.25">
      <c r="A117" s="6" t="s">
        <v>369</v>
      </c>
      <c r="B117" s="7">
        <v>3000</v>
      </c>
    </row>
    <row r="118" spans="1:2" x14ac:dyDescent="0.25">
      <c r="A118" s="99" t="s">
        <v>738</v>
      </c>
      <c r="B118" s="7">
        <v>3000</v>
      </c>
    </row>
    <row r="119" spans="1:2" x14ac:dyDescent="0.25">
      <c r="A119" s="6" t="s">
        <v>370</v>
      </c>
      <c r="B119" s="7">
        <v>4270</v>
      </c>
    </row>
    <row r="120" spans="1:2" x14ac:dyDescent="0.25">
      <c r="A120" s="99" t="s">
        <v>371</v>
      </c>
      <c r="B120" s="7">
        <v>4270</v>
      </c>
    </row>
    <row r="121" spans="1:2" x14ac:dyDescent="0.25">
      <c r="A121" s="6" t="s">
        <v>372</v>
      </c>
      <c r="B121" s="7">
        <v>124233.3</v>
      </c>
    </row>
    <row r="122" spans="1:2" x14ac:dyDescent="0.25">
      <c r="A122" s="99" t="s">
        <v>373</v>
      </c>
      <c r="B122" s="7">
        <v>124233.3</v>
      </c>
    </row>
    <row r="123" spans="1:2" x14ac:dyDescent="0.25">
      <c r="A123" s="6" t="s">
        <v>374</v>
      </c>
      <c r="B123" s="7">
        <v>183975.0016056</v>
      </c>
    </row>
    <row r="124" spans="1:2" x14ac:dyDescent="0.25">
      <c r="A124" s="99" t="s">
        <v>375</v>
      </c>
      <c r="B124" s="7">
        <v>183975.0016056</v>
      </c>
    </row>
    <row r="125" spans="1:2" x14ac:dyDescent="0.25">
      <c r="A125" s="6" t="s">
        <v>378</v>
      </c>
      <c r="B125" s="7">
        <v>9376.7039999999997</v>
      </c>
    </row>
    <row r="126" spans="1:2" x14ac:dyDescent="0.25">
      <c r="A126" s="99" t="s">
        <v>379</v>
      </c>
      <c r="B126" s="7">
        <v>9376.7039999999997</v>
      </c>
    </row>
    <row r="127" spans="1:2" x14ac:dyDescent="0.25">
      <c r="A127" s="6" t="s">
        <v>380</v>
      </c>
      <c r="B127" s="7">
        <v>32474.598000000002</v>
      </c>
    </row>
    <row r="128" spans="1:2" x14ac:dyDescent="0.25">
      <c r="A128" s="99" t="s">
        <v>365</v>
      </c>
      <c r="B128" s="7">
        <v>32474.598000000002</v>
      </c>
    </row>
    <row r="129" spans="1:2" x14ac:dyDescent="0.25">
      <c r="A129" s="6" t="s">
        <v>384</v>
      </c>
      <c r="B129" s="7">
        <v>467202.83999999997</v>
      </c>
    </row>
    <row r="130" spans="1:2" x14ac:dyDescent="0.25">
      <c r="A130" s="99" t="s">
        <v>385</v>
      </c>
      <c r="B130" s="7">
        <v>467202.83999999997</v>
      </c>
    </row>
    <row r="131" spans="1:2" x14ac:dyDescent="0.25">
      <c r="A131" s="6" t="s">
        <v>65</v>
      </c>
      <c r="B131" s="7">
        <v>120741.12</v>
      </c>
    </row>
    <row r="132" spans="1:2" x14ac:dyDescent="0.25">
      <c r="A132" s="99" t="s">
        <v>66</v>
      </c>
      <c r="B132" s="7">
        <v>120741.12</v>
      </c>
    </row>
    <row r="133" spans="1:2" x14ac:dyDescent="0.25">
      <c r="A133" s="5" t="s">
        <v>1516</v>
      </c>
      <c r="B133" s="7">
        <v>6347110.431524504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1"/>
  <sheetViews>
    <sheetView topLeftCell="A2" workbookViewId="0"/>
  </sheetViews>
  <sheetFormatPr defaultRowHeight="15" x14ac:dyDescent="0.25"/>
  <sheetData>
    <row r="1" spans="1:16" x14ac:dyDescent="0.25">
      <c r="A1" s="11" t="s">
        <v>7</v>
      </c>
      <c r="B1" s="12" t="s">
        <v>1</v>
      </c>
      <c r="C1" s="12" t="s">
        <v>246</v>
      </c>
      <c r="D1" t="s">
        <v>490</v>
      </c>
      <c r="E1" s="12" t="s">
        <v>67</v>
      </c>
      <c r="F1" s="12" t="s">
        <v>5</v>
      </c>
      <c r="G1" s="12" t="s">
        <v>464</v>
      </c>
      <c r="H1" s="12" t="s">
        <v>961</v>
      </c>
      <c r="I1" s="12" t="s">
        <v>627</v>
      </c>
      <c r="J1" s="12" t="s">
        <v>466</v>
      </c>
      <c r="K1" s="12" t="s">
        <v>467</v>
      </c>
      <c r="L1" s="12" t="s">
        <v>2026</v>
      </c>
      <c r="M1" s="12" t="s">
        <v>465</v>
      </c>
      <c r="N1" s="13" t="s">
        <v>398</v>
      </c>
      <c r="O1" s="13" t="s">
        <v>488</v>
      </c>
      <c r="P1" s="13" t="s">
        <v>165</v>
      </c>
    </row>
    <row r="2" spans="1:16" x14ac:dyDescent="0.25">
      <c r="A2" t="str">
        <f>LEFT(B2,2)</f>
        <v>08</v>
      </c>
      <c r="B2" s="10" t="s">
        <v>300</v>
      </c>
      <c r="C2" t="str">
        <f>VLOOKUP(B2,Table4[],2,FALSE)</f>
        <v xml:space="preserve"> Roela Raamatukogu</v>
      </c>
      <c r="D2" s="1" t="str">
        <f>VLOOKUP(Table110[[#This Row],[Tegevusala]],Table4[[Tegevusala kood]:[Tegevusala alanimetus]],4,FALSE)</f>
        <v>Raamatukogud</v>
      </c>
      <c r="E2" t="str">
        <f>VLOOKUP(C2,Table4[[Tegevusala nimetus]:[Tegevusala koondnimetus]],2,FALSE)</f>
        <v>Vabaaeg, kultuur ja religioon</v>
      </c>
      <c r="F2" t="s">
        <v>450</v>
      </c>
      <c r="G2" t="s">
        <v>489</v>
      </c>
      <c r="H2">
        <v>1</v>
      </c>
      <c r="I2" t="s">
        <v>2027</v>
      </c>
      <c r="J2">
        <v>762</v>
      </c>
      <c r="K2">
        <f t="shared" ref="K2:K65" si="0">H2*J2</f>
        <v>762</v>
      </c>
      <c r="L2">
        <v>12</v>
      </c>
      <c r="N2" s="40">
        <f>(K2*Table110[[#This Row],[Ühik2]])+M2</f>
        <v>9144</v>
      </c>
      <c r="O2" s="40">
        <f>Table110[[#This Row],[2020. EA ]]*0.338</f>
        <v>3090.672</v>
      </c>
    </row>
    <row r="3" spans="1:16" x14ac:dyDescent="0.25">
      <c r="A3" s="14" t="str">
        <f t="shared" ref="A3:A24" si="1">LEFT(B3,2)</f>
        <v>09</v>
      </c>
      <c r="B3" t="s">
        <v>247</v>
      </c>
      <c r="C3" s="14" t="str">
        <f>VLOOKUP(B3,Table4[],2,FALSE)</f>
        <v xml:space="preserve"> Roela kool</v>
      </c>
      <c r="D3" s="14" t="str">
        <f>VLOOKUP(Table110[[#This Row],[Tegevusala]],Table4[[Tegevusala kood]:[Tegevusala alanimetus]],4,FALSE)</f>
        <v>Põhihariduse otsekulud</v>
      </c>
      <c r="E3" s="14" t="str">
        <f>VLOOKUP(C3,Table4[[Tegevusala nimetus]:[Tegevusala koondnimetus]],2,FALSE)</f>
        <v>Haridus</v>
      </c>
      <c r="F3" s="14" t="s">
        <v>342</v>
      </c>
      <c r="G3" s="38" t="s">
        <v>468</v>
      </c>
      <c r="H3" s="14">
        <v>0.5</v>
      </c>
      <c r="I3" s="14"/>
      <c r="J3" s="14">
        <v>1250</v>
      </c>
      <c r="K3">
        <f t="shared" si="0"/>
        <v>625</v>
      </c>
      <c r="L3" s="14">
        <v>5</v>
      </c>
      <c r="M3" s="14"/>
      <c r="N3" s="44">
        <f>(K3*Table110[[#This Row],[Ühik2]])+M3</f>
        <v>3125</v>
      </c>
      <c r="O3" s="44">
        <f>Table110[[#This Row],[2020. EA ]]*0.338</f>
        <v>1056.25</v>
      </c>
      <c r="P3" s="14"/>
    </row>
    <row r="4" spans="1:16" x14ac:dyDescent="0.25">
      <c r="A4" s="14" t="str">
        <f t="shared" si="1"/>
        <v>09</v>
      </c>
      <c r="B4" t="s">
        <v>247</v>
      </c>
      <c r="C4" s="14" t="str">
        <f>VLOOKUP(B4,Table4[],2,FALSE)</f>
        <v xml:space="preserve"> Roela kool</v>
      </c>
      <c r="D4" s="14" t="str">
        <f>VLOOKUP(Table110[[#This Row],[Tegevusala]],Table4[[Tegevusala kood]:[Tegevusala alanimetus]],4,FALSE)</f>
        <v>Põhihariduse otsekulud</v>
      </c>
      <c r="E4" s="14" t="str">
        <f>VLOOKUP(C4,Table4[[Tegevusala nimetus]:[Tegevusala koondnimetus]],2,FALSE)</f>
        <v>Haridus</v>
      </c>
      <c r="F4" s="14" t="s">
        <v>342</v>
      </c>
      <c r="G4" s="38" t="s">
        <v>469</v>
      </c>
      <c r="H4" s="14">
        <v>0.32</v>
      </c>
      <c r="I4" s="14"/>
      <c r="J4" s="14">
        <v>1250</v>
      </c>
      <c r="K4">
        <f t="shared" si="0"/>
        <v>400</v>
      </c>
      <c r="L4" s="14">
        <v>12</v>
      </c>
      <c r="M4" s="14"/>
      <c r="N4" s="44">
        <f>(K4*Table110[[#This Row],[Ühik2]])+M4</f>
        <v>4800</v>
      </c>
      <c r="O4" s="44">
        <f>Table110[[#This Row],[2020. EA ]]*0.338</f>
        <v>1622.4</v>
      </c>
      <c r="P4" s="14"/>
    </row>
    <row r="5" spans="1:16" x14ac:dyDescent="0.25">
      <c r="A5" s="14" t="str">
        <f t="shared" si="1"/>
        <v>09</v>
      </c>
      <c r="B5" t="s">
        <v>247</v>
      </c>
      <c r="C5" s="14" t="str">
        <f>VLOOKUP(B5,Table4[],2,FALSE)</f>
        <v xml:space="preserve"> Roela kool</v>
      </c>
      <c r="D5" s="14" t="str">
        <f>VLOOKUP(Table110[[#This Row],[Tegevusala]],Table4[[Tegevusala kood]:[Tegevusala alanimetus]],4,FALSE)</f>
        <v>Põhihariduse otsekulud</v>
      </c>
      <c r="E5" s="14" t="str">
        <f>VLOOKUP(C5,Table4[[Tegevusala nimetus]:[Tegevusala koondnimetus]],2,FALSE)</f>
        <v>Haridus</v>
      </c>
      <c r="F5" s="14" t="s">
        <v>342</v>
      </c>
      <c r="G5" s="38" t="s">
        <v>470</v>
      </c>
      <c r="H5" s="14">
        <v>0.5</v>
      </c>
      <c r="I5" s="14"/>
      <c r="J5" s="14">
        <v>998</v>
      </c>
      <c r="K5">
        <f t="shared" si="0"/>
        <v>499</v>
      </c>
      <c r="L5" s="14">
        <v>12</v>
      </c>
      <c r="M5" s="14"/>
      <c r="N5" s="44">
        <f>(K5*Table110[[#This Row],[Ühik2]])+M5</f>
        <v>5988</v>
      </c>
      <c r="O5" s="44">
        <f>Table110[[#This Row],[2020. EA ]]*0.338</f>
        <v>2023.9440000000002</v>
      </c>
      <c r="P5" s="14"/>
    </row>
    <row r="6" spans="1:16" x14ac:dyDescent="0.25">
      <c r="A6" s="14" t="str">
        <f t="shared" si="1"/>
        <v>09</v>
      </c>
      <c r="B6" t="s">
        <v>247</v>
      </c>
      <c r="C6" s="14" t="str">
        <f>VLOOKUP(B6,Table4[],2,FALSE)</f>
        <v xml:space="preserve"> Roela kool</v>
      </c>
      <c r="D6" s="14" t="str">
        <f>VLOOKUP(Table110[[#This Row],[Tegevusala]],Table4[[Tegevusala kood]:[Tegevusala alanimetus]],4,FALSE)</f>
        <v>Põhihariduse otsekulud</v>
      </c>
      <c r="E6" s="14" t="str">
        <f>VLOOKUP(C6,Table4[[Tegevusala nimetus]:[Tegevusala koondnimetus]],2,FALSE)</f>
        <v>Haridus</v>
      </c>
      <c r="F6" s="14" t="s">
        <v>342</v>
      </c>
      <c r="G6" s="38" t="s">
        <v>2171</v>
      </c>
      <c r="H6" s="14">
        <v>1</v>
      </c>
      <c r="I6" s="14"/>
      <c r="J6" s="14">
        <v>951</v>
      </c>
      <c r="K6">
        <f t="shared" si="0"/>
        <v>951</v>
      </c>
      <c r="L6" s="14">
        <v>12</v>
      </c>
      <c r="M6" s="14"/>
      <c r="N6" s="44">
        <f>(K6*Table110[[#This Row],[Ühik2]])+M6</f>
        <v>11412</v>
      </c>
      <c r="O6" s="44">
        <f>Table110[[#This Row],[2020. EA ]]*0.338</f>
        <v>3857.2560000000003</v>
      </c>
      <c r="P6" s="14"/>
    </row>
    <row r="7" spans="1:16" x14ac:dyDescent="0.25">
      <c r="A7" s="14" t="str">
        <f t="shared" si="1"/>
        <v>09</v>
      </c>
      <c r="B7" t="s">
        <v>247</v>
      </c>
      <c r="C7" s="14" t="str">
        <f>VLOOKUP(B7,Table4[],2,FALSE)</f>
        <v xml:space="preserve"> Roela kool</v>
      </c>
      <c r="D7" s="14" t="str">
        <f>VLOOKUP(Table110[[#This Row],[Tegevusala]],Table4[[Tegevusala kood]:[Tegevusala alanimetus]],4,FALSE)</f>
        <v>Põhihariduse otsekulud</v>
      </c>
      <c r="E7" s="14" t="str">
        <f>VLOOKUP(C7,Table4[[Tegevusala nimetus]:[Tegevusala koondnimetus]],2,FALSE)</f>
        <v>Haridus</v>
      </c>
      <c r="F7" s="14" t="s">
        <v>342</v>
      </c>
      <c r="G7" s="38" t="s">
        <v>472</v>
      </c>
      <c r="H7" s="14">
        <v>1.2</v>
      </c>
      <c r="I7" s="14"/>
      <c r="J7" s="14">
        <v>704</v>
      </c>
      <c r="K7">
        <f t="shared" si="0"/>
        <v>844.8</v>
      </c>
      <c r="L7" s="37">
        <v>10</v>
      </c>
      <c r="M7" s="14"/>
      <c r="N7" s="44">
        <f>(K7*Table110[[#This Row],[Ühik2]])+M7</f>
        <v>8448</v>
      </c>
      <c r="O7" s="44">
        <f>Table110[[#This Row],[2020. EA ]]*0.338</f>
        <v>2855.424</v>
      </c>
      <c r="P7" s="14"/>
    </row>
    <row r="8" spans="1:16" x14ac:dyDescent="0.25">
      <c r="A8" s="14" t="str">
        <f t="shared" si="1"/>
        <v>09</v>
      </c>
      <c r="B8" t="s">
        <v>247</v>
      </c>
      <c r="C8" s="14" t="str">
        <f>VLOOKUP(B8,Table4[],2,FALSE)</f>
        <v xml:space="preserve"> Roela kool</v>
      </c>
      <c r="D8" s="14" t="str">
        <f>VLOOKUP(Table110[[#This Row],[Tegevusala]],Table4[[Tegevusala kood]:[Tegevusala alanimetus]],4,FALSE)</f>
        <v>Põhihariduse otsekulud</v>
      </c>
      <c r="E8" s="14" t="str">
        <f>VLOOKUP(C8,Table4[[Tegevusala nimetus]:[Tegevusala koondnimetus]],2,FALSE)</f>
        <v>Haridus</v>
      </c>
      <c r="F8" s="14" t="s">
        <v>342</v>
      </c>
      <c r="G8" s="38" t="s">
        <v>2174</v>
      </c>
      <c r="H8" s="14">
        <v>0.45</v>
      </c>
      <c r="I8" s="14"/>
      <c r="J8" s="14">
        <v>704</v>
      </c>
      <c r="K8">
        <f t="shared" si="0"/>
        <v>316.8</v>
      </c>
      <c r="L8" s="37">
        <v>10</v>
      </c>
      <c r="M8" s="14"/>
      <c r="N8" s="44">
        <f>(K8*Table110[[#This Row],[Ühik2]])+M8</f>
        <v>3168</v>
      </c>
      <c r="O8" s="44">
        <f>Table110[[#This Row],[2020. EA ]]*0.338</f>
        <v>1070.7840000000001</v>
      </c>
      <c r="P8" s="14"/>
    </row>
    <row r="9" spans="1:16" x14ac:dyDescent="0.25">
      <c r="A9" s="14" t="str">
        <f t="shared" si="1"/>
        <v>09</v>
      </c>
      <c r="B9" t="s">
        <v>245</v>
      </c>
      <c r="C9" s="14" t="str">
        <f>VLOOKUP(B9,Table4[],2,FALSE)</f>
        <v xml:space="preserve"> Roela Lasteaed</v>
      </c>
      <c r="D9" s="14" t="str">
        <f>VLOOKUP(Table110[[#This Row],[Tegevusala]],Table4[[Tegevusala kood]:[Tegevusala alanimetus]],4,FALSE)</f>
        <v>Alusharidus</v>
      </c>
      <c r="E9" s="14" t="str">
        <f>VLOOKUP(C9,Table4[[Tegevusala nimetus]:[Tegevusala koondnimetus]],2,FALSE)</f>
        <v>Haridus</v>
      </c>
      <c r="F9" s="14" t="s">
        <v>342</v>
      </c>
      <c r="G9" s="38" t="s">
        <v>473</v>
      </c>
      <c r="H9" s="14">
        <v>1</v>
      </c>
      <c r="I9" s="14"/>
      <c r="J9" s="14">
        <v>660</v>
      </c>
      <c r="K9">
        <f t="shared" si="0"/>
        <v>660</v>
      </c>
      <c r="L9" s="14">
        <v>12</v>
      </c>
      <c r="M9" s="14"/>
      <c r="N9" s="44">
        <f>(K9*Table110[[#This Row],[Ühik2]])+M9</f>
        <v>7920</v>
      </c>
      <c r="O9" s="44">
        <f>Table110[[#This Row],[2020. EA ]]*0.338</f>
        <v>2676.96</v>
      </c>
      <c r="P9" s="14"/>
    </row>
    <row r="10" spans="1:16" x14ac:dyDescent="0.25">
      <c r="A10" s="14" t="str">
        <f t="shared" si="1"/>
        <v>09</v>
      </c>
      <c r="B10" t="s">
        <v>245</v>
      </c>
      <c r="C10" s="14" t="str">
        <f>VLOOKUP(B10,Table4[],2,FALSE)</f>
        <v xml:space="preserve"> Roela Lasteaed</v>
      </c>
      <c r="D10" s="14" t="str">
        <f>VLOOKUP(Table110[[#This Row],[Tegevusala]],Table4[[Tegevusala kood]:[Tegevusala alanimetus]],4,FALSE)</f>
        <v>Alusharidus</v>
      </c>
      <c r="E10" s="14" t="str">
        <f>VLOOKUP(C10,Table4[[Tegevusala nimetus]:[Tegevusala koondnimetus]],2,FALSE)</f>
        <v>Haridus</v>
      </c>
      <c r="F10" s="14" t="s">
        <v>342</v>
      </c>
      <c r="G10" s="38" t="s">
        <v>473</v>
      </c>
      <c r="H10" s="14">
        <v>1</v>
      </c>
      <c r="I10" s="14"/>
      <c r="J10" s="14">
        <v>758</v>
      </c>
      <c r="K10">
        <f t="shared" si="0"/>
        <v>758</v>
      </c>
      <c r="L10" s="14">
        <v>12</v>
      </c>
      <c r="M10" s="14"/>
      <c r="N10" s="44">
        <f>(K10*Table110[[#This Row],[Ühik2]])+M10</f>
        <v>9096</v>
      </c>
      <c r="O10" s="44">
        <f>Table110[[#This Row],[2020. EA ]]*0.338</f>
        <v>3074.4480000000003</v>
      </c>
      <c r="P10" s="14"/>
    </row>
    <row r="11" spans="1:16" x14ac:dyDescent="0.25">
      <c r="A11" s="14" t="str">
        <f t="shared" si="1"/>
        <v>09</v>
      </c>
      <c r="B11" t="s">
        <v>245</v>
      </c>
      <c r="C11" s="14" t="str">
        <f>VLOOKUP(B11,Table4[],2,FALSE)</f>
        <v xml:space="preserve"> Roela Lasteaed</v>
      </c>
      <c r="D11" s="14" t="str">
        <f>VLOOKUP(Table110[[#This Row],[Tegevusala]],Table4[[Tegevusala kood]:[Tegevusala alanimetus]],4,FALSE)</f>
        <v>Alusharidus</v>
      </c>
      <c r="E11" s="14" t="str">
        <f>VLOOKUP(C11,Table4[[Tegevusala nimetus]:[Tegevusala koondnimetus]],2,FALSE)</f>
        <v>Haridus</v>
      </c>
      <c r="F11" s="14" t="s">
        <v>342</v>
      </c>
      <c r="G11" s="38" t="s">
        <v>474</v>
      </c>
      <c r="H11" s="14">
        <v>3.39</v>
      </c>
      <c r="I11" s="14"/>
      <c r="J11" s="14">
        <v>1315</v>
      </c>
      <c r="K11">
        <f t="shared" si="0"/>
        <v>4457.8500000000004</v>
      </c>
      <c r="L11" s="14">
        <v>12</v>
      </c>
      <c r="M11" s="14"/>
      <c r="N11" s="44">
        <f>(K11*Table110[[#This Row],[Ühik2]])+M11</f>
        <v>53494.200000000004</v>
      </c>
      <c r="O11" s="44">
        <f>Table110[[#This Row],[2020. EA ]]*0.338</f>
        <v>18081.039600000004</v>
      </c>
      <c r="P11" s="14"/>
    </row>
    <row r="12" spans="1:16" x14ac:dyDescent="0.25">
      <c r="A12" s="14" t="str">
        <f t="shared" si="1"/>
        <v>09</v>
      </c>
      <c r="B12" t="s">
        <v>245</v>
      </c>
      <c r="C12" s="14" t="str">
        <f>VLOOKUP(B12,Table4[],2,FALSE)</f>
        <v xml:space="preserve"> Roela Lasteaed</v>
      </c>
      <c r="D12" s="14" t="str">
        <f>VLOOKUP(Table110[[#This Row],[Tegevusala]],Table4[[Tegevusala kood]:[Tegevusala alanimetus]],4,FALSE)</f>
        <v>Alusharidus</v>
      </c>
      <c r="E12" s="14" t="str">
        <f>VLOOKUP(C12,Table4[[Tegevusala nimetus]:[Tegevusala koondnimetus]],2,FALSE)</f>
        <v>Haridus</v>
      </c>
      <c r="F12" s="14" t="s">
        <v>342</v>
      </c>
      <c r="G12" s="38" t="s">
        <v>475</v>
      </c>
      <c r="H12" s="14">
        <v>0.15</v>
      </c>
      <c r="I12" s="14"/>
      <c r="J12" s="14">
        <v>1315</v>
      </c>
      <c r="K12">
        <f t="shared" si="0"/>
        <v>197.25</v>
      </c>
      <c r="L12" s="14">
        <v>12</v>
      </c>
      <c r="M12" s="14"/>
      <c r="N12" s="44">
        <f>(K12*Table110[[#This Row],[Ühik2]])+M12</f>
        <v>2367</v>
      </c>
      <c r="O12" s="44">
        <f>Table110[[#This Row],[2020. EA ]]*0.338</f>
        <v>800.04600000000005</v>
      </c>
      <c r="P12" s="14"/>
    </row>
    <row r="13" spans="1:16" x14ac:dyDescent="0.25">
      <c r="A13" s="14" t="str">
        <f t="shared" si="1"/>
        <v>09</v>
      </c>
      <c r="B13" t="s">
        <v>245</v>
      </c>
      <c r="C13" s="14" t="str">
        <f>VLOOKUP(B13,Table4[],2,FALSE)</f>
        <v xml:space="preserve"> Roela Lasteaed</v>
      </c>
      <c r="D13" s="14" t="str">
        <f>VLOOKUP(Table110[[#This Row],[Tegevusala]],Table4[[Tegevusala kood]:[Tegevusala alanimetus]],4,FALSE)</f>
        <v>Alusharidus</v>
      </c>
      <c r="E13" s="14" t="str">
        <f>VLOOKUP(C13,Table4[[Tegevusala nimetus]:[Tegevusala koondnimetus]],2,FALSE)</f>
        <v>Haridus</v>
      </c>
      <c r="F13" s="14" t="s">
        <v>342</v>
      </c>
      <c r="G13" s="38" t="s">
        <v>476</v>
      </c>
      <c r="H13" s="14">
        <v>0.25</v>
      </c>
      <c r="I13" s="14"/>
      <c r="J13" s="14">
        <v>1315</v>
      </c>
      <c r="K13">
        <f t="shared" si="0"/>
        <v>328.75</v>
      </c>
      <c r="L13" s="14">
        <v>12</v>
      </c>
      <c r="M13" s="14"/>
      <c r="N13" s="44">
        <f>(K13*Table110[[#This Row],[Ühik2]])+M13</f>
        <v>3945</v>
      </c>
      <c r="O13" s="44">
        <f>Table110[[#This Row],[2020. EA ]]*0.338</f>
        <v>1333.41</v>
      </c>
      <c r="P13" s="14"/>
    </row>
    <row r="14" spans="1:16" x14ac:dyDescent="0.25">
      <c r="A14" s="14" t="str">
        <f t="shared" si="1"/>
        <v>09</v>
      </c>
      <c r="B14" t="s">
        <v>245</v>
      </c>
      <c r="C14" s="14" t="str">
        <f>VLOOKUP(B14,Table4[],2,FALSE)</f>
        <v xml:space="preserve"> Roela Lasteaed</v>
      </c>
      <c r="D14" s="14" t="str">
        <f>VLOOKUP(Table110[[#This Row],[Tegevusala]],Table4[[Tegevusala kood]:[Tegevusala alanimetus]],4,FALSE)</f>
        <v>Alusharidus</v>
      </c>
      <c r="E14" s="14" t="str">
        <f>VLOOKUP(C14,Table4[[Tegevusala nimetus]:[Tegevusala koondnimetus]],2,FALSE)</f>
        <v>Haridus</v>
      </c>
      <c r="F14" s="14" t="s">
        <v>342</v>
      </c>
      <c r="G14" s="38" t="s">
        <v>477</v>
      </c>
      <c r="H14" s="14">
        <v>0.15</v>
      </c>
      <c r="I14" s="14"/>
      <c r="J14" s="14">
        <v>1315</v>
      </c>
      <c r="K14">
        <f t="shared" si="0"/>
        <v>197.25</v>
      </c>
      <c r="L14" s="14">
        <v>12</v>
      </c>
      <c r="M14" s="14"/>
      <c r="N14" s="44">
        <f>(K14*Table110[[#This Row],[Ühik2]])+M14</f>
        <v>2367</v>
      </c>
      <c r="O14" s="44">
        <f>Table110[[#This Row],[2020. EA ]]*0.338</f>
        <v>800.04600000000005</v>
      </c>
      <c r="P14" s="14"/>
    </row>
    <row r="15" spans="1:16" x14ac:dyDescent="0.25">
      <c r="A15" s="91" t="str">
        <f t="shared" si="1"/>
        <v>09</v>
      </c>
      <c r="B15" s="92" t="s">
        <v>245</v>
      </c>
      <c r="C15" s="91" t="str">
        <f>VLOOKUP(B15,Table4[],2,FALSE)</f>
        <v xml:space="preserve"> Roela Lasteaed</v>
      </c>
      <c r="D15" s="91" t="str">
        <f>VLOOKUP(Table110[[#This Row],[Tegevusala]],Table4[[Tegevusala kood]:[Tegevusala alanimetus]],4,FALSE)</f>
        <v>Alusharidus</v>
      </c>
      <c r="E15" s="91" t="str">
        <f>VLOOKUP(C15,Table4[[Tegevusala nimetus]:[Tegevusala koondnimetus]],2,FALSE)</f>
        <v>Haridus</v>
      </c>
      <c r="F15" s="91" t="s">
        <v>342</v>
      </c>
      <c r="G15" s="91" t="s">
        <v>478</v>
      </c>
      <c r="H15" s="91">
        <v>0.5</v>
      </c>
      <c r="I15" s="91"/>
      <c r="J15" s="91">
        <v>584</v>
      </c>
      <c r="K15" s="92">
        <f t="shared" si="0"/>
        <v>292</v>
      </c>
      <c r="L15" s="91">
        <v>12</v>
      </c>
      <c r="M15" s="91"/>
      <c r="N15" s="93">
        <f>(K15*Table110[[#This Row],[Ühik2]])+M15</f>
        <v>3504</v>
      </c>
      <c r="O15" s="93">
        <f>Table110[[#This Row],[2020. EA ]]*0.338</f>
        <v>1184.3520000000001</v>
      </c>
      <c r="P15" s="91"/>
    </row>
    <row r="16" spans="1:16" x14ac:dyDescent="0.25">
      <c r="A16" s="91" t="str">
        <f t="shared" si="1"/>
        <v>09</v>
      </c>
      <c r="B16" s="92" t="s">
        <v>247</v>
      </c>
      <c r="C16" s="91" t="str">
        <f>VLOOKUP(B16,Table4[],2,FALSE)</f>
        <v xml:space="preserve"> Roela kool</v>
      </c>
      <c r="D16" s="91" t="str">
        <f>VLOOKUP(Table110[[#This Row],[Tegevusala]],Table4[[Tegevusala kood]:[Tegevusala alanimetus]],4,FALSE)</f>
        <v>Põhihariduse otsekulud</v>
      </c>
      <c r="E16" s="91" t="str">
        <f>VLOOKUP(C16,Table4[[Tegevusala nimetus]:[Tegevusala koondnimetus]],2,FALSE)</f>
        <v>Haridus</v>
      </c>
      <c r="F16" s="91" t="s">
        <v>342</v>
      </c>
      <c r="G16" s="91" t="s">
        <v>479</v>
      </c>
      <c r="H16" s="91">
        <v>0.6</v>
      </c>
      <c r="I16" s="91"/>
      <c r="J16" s="91">
        <v>584</v>
      </c>
      <c r="K16" s="92">
        <f t="shared" si="0"/>
        <v>350.4</v>
      </c>
      <c r="L16" s="91">
        <v>12</v>
      </c>
      <c r="M16" s="91"/>
      <c r="N16" s="93">
        <f>(K16*Table110[[#This Row],[Ühik2]])+M16</f>
        <v>4204.7999999999993</v>
      </c>
      <c r="O16" s="93">
        <f>Table110[[#This Row],[2020. EA ]]*0.338</f>
        <v>1421.2223999999999</v>
      </c>
      <c r="P16" s="91"/>
    </row>
    <row r="17" spans="1:16" x14ac:dyDescent="0.25">
      <c r="A17" s="91" t="str">
        <f t="shared" si="1"/>
        <v>09</v>
      </c>
      <c r="B17" s="92" t="s">
        <v>247</v>
      </c>
      <c r="C17" s="91" t="str">
        <f>VLOOKUP(B17,Table4[],2,FALSE)</f>
        <v xml:space="preserve"> Roela kool</v>
      </c>
      <c r="D17" s="91" t="str">
        <f>VLOOKUP(Table110[[#This Row],[Tegevusala]],Table4[[Tegevusala kood]:[Tegevusala alanimetus]],4,FALSE)</f>
        <v>Põhihariduse otsekulud</v>
      </c>
      <c r="E17" s="91" t="str">
        <f>VLOOKUP(C17,Table4[[Tegevusala nimetus]:[Tegevusala koondnimetus]],2,FALSE)</f>
        <v>Haridus</v>
      </c>
      <c r="F17" s="91" t="s">
        <v>342</v>
      </c>
      <c r="G17" s="91" t="s">
        <v>480</v>
      </c>
      <c r="H17" s="91">
        <v>0.5</v>
      </c>
      <c r="I17" s="91"/>
      <c r="J17" s="91">
        <v>584</v>
      </c>
      <c r="K17" s="92">
        <f t="shared" si="0"/>
        <v>292</v>
      </c>
      <c r="L17" s="91">
        <v>12</v>
      </c>
      <c r="M17" s="91"/>
      <c r="N17" s="93">
        <f>(K17*Table110[[#This Row],[Ühik2]])+M17</f>
        <v>3504</v>
      </c>
      <c r="O17" s="93">
        <f>Table110[[#This Row],[2020. EA ]]*0.338</f>
        <v>1184.3520000000001</v>
      </c>
      <c r="P17" s="91"/>
    </row>
    <row r="18" spans="1:16" x14ac:dyDescent="0.25">
      <c r="A18" s="91" t="str">
        <f t="shared" si="1"/>
        <v>09</v>
      </c>
      <c r="B18" s="92" t="s">
        <v>247</v>
      </c>
      <c r="C18" s="91" t="str">
        <f>VLOOKUP(B18,Table4[],2,FALSE)</f>
        <v xml:space="preserve"> Roela kool</v>
      </c>
      <c r="D18" s="91" t="str">
        <f>VLOOKUP(Table110[[#This Row],[Tegevusala]],Table4[[Tegevusala kood]:[Tegevusala alanimetus]],4,FALSE)</f>
        <v>Põhihariduse otsekulud</v>
      </c>
      <c r="E18" s="91" t="str">
        <f>VLOOKUP(C18,Table4[[Tegevusala nimetus]:[Tegevusala koondnimetus]],2,FALSE)</f>
        <v>Haridus</v>
      </c>
      <c r="F18" s="91" t="s">
        <v>342</v>
      </c>
      <c r="G18" s="91" t="s">
        <v>481</v>
      </c>
      <c r="H18" s="91">
        <v>1</v>
      </c>
      <c r="I18" s="91"/>
      <c r="J18" s="91">
        <v>584</v>
      </c>
      <c r="K18" s="92">
        <f t="shared" si="0"/>
        <v>584</v>
      </c>
      <c r="L18" s="91">
        <v>12</v>
      </c>
      <c r="M18" s="91"/>
      <c r="N18" s="93">
        <f>(K18*Table110[[#This Row],[Ühik2]])+M18</f>
        <v>7008</v>
      </c>
      <c r="O18" s="93">
        <f>Table110[[#This Row],[2020. EA ]]*0.338</f>
        <v>2368.7040000000002</v>
      </c>
      <c r="P18" s="91"/>
    </row>
    <row r="19" spans="1:16" x14ac:dyDescent="0.25">
      <c r="A19" s="91" t="str">
        <f t="shared" si="1"/>
        <v>09</v>
      </c>
      <c r="B19" s="92" t="s">
        <v>247</v>
      </c>
      <c r="C19" s="91" t="str">
        <f>VLOOKUP(B19,Table4[],2,FALSE)</f>
        <v xml:space="preserve"> Roela kool</v>
      </c>
      <c r="D19" s="91" t="str">
        <f>VLOOKUP(Table110[[#This Row],[Tegevusala]],Table4[[Tegevusala kood]:[Tegevusala alanimetus]],4,FALSE)</f>
        <v>Põhihariduse otsekulud</v>
      </c>
      <c r="E19" s="91" t="str">
        <f>VLOOKUP(C19,Table4[[Tegevusala nimetus]:[Tegevusala koondnimetus]],2,FALSE)</f>
        <v>Haridus</v>
      </c>
      <c r="F19" s="91" t="s">
        <v>342</v>
      </c>
      <c r="G19" s="91" t="s">
        <v>482</v>
      </c>
      <c r="H19" s="91">
        <v>4.4000000000000004</v>
      </c>
      <c r="I19" s="91"/>
      <c r="J19" s="91">
        <v>584</v>
      </c>
      <c r="K19" s="92">
        <f t="shared" si="0"/>
        <v>2569.6000000000004</v>
      </c>
      <c r="L19" s="91">
        <v>12</v>
      </c>
      <c r="M19" s="91"/>
      <c r="N19" s="93">
        <f>(K19*Table110[[#This Row],[Ühik2]])+M19</f>
        <v>30835.200000000004</v>
      </c>
      <c r="O19" s="93">
        <f>Table110[[#This Row],[2020. EA ]]*0.338</f>
        <v>10422.297600000002</v>
      </c>
      <c r="P19" s="91"/>
    </row>
    <row r="20" spans="1:16" x14ac:dyDescent="0.25">
      <c r="A20" s="14" t="str">
        <f t="shared" si="1"/>
        <v>09</v>
      </c>
      <c r="B20" t="s">
        <v>247</v>
      </c>
      <c r="C20" s="14" t="str">
        <f>VLOOKUP(B20,Table4[],2,FALSE)</f>
        <v xml:space="preserve"> Roela kool</v>
      </c>
      <c r="D20" s="14" t="str">
        <f>VLOOKUP(Table110[[#This Row],[Tegevusala]],Table4[[Tegevusala kood]:[Tegevusala alanimetus]],4,FALSE)</f>
        <v>Põhihariduse otsekulud</v>
      </c>
      <c r="E20" s="14" t="str">
        <f>VLOOKUP(C20,Table4[[Tegevusala nimetus]:[Tegevusala koondnimetus]],2,FALSE)</f>
        <v>Haridus</v>
      </c>
      <c r="F20" s="14" t="s">
        <v>342</v>
      </c>
      <c r="G20" s="38" t="s">
        <v>483</v>
      </c>
      <c r="H20" s="14">
        <v>0.5</v>
      </c>
      <c r="I20" s="14"/>
      <c r="J20" s="14">
        <v>735</v>
      </c>
      <c r="K20">
        <f t="shared" si="0"/>
        <v>367.5</v>
      </c>
      <c r="L20" s="14">
        <v>12</v>
      </c>
      <c r="M20" s="14">
        <v>1800</v>
      </c>
      <c r="N20" s="44">
        <f>(K20*Table110[[#This Row],[Ühik2]])+M20</f>
        <v>6210</v>
      </c>
      <c r="O20" s="44">
        <f>Table110[[#This Row],[2020. EA ]]*0.338</f>
        <v>2098.98</v>
      </c>
      <c r="P20" s="14"/>
    </row>
    <row r="21" spans="1:16" x14ac:dyDescent="0.25">
      <c r="A21" s="38" t="str">
        <f t="shared" si="1"/>
        <v>09</v>
      </c>
      <c r="B21" s="33" t="s">
        <v>247</v>
      </c>
      <c r="C21" s="38" t="str">
        <f>VLOOKUP(B21,Table4[],2,FALSE)</f>
        <v xml:space="preserve"> Roela kool</v>
      </c>
      <c r="D21" s="38" t="str">
        <f>VLOOKUP(Table110[[#This Row],[Tegevusala]],Table4[[Tegevusala kood]:[Tegevusala alanimetus]],4,FALSE)</f>
        <v>Põhihariduse otsekulud</v>
      </c>
      <c r="E21" s="38" t="str">
        <f>VLOOKUP(C21,Table4[[Tegevusala nimetus]:[Tegevusala koondnimetus]],2,FALSE)</f>
        <v>Haridus</v>
      </c>
      <c r="F21" s="38" t="s">
        <v>342</v>
      </c>
      <c r="G21" s="38" t="s">
        <v>484</v>
      </c>
      <c r="H21" s="38">
        <v>1</v>
      </c>
      <c r="I21" s="38"/>
      <c r="J21" s="38">
        <v>760</v>
      </c>
      <c r="K21" s="33">
        <f t="shared" si="0"/>
        <v>760</v>
      </c>
      <c r="L21" s="38">
        <v>12</v>
      </c>
      <c r="M21" s="38"/>
      <c r="N21" s="45">
        <f>(K21*Table110[[#This Row],[Ühik2]])+M21</f>
        <v>9120</v>
      </c>
      <c r="O21" s="45">
        <f>Table110[[#This Row],[2020. EA ]]*0.338</f>
        <v>3082.5600000000004</v>
      </c>
      <c r="P21" s="38"/>
    </row>
    <row r="22" spans="1:16" x14ac:dyDescent="0.25">
      <c r="A22" s="14" t="str">
        <f t="shared" si="1"/>
        <v>09</v>
      </c>
      <c r="B22" t="s">
        <v>247</v>
      </c>
      <c r="C22" s="14" t="str">
        <f>VLOOKUP(B22,Table4[],2,FALSE)</f>
        <v xml:space="preserve"> Roela kool</v>
      </c>
      <c r="D22" s="14" t="str">
        <f>VLOOKUP(Table110[[#This Row],[Tegevusala]],Table4[[Tegevusala kood]:[Tegevusala alanimetus]],4,FALSE)</f>
        <v>Põhihariduse otsekulud</v>
      </c>
      <c r="E22" s="14" t="str">
        <f>VLOOKUP(C22,Table4[[Tegevusala nimetus]:[Tegevusala koondnimetus]],2,FALSE)</f>
        <v>Haridus</v>
      </c>
      <c r="F22" s="14" t="s">
        <v>342</v>
      </c>
      <c r="G22" s="14" t="s">
        <v>485</v>
      </c>
      <c r="H22" s="14"/>
      <c r="I22" s="14"/>
      <c r="J22" s="14"/>
      <c r="K22">
        <f t="shared" si="0"/>
        <v>0</v>
      </c>
      <c r="L22" s="14">
        <v>12</v>
      </c>
      <c r="M22" s="14">
        <v>576</v>
      </c>
      <c r="N22" s="44">
        <f>(K22*Table110[[#This Row],[Ühik2]])+M22</f>
        <v>576</v>
      </c>
      <c r="O22" s="44">
        <f>Table110[[#This Row],[2020. EA ]]*0.338</f>
        <v>194.68800000000002</v>
      </c>
      <c r="P22" s="14"/>
    </row>
    <row r="23" spans="1:16" x14ac:dyDescent="0.25">
      <c r="A23" s="91" t="str">
        <f t="shared" si="1"/>
        <v>09</v>
      </c>
      <c r="B23" s="92" t="s">
        <v>247</v>
      </c>
      <c r="C23" s="91" t="str">
        <f>VLOOKUP(B23,Table4[],2,FALSE)</f>
        <v xml:space="preserve"> Roela kool</v>
      </c>
      <c r="D23" s="91" t="str">
        <f>VLOOKUP(Table110[[#This Row],[Tegevusala]],Table4[[Tegevusala kood]:[Tegevusala alanimetus]],4,FALSE)</f>
        <v>Põhihariduse otsekulud</v>
      </c>
      <c r="E23" s="91" t="str">
        <f>VLOOKUP(C23,Table4[[Tegevusala nimetus]:[Tegevusala koondnimetus]],2,FALSE)</f>
        <v>Haridus</v>
      </c>
      <c r="F23" s="91" t="s">
        <v>342</v>
      </c>
      <c r="G23" s="91" t="s">
        <v>486</v>
      </c>
      <c r="H23" s="91">
        <v>1</v>
      </c>
      <c r="I23" s="91"/>
      <c r="J23" s="91">
        <v>584</v>
      </c>
      <c r="K23" s="92">
        <f t="shared" si="0"/>
        <v>584</v>
      </c>
      <c r="L23" s="91">
        <v>12</v>
      </c>
      <c r="M23" s="91"/>
      <c r="N23" s="93">
        <f>(K23*Table110[[#This Row],[Ühik2]])+M23</f>
        <v>7008</v>
      </c>
      <c r="O23" s="93">
        <f>Table110[[#This Row],[2020. EA ]]*0.338</f>
        <v>2368.7040000000002</v>
      </c>
      <c r="P23" s="91"/>
    </row>
    <row r="24" spans="1:16" x14ac:dyDescent="0.25">
      <c r="A24" s="14" t="str">
        <f t="shared" si="1"/>
        <v>09</v>
      </c>
      <c r="B24" t="s">
        <v>247</v>
      </c>
      <c r="C24" s="14" t="str">
        <f>VLOOKUP(B24,Table4[],2,FALSE)</f>
        <v xml:space="preserve"> Roela kool</v>
      </c>
      <c r="D24" s="14" t="str">
        <f>VLOOKUP(Table110[[#This Row],[Tegevusala]],Table4[[Tegevusala kood]:[Tegevusala alanimetus]],4,FALSE)</f>
        <v>Põhihariduse otsekulud</v>
      </c>
      <c r="E24" s="14" t="str">
        <f>VLOOKUP(C24,Table4[[Tegevusala nimetus]:[Tegevusala koondnimetus]],2,FALSE)</f>
        <v>Haridus</v>
      </c>
      <c r="F24" s="14" t="s">
        <v>342</v>
      </c>
      <c r="G24" s="14" t="s">
        <v>485</v>
      </c>
      <c r="H24" s="14"/>
      <c r="I24" s="14"/>
      <c r="J24" s="14"/>
      <c r="K24">
        <f t="shared" si="0"/>
        <v>0</v>
      </c>
      <c r="L24" s="14">
        <v>12</v>
      </c>
      <c r="M24" s="14">
        <v>117</v>
      </c>
      <c r="N24" s="44">
        <f>(K24*Table110[[#This Row],[Ühik2]])+M24</f>
        <v>117</v>
      </c>
      <c r="O24" s="44">
        <f>Table110[[#This Row],[2020. EA ]]*0.338</f>
        <v>39.545999999999999</v>
      </c>
      <c r="P24" s="14"/>
    </row>
    <row r="25" spans="1:16" x14ac:dyDescent="0.25">
      <c r="A25" s="91" t="str">
        <f>LEFT(B25,2)</f>
        <v>10</v>
      </c>
      <c r="B25" s="92" t="s">
        <v>378</v>
      </c>
      <c r="C25" s="91" t="str">
        <f>VLOOKUP(B25,Table4[],2,FALSE)</f>
        <v xml:space="preserve"> Vinni Päevakeskus</v>
      </c>
      <c r="D25" s="91" t="str">
        <f>VLOOKUP(Table110[[#This Row],[Tegevusala]],Table4[[Tegevusala kood]:[Tegevusala alanimetus]],4,FALSE)</f>
        <v>Eakate sotsiaalhoolekande asutused</v>
      </c>
      <c r="E25" s="91" t="str">
        <f>VLOOKUP(C25,Table4[[Tegevusala nimetus]:[Tegevusala koondnimetus]],2,FALSE)</f>
        <v>Sotsiaalne kaitse</v>
      </c>
      <c r="F25" s="92" t="s">
        <v>437</v>
      </c>
      <c r="G25" s="91" t="s">
        <v>487</v>
      </c>
      <c r="H25" s="91">
        <v>1</v>
      </c>
      <c r="I25" s="91"/>
      <c r="J25" s="91">
        <v>584</v>
      </c>
      <c r="K25" s="92">
        <f t="shared" si="0"/>
        <v>584</v>
      </c>
      <c r="L25" s="91">
        <v>12</v>
      </c>
      <c r="M25" s="91"/>
      <c r="N25" s="93">
        <f>(K25*Table110[[#This Row],[Ühik2]])+M25</f>
        <v>7008</v>
      </c>
      <c r="O25" s="93">
        <f>Table110[[#This Row],[2020. EA ]]*0.338</f>
        <v>2368.7040000000002</v>
      </c>
      <c r="P25" s="91"/>
    </row>
    <row r="26" spans="1:16" x14ac:dyDescent="0.25">
      <c r="A26" s="14" t="str">
        <f>LEFT(B26,2)</f>
        <v>01</v>
      </c>
      <c r="B26" t="s">
        <v>15</v>
      </c>
      <c r="C26" s="14" t="str">
        <f>VLOOKUP(B26,Table4[],2,FALSE)</f>
        <v xml:space="preserve"> Valla- ja linnavalitsus</v>
      </c>
      <c r="D26" s="14" t="str">
        <f>VLOOKUP(Table110[[#This Row],[Tegevusala]],Table4[[Tegevusala kood]:[Tegevusala alanimetus]],4,FALSE)</f>
        <v>Valla- ja linnavalitsus</v>
      </c>
      <c r="E26" s="14" t="str">
        <f>VLOOKUP(C26,Table4[[Tegevusala nimetus]:[Tegevusala koondnimetus]],2,FALSE)</f>
        <v>Üldised valitsussektori teenused</v>
      </c>
      <c r="F26" s="14" t="s">
        <v>491</v>
      </c>
      <c r="G26" s="14" t="s">
        <v>492</v>
      </c>
      <c r="H26" s="14">
        <v>1</v>
      </c>
      <c r="I26" s="14"/>
      <c r="J26" s="14">
        <v>2000</v>
      </c>
      <c r="K26">
        <f t="shared" si="0"/>
        <v>2000</v>
      </c>
      <c r="L26" s="14">
        <v>12</v>
      </c>
      <c r="M26" s="14"/>
      <c r="N26" s="44">
        <f>(K26*Table110[[#This Row],[Ühik2]])+M26</f>
        <v>24000</v>
      </c>
      <c r="O26" s="44">
        <f>Table110[[#This Row],[2020. EA ]]*0.338</f>
        <v>8112.0000000000009</v>
      </c>
      <c r="P26" s="14"/>
    </row>
    <row r="27" spans="1:16" x14ac:dyDescent="0.25">
      <c r="A27" s="14" t="str">
        <f>LEFT(B27,2)</f>
        <v>01</v>
      </c>
      <c r="B27" t="s">
        <v>15</v>
      </c>
      <c r="C27" s="14" t="str">
        <f>VLOOKUP(B27,Table4[],2,FALSE)</f>
        <v xml:space="preserve"> Valla- ja linnavalitsus</v>
      </c>
      <c r="D27" s="14" t="str">
        <f>VLOOKUP(Table110[[#This Row],[Tegevusala]],Table4[[Tegevusala kood]:[Tegevusala alanimetus]],4,FALSE)</f>
        <v>Valla- ja linnavalitsus</v>
      </c>
      <c r="E27" s="14" t="str">
        <f>VLOOKUP(C27,Table4[[Tegevusala nimetus]:[Tegevusala koondnimetus]],2,FALSE)</f>
        <v>Üldised valitsussektori teenused</v>
      </c>
      <c r="F27" s="14" t="s">
        <v>491</v>
      </c>
      <c r="G27" s="14" t="s">
        <v>493</v>
      </c>
      <c r="H27" s="14">
        <v>1</v>
      </c>
      <c r="I27" s="14"/>
      <c r="J27" s="14">
        <v>1750</v>
      </c>
      <c r="K27">
        <f t="shared" si="0"/>
        <v>1750</v>
      </c>
      <c r="L27" s="14">
        <v>12</v>
      </c>
      <c r="M27" s="14"/>
      <c r="N27" s="44">
        <f>(K27*Table110[[#This Row],[Ühik2]])+M27</f>
        <v>21000</v>
      </c>
      <c r="O27" s="44">
        <f>Table110[[#This Row],[2020. EA ]]*0.338</f>
        <v>7098.0000000000009</v>
      </c>
      <c r="P27" s="14"/>
    </row>
    <row r="28" spans="1:16" x14ac:dyDescent="0.25">
      <c r="A28" s="14" t="str">
        <f>LEFT(B28,2)</f>
        <v>01</v>
      </c>
      <c r="B28" t="s">
        <v>15</v>
      </c>
      <c r="C28" s="14" t="str">
        <f>VLOOKUP(B28,Table4[],2,FALSE)</f>
        <v xml:space="preserve"> Valla- ja linnavalitsus</v>
      </c>
      <c r="D28" s="14" t="str">
        <f>VLOOKUP(Table110[[#This Row],[Tegevusala]],Table4[[Tegevusala kood]:[Tegevusala alanimetus]],4,FALSE)</f>
        <v>Valla- ja linnavalitsus</v>
      </c>
      <c r="E28" s="14" t="str">
        <f>VLOOKUP(C28,Table4[[Tegevusala nimetus]:[Tegevusala koondnimetus]],2,FALSE)</f>
        <v>Üldised valitsussektori teenused</v>
      </c>
      <c r="F28" s="14" t="s">
        <v>491</v>
      </c>
      <c r="G28" s="14" t="s">
        <v>494</v>
      </c>
      <c r="H28" s="14">
        <v>2</v>
      </c>
      <c r="I28" s="14"/>
      <c r="J28" s="14">
        <v>1250</v>
      </c>
      <c r="K28">
        <f t="shared" si="0"/>
        <v>2500</v>
      </c>
      <c r="L28" s="14">
        <v>12</v>
      </c>
      <c r="M28" s="14"/>
      <c r="N28" s="44">
        <f>(K28*Table110[[#This Row],[Ühik2]])+M28</f>
        <v>30000</v>
      </c>
      <c r="O28" s="44">
        <f>Table110[[#This Row],[2020. EA ]]*0.338</f>
        <v>10140</v>
      </c>
      <c r="P28" s="14"/>
    </row>
    <row r="29" spans="1:16" x14ac:dyDescent="0.25">
      <c r="A29" s="14" t="str">
        <f t="shared" ref="A29:A60" si="2">LEFT(B29,2)</f>
        <v>08</v>
      </c>
      <c r="B29" t="s">
        <v>273</v>
      </c>
      <c r="C29" s="14" t="str">
        <f>VLOOKUP(B29,Table4[],2,FALSE)</f>
        <v xml:space="preserve"> Muuga Spordihoone</v>
      </c>
      <c r="D29" s="14" t="str">
        <f>VLOOKUP(Table110[[#This Row],[Tegevusala]],Table4[[Tegevusala kood]:[Tegevusala alanimetus]],4,FALSE)</f>
        <v>Sport</v>
      </c>
      <c r="E29" s="14" t="str">
        <f>VLOOKUP(C29,Table4[[Tegevusala nimetus]:[Tegevusala koondnimetus]],2,FALSE)</f>
        <v>Vabaaeg, kultuur ja religioon</v>
      </c>
      <c r="F29" s="14" t="s">
        <v>505</v>
      </c>
      <c r="G29" s="14" t="s">
        <v>523</v>
      </c>
      <c r="H29" s="14">
        <v>1</v>
      </c>
      <c r="I29" s="14"/>
      <c r="J29" s="14">
        <v>700</v>
      </c>
      <c r="K29">
        <f t="shared" si="0"/>
        <v>700</v>
      </c>
      <c r="L29" s="14">
        <v>12</v>
      </c>
      <c r="M29" s="14"/>
      <c r="N29" s="44">
        <f>(K29*Table110[[#This Row],[Ühik2]])+M29</f>
        <v>8400</v>
      </c>
      <c r="O29" s="44">
        <f>Table110[[#This Row],[2020. EA ]]*0.338</f>
        <v>2839.2000000000003</v>
      </c>
      <c r="P29" s="14"/>
    </row>
    <row r="30" spans="1:16" x14ac:dyDescent="0.25">
      <c r="A30" s="91" t="str">
        <f t="shared" si="2"/>
        <v>08</v>
      </c>
      <c r="B30" s="92" t="s">
        <v>273</v>
      </c>
      <c r="C30" s="91" t="str">
        <f>VLOOKUP(B30,Table4[],2,FALSE)</f>
        <v xml:space="preserve"> Muuga Spordihoone</v>
      </c>
      <c r="D30" s="91" t="str">
        <f>VLOOKUP(Table110[[#This Row],[Tegevusala]],Table4[[Tegevusala kood]:[Tegevusala alanimetus]],4,FALSE)</f>
        <v>Sport</v>
      </c>
      <c r="E30" s="91" t="str">
        <f>VLOOKUP(C30,Table4[[Tegevusala nimetus]:[Tegevusala koondnimetus]],2,FALSE)</f>
        <v>Vabaaeg, kultuur ja religioon</v>
      </c>
      <c r="F30" s="91" t="s">
        <v>505</v>
      </c>
      <c r="G30" s="91" t="s">
        <v>524</v>
      </c>
      <c r="H30" s="91">
        <v>1</v>
      </c>
      <c r="I30" s="91"/>
      <c r="J30" s="91">
        <v>584</v>
      </c>
      <c r="K30" s="92">
        <f t="shared" si="0"/>
        <v>584</v>
      </c>
      <c r="L30" s="91">
        <v>12</v>
      </c>
      <c r="M30" s="91"/>
      <c r="N30" s="93">
        <f>(K30*Table110[[#This Row],[Ühik2]])+M30</f>
        <v>7008</v>
      </c>
      <c r="O30" s="93">
        <f>Table110[[#This Row],[2020. EA ]]*0.338</f>
        <v>2368.7040000000002</v>
      </c>
      <c r="P30" s="91"/>
    </row>
    <row r="31" spans="1:16" x14ac:dyDescent="0.25">
      <c r="A31" s="14" t="str">
        <f t="shared" si="2"/>
        <v>08</v>
      </c>
      <c r="B31" t="s">
        <v>273</v>
      </c>
      <c r="C31" s="14" t="str">
        <f>VLOOKUP(B31,Table4[],2,FALSE)</f>
        <v xml:space="preserve"> Muuga Spordihoone</v>
      </c>
      <c r="D31" s="14" t="str">
        <f>VLOOKUP(Table110[[#This Row],[Tegevusala]],Table4[[Tegevusala kood]:[Tegevusala alanimetus]],4,FALSE)</f>
        <v>Sport</v>
      </c>
      <c r="E31" s="14" t="str">
        <f>VLOOKUP(C31,Table4[[Tegevusala nimetus]:[Tegevusala koondnimetus]],2,FALSE)</f>
        <v>Vabaaeg, kultuur ja religioon</v>
      </c>
      <c r="F31" s="14" t="s">
        <v>505</v>
      </c>
      <c r="G31" s="14" t="s">
        <v>525</v>
      </c>
      <c r="H31" s="14"/>
      <c r="I31" s="14"/>
      <c r="J31" s="14"/>
      <c r="K31">
        <f t="shared" si="0"/>
        <v>0</v>
      </c>
      <c r="L31" s="14">
        <v>1</v>
      </c>
      <c r="M31" s="14">
        <v>360</v>
      </c>
      <c r="N31" s="44">
        <f>(K31*Table110[[#This Row],[Ühik2]])+M31</f>
        <v>360</v>
      </c>
      <c r="O31" s="44">
        <f>Table110[[#This Row],[2020. EA ]]*0.338</f>
        <v>121.68</v>
      </c>
      <c r="P31" s="14"/>
    </row>
    <row r="32" spans="1:16" x14ac:dyDescent="0.25">
      <c r="A32" s="14" t="str">
        <f t="shared" si="2"/>
        <v>08</v>
      </c>
      <c r="B32" t="s">
        <v>273</v>
      </c>
      <c r="C32" s="14" t="str">
        <f>VLOOKUP(B32,Table4[],2,FALSE)</f>
        <v xml:space="preserve"> Muuga Spordihoone</v>
      </c>
      <c r="D32" s="14" t="str">
        <f>VLOOKUP(Table110[[#This Row],[Tegevusala]],Table4[[Tegevusala kood]:[Tegevusala alanimetus]],4,FALSE)</f>
        <v>Sport</v>
      </c>
      <c r="E32" s="14" t="str">
        <f>VLOOKUP(C32,Table4[[Tegevusala nimetus]:[Tegevusala koondnimetus]],2,FALSE)</f>
        <v>Vabaaeg, kultuur ja religioon</v>
      </c>
      <c r="F32" s="14" t="s">
        <v>505</v>
      </c>
      <c r="G32" s="14" t="s">
        <v>526</v>
      </c>
      <c r="H32" s="14"/>
      <c r="I32" s="14"/>
      <c r="J32" s="14"/>
      <c r="K32">
        <f t="shared" si="0"/>
        <v>0</v>
      </c>
      <c r="L32" s="14">
        <v>1</v>
      </c>
      <c r="M32" s="14">
        <v>215</v>
      </c>
      <c r="N32" s="44">
        <f>(K32*Table110[[#This Row],[Ühik2]])+M32</f>
        <v>215</v>
      </c>
      <c r="O32" s="44">
        <f>Table110[[#This Row],[2020. EA ]]*0.338</f>
        <v>72.67</v>
      </c>
      <c r="P32" s="14"/>
    </row>
    <row r="33" spans="1:16" x14ac:dyDescent="0.25">
      <c r="A33" s="14" t="str">
        <f t="shared" si="2"/>
        <v>08</v>
      </c>
      <c r="B33" t="s">
        <v>306</v>
      </c>
      <c r="C33" s="14" t="str">
        <f>VLOOKUP(B33,Table4[],2,FALSE)</f>
        <v xml:space="preserve"> Laekvere Raamatukogu</v>
      </c>
      <c r="D33" s="14" t="str">
        <f>VLOOKUP(Table110[[#This Row],[Tegevusala]],Table4[[Tegevusala kood]:[Tegevusala alanimetus]],4,FALSE)</f>
        <v>Raamatukogud</v>
      </c>
      <c r="E33" s="14" t="str">
        <f>VLOOKUP(C33,Table4[[Tegevusala nimetus]:[Tegevusala koondnimetus]],2,FALSE)</f>
        <v>Vabaaeg, kultuur ja religioon</v>
      </c>
      <c r="F33" s="14" t="s">
        <v>529</v>
      </c>
      <c r="G33" s="14" t="s">
        <v>527</v>
      </c>
      <c r="H33" s="14">
        <v>1</v>
      </c>
      <c r="I33" s="14"/>
      <c r="J33" s="14">
        <v>966</v>
      </c>
      <c r="K33">
        <f t="shared" si="0"/>
        <v>966</v>
      </c>
      <c r="L33" s="14">
        <v>12</v>
      </c>
      <c r="M33" s="14"/>
      <c r="N33" s="44">
        <f>(K33*Table110[[#This Row],[Ühik2]])+M33</f>
        <v>11592</v>
      </c>
      <c r="O33" s="44">
        <f>Table110[[#This Row],[2020. EA ]]*0.338</f>
        <v>3918.0960000000005</v>
      </c>
      <c r="P33" s="14"/>
    </row>
    <row r="34" spans="1:16" x14ac:dyDescent="0.25">
      <c r="A34" s="14" t="str">
        <f t="shared" si="2"/>
        <v>08</v>
      </c>
      <c r="B34" t="s">
        <v>306</v>
      </c>
      <c r="C34" s="14" t="str">
        <f>VLOOKUP(B34,Table4[],2,FALSE)</f>
        <v xml:space="preserve"> Laekvere Raamatukogu</v>
      </c>
      <c r="D34" s="14" t="str">
        <f>VLOOKUP(Table110[[#This Row],[Tegevusala]],Table4[[Tegevusala kood]:[Tegevusala alanimetus]],4,FALSE)</f>
        <v>Raamatukogud</v>
      </c>
      <c r="E34" s="14" t="str">
        <f>VLOOKUP(C34,Table4[[Tegevusala nimetus]:[Tegevusala koondnimetus]],2,FALSE)</f>
        <v>Vabaaeg, kultuur ja religioon</v>
      </c>
      <c r="F34" s="14" t="s">
        <v>529</v>
      </c>
      <c r="G34" s="14" t="s">
        <v>528</v>
      </c>
      <c r="H34" s="14">
        <v>1</v>
      </c>
      <c r="I34" s="14"/>
      <c r="J34" s="14">
        <v>736</v>
      </c>
      <c r="K34">
        <f t="shared" si="0"/>
        <v>736</v>
      </c>
      <c r="L34" s="14">
        <v>12</v>
      </c>
      <c r="M34" s="14"/>
      <c r="N34" s="44">
        <f>(K34*Table110[[#This Row],[Ühik2]])+M34</f>
        <v>8832</v>
      </c>
      <c r="O34" s="44">
        <f>Table110[[#This Row],[2020. EA ]]*0.338</f>
        <v>2985.2160000000003</v>
      </c>
      <c r="P34" s="14"/>
    </row>
    <row r="35" spans="1:16" x14ac:dyDescent="0.25">
      <c r="A35" s="14" t="str">
        <f t="shared" si="2"/>
        <v>08</v>
      </c>
      <c r="B35" t="s">
        <v>275</v>
      </c>
      <c r="C35" s="14" t="str">
        <f>VLOOKUP(B35,Table4[],2,FALSE)</f>
        <v xml:space="preserve"> Staadion</v>
      </c>
      <c r="D35" s="14" t="str">
        <f>VLOOKUP(Table110[[#This Row],[Tegevusala]],Table4[[Tegevusala kood]:[Tegevusala alanimetus]],4,FALSE)</f>
        <v>Sport</v>
      </c>
      <c r="E35" s="14" t="str">
        <f>VLOOKUP(C35,Table4[[Tegevusala nimetus]:[Tegevusala koondnimetus]],2,FALSE)</f>
        <v>Vabaaeg, kultuur ja religioon</v>
      </c>
      <c r="F35" s="14" t="s">
        <v>648</v>
      </c>
      <c r="G35" s="14" t="s">
        <v>647</v>
      </c>
      <c r="H35" s="14">
        <v>1</v>
      </c>
      <c r="I35" s="14"/>
      <c r="J35" s="14">
        <v>1008</v>
      </c>
      <c r="K35" s="14">
        <f t="shared" si="0"/>
        <v>1008</v>
      </c>
      <c r="L35" s="14">
        <v>5</v>
      </c>
      <c r="M35" s="14"/>
      <c r="N35" s="44">
        <f>(K35*Table110[[#This Row],[Ühik2]])+M35</f>
        <v>5040</v>
      </c>
      <c r="O35" s="44">
        <f>Table110[[#This Row],[2020. EA ]]*0.338</f>
        <v>1703.5200000000002</v>
      </c>
      <c r="P35" s="14"/>
    </row>
    <row r="36" spans="1:16" x14ac:dyDescent="0.25">
      <c r="A36" s="91" t="str">
        <f t="shared" si="2"/>
        <v>10</v>
      </c>
      <c r="B36" s="92" t="s">
        <v>380</v>
      </c>
      <c r="C36" s="91" t="str">
        <f>VLOOKUP(B36,Table4[],2,FALSE)</f>
        <v xml:space="preserve"> Hooldajad</v>
      </c>
      <c r="D36" s="91" t="str">
        <f>VLOOKUP(Table110[[#This Row],[Tegevusala]],Table4[[Tegevusala kood]:[Tegevusala alanimetus]],4,FALSE)</f>
        <v>Muu eakate sotsiaalne kaitse</v>
      </c>
      <c r="E36" s="91" t="str">
        <f>VLOOKUP(C36,Table4[[Tegevusala nimetus]:[Tegevusala koondnimetus]],2,FALSE)</f>
        <v>Sotsiaalne kaitse</v>
      </c>
      <c r="F36" s="91" t="s">
        <v>462</v>
      </c>
      <c r="G36" s="91" t="s">
        <v>723</v>
      </c>
      <c r="H36" s="91">
        <v>1</v>
      </c>
      <c r="I36" s="91"/>
      <c r="J36" s="91">
        <v>584</v>
      </c>
      <c r="K36" s="91">
        <f t="shared" si="0"/>
        <v>584</v>
      </c>
      <c r="L36" s="91">
        <v>12</v>
      </c>
      <c r="M36" s="91"/>
      <c r="N36" s="93">
        <f>(K36*Table110[[#This Row],[Ühik2]])+M36</f>
        <v>7008</v>
      </c>
      <c r="O36" s="93">
        <f>Table110[[#This Row],[2020. EA ]]*0.338</f>
        <v>2368.7040000000002</v>
      </c>
      <c r="P36" s="91"/>
    </row>
    <row r="37" spans="1:16" x14ac:dyDescent="0.25">
      <c r="A37" s="14" t="str">
        <f t="shared" si="2"/>
        <v>10</v>
      </c>
      <c r="B37" t="s">
        <v>380</v>
      </c>
      <c r="C37" s="14" t="str">
        <f>VLOOKUP(B37,Table4[],2,FALSE)</f>
        <v xml:space="preserve"> Hooldajad</v>
      </c>
      <c r="D37" s="14" t="str">
        <f>VLOOKUP(Table110[[#This Row],[Tegevusala]],Table4[[Tegevusala kood]:[Tegevusala alanimetus]],4,FALSE)</f>
        <v>Muu eakate sotsiaalne kaitse</v>
      </c>
      <c r="E37" s="14" t="str">
        <f>VLOOKUP(C37,Table4[[Tegevusala nimetus]:[Tegevusala koondnimetus]],2,FALSE)</f>
        <v>Sotsiaalne kaitse</v>
      </c>
      <c r="F37" s="14" t="s">
        <v>462</v>
      </c>
      <c r="G37" s="14" t="s">
        <v>724</v>
      </c>
      <c r="H37" s="14">
        <v>1</v>
      </c>
      <c r="I37" s="14"/>
      <c r="J37" s="14">
        <v>723</v>
      </c>
      <c r="K37" s="14">
        <f t="shared" si="0"/>
        <v>723</v>
      </c>
      <c r="L37" s="14">
        <v>1</v>
      </c>
      <c r="M37" s="14"/>
      <c r="N37" s="44">
        <f>(K37*Table110[[#This Row],[Ühik2]])+M37</f>
        <v>723</v>
      </c>
      <c r="O37" s="44">
        <f>Table110[[#This Row],[2020. EA ]]*0.338</f>
        <v>244.37400000000002</v>
      </c>
      <c r="P37" s="14"/>
    </row>
    <row r="38" spans="1:16" x14ac:dyDescent="0.25">
      <c r="A38" s="14" t="str">
        <f t="shared" si="2"/>
        <v>10</v>
      </c>
      <c r="B38" t="s">
        <v>380</v>
      </c>
      <c r="C38" s="14" t="str">
        <f>VLOOKUP(B38,Table4[],2,FALSE)</f>
        <v xml:space="preserve"> Hooldajad</v>
      </c>
      <c r="D38" s="14" t="str">
        <f>VLOOKUP(Table110[[#This Row],[Tegevusala]],Table4[[Tegevusala kood]:[Tegevusala alanimetus]],4,FALSE)</f>
        <v>Muu eakate sotsiaalne kaitse</v>
      </c>
      <c r="E38" s="14" t="str">
        <f>VLOOKUP(C38,Table4[[Tegevusala nimetus]:[Tegevusala koondnimetus]],2,FALSE)</f>
        <v>Sotsiaalne kaitse</v>
      </c>
      <c r="F38" s="14" t="s">
        <v>462</v>
      </c>
      <c r="G38" s="14" t="s">
        <v>725</v>
      </c>
      <c r="H38" s="14">
        <v>1</v>
      </c>
      <c r="I38" s="14"/>
      <c r="J38" s="14">
        <v>600</v>
      </c>
      <c r="K38" s="14">
        <f t="shared" si="0"/>
        <v>600</v>
      </c>
      <c r="L38" s="14">
        <v>12</v>
      </c>
      <c r="M38" s="14"/>
      <c r="N38" s="44">
        <f>(K38*Table110[[#This Row],[Ühik2]])+M38</f>
        <v>7200</v>
      </c>
      <c r="O38" s="44">
        <f>Table110[[#This Row],[2020. EA ]]*0.338</f>
        <v>2433.6000000000004</v>
      </c>
      <c r="P38" s="14"/>
    </row>
    <row r="39" spans="1:16" x14ac:dyDescent="0.25">
      <c r="A39" s="14" t="str">
        <f t="shared" si="2"/>
        <v>10</v>
      </c>
      <c r="B39" t="s">
        <v>380</v>
      </c>
      <c r="C39" s="14" t="str">
        <f>VLOOKUP(B39,Table4[],2,FALSE)</f>
        <v xml:space="preserve"> Hooldajad</v>
      </c>
      <c r="D39" s="14" t="str">
        <f>VLOOKUP(Table110[[#This Row],[Tegevusala]],Table4[[Tegevusala kood]:[Tegevusala alanimetus]],4,FALSE)</f>
        <v>Muu eakate sotsiaalne kaitse</v>
      </c>
      <c r="E39" s="14" t="str">
        <f>VLOOKUP(C39,Table4[[Tegevusala nimetus]:[Tegevusala koondnimetus]],2,FALSE)</f>
        <v>Sotsiaalne kaitse</v>
      </c>
      <c r="F39" s="14" t="s">
        <v>462</v>
      </c>
      <c r="G39" s="14" t="s">
        <v>724</v>
      </c>
      <c r="H39" s="14">
        <v>1</v>
      </c>
      <c r="I39" s="14"/>
      <c r="J39" s="14">
        <v>803</v>
      </c>
      <c r="K39" s="14">
        <f t="shared" si="0"/>
        <v>803</v>
      </c>
      <c r="L39" s="14">
        <v>1</v>
      </c>
      <c r="M39" s="14"/>
      <c r="N39" s="44">
        <f>(K39*Table110[[#This Row],[Ühik2]])+M39</f>
        <v>803</v>
      </c>
      <c r="O39" s="44">
        <f>Table110[[#This Row],[2020. EA ]]*0.338</f>
        <v>271.41400000000004</v>
      </c>
      <c r="P39" s="14"/>
    </row>
    <row r="40" spans="1:16" x14ac:dyDescent="0.25">
      <c r="A40" s="14" t="str">
        <f t="shared" si="2"/>
        <v>10</v>
      </c>
      <c r="B40" t="s">
        <v>380</v>
      </c>
      <c r="C40" s="14" t="str">
        <f>VLOOKUP(B40,Table4[],2,FALSE)</f>
        <v xml:space="preserve"> Hooldajad</v>
      </c>
      <c r="D40" s="14" t="str">
        <f>VLOOKUP(Table110[[#This Row],[Tegevusala]],Table4[[Tegevusala kood]:[Tegevusala alanimetus]],4,FALSE)</f>
        <v>Muu eakate sotsiaalne kaitse</v>
      </c>
      <c r="E40" s="14" t="str">
        <f>VLOOKUP(C40,Table4[[Tegevusala nimetus]:[Tegevusala koondnimetus]],2,FALSE)</f>
        <v>Sotsiaalne kaitse</v>
      </c>
      <c r="F40" s="14" t="s">
        <v>462</v>
      </c>
      <c r="G40" s="14" t="s">
        <v>726</v>
      </c>
      <c r="H40" s="14">
        <v>1</v>
      </c>
      <c r="I40" s="14"/>
      <c r="J40" s="14">
        <v>630</v>
      </c>
      <c r="K40" s="14">
        <f t="shared" si="0"/>
        <v>630</v>
      </c>
      <c r="L40" s="14">
        <v>12</v>
      </c>
      <c r="M40" s="14"/>
      <c r="N40" s="44">
        <f>(K40*Table110[[#This Row],[Ühik2]])+M40</f>
        <v>7560</v>
      </c>
      <c r="O40" s="44">
        <f>Table110[[#This Row],[2020. EA ]]*0.338</f>
        <v>2555.2800000000002</v>
      </c>
      <c r="P40" s="14"/>
    </row>
    <row r="41" spans="1:16" x14ac:dyDescent="0.25">
      <c r="A41" s="14" t="str">
        <f t="shared" si="2"/>
        <v>10</v>
      </c>
      <c r="B41" t="s">
        <v>380</v>
      </c>
      <c r="C41" s="14" t="str">
        <f>VLOOKUP(B41,Table4[],2,FALSE)</f>
        <v xml:space="preserve"> Hooldajad</v>
      </c>
      <c r="D41" s="14" t="str">
        <f>VLOOKUP(Table110[[#This Row],[Tegevusala]],Table4[[Tegevusala kood]:[Tegevusala alanimetus]],4,FALSE)</f>
        <v>Muu eakate sotsiaalne kaitse</v>
      </c>
      <c r="E41" s="14" t="str">
        <f>VLOOKUP(C41,Table4[[Tegevusala nimetus]:[Tegevusala koondnimetus]],2,FALSE)</f>
        <v>Sotsiaalne kaitse</v>
      </c>
      <c r="F41" s="14" t="s">
        <v>462</v>
      </c>
      <c r="G41" s="14" t="s">
        <v>724</v>
      </c>
      <c r="H41" s="14">
        <v>1</v>
      </c>
      <c r="I41" s="14"/>
      <c r="J41" s="14">
        <v>977</v>
      </c>
      <c r="K41" s="14">
        <f t="shared" si="0"/>
        <v>977</v>
      </c>
      <c r="L41" s="14">
        <v>1</v>
      </c>
      <c r="M41" s="14"/>
      <c r="N41" s="44">
        <f>(K41*Table110[[#This Row],[Ühik2]])+M41</f>
        <v>977</v>
      </c>
      <c r="O41" s="44">
        <f>Table110[[#This Row],[2020. EA ]]*0.338</f>
        <v>330.226</v>
      </c>
      <c r="P41" s="14"/>
    </row>
    <row r="42" spans="1:16" x14ac:dyDescent="0.25">
      <c r="A42" s="14" t="str">
        <f t="shared" si="2"/>
        <v>10</v>
      </c>
      <c r="B42" t="s">
        <v>65</v>
      </c>
      <c r="C42" s="14" t="str">
        <f>VLOOKUP(B42,Table4[],2,FALSE)</f>
        <v xml:space="preserve"> Muu sotsiaalne kaitse, sh sotsiaalse kaitse haldus</v>
      </c>
      <c r="D42" s="14" t="str">
        <f>VLOOKUP(Table110[[#This Row],[Tegevusala]],Table4[[Tegevusala kood]:[Tegevusala alanimetus]],4,FALSE)</f>
        <v>Muu sotsiaalne kaitse, sh sotsiaalse kaitse haldus</v>
      </c>
      <c r="E42" s="14" t="str">
        <f>VLOOKUP(C42,Table4[[Tegevusala nimetus]:[Tegevusala koondnimetus]],2,FALSE)</f>
        <v>Sotsiaalne kaitse</v>
      </c>
      <c r="F42" s="14" t="s">
        <v>462</v>
      </c>
      <c r="G42" s="14" t="s">
        <v>742</v>
      </c>
      <c r="H42" s="14">
        <v>1</v>
      </c>
      <c r="I42" s="14"/>
      <c r="J42" s="14">
        <v>2000</v>
      </c>
      <c r="K42" s="14">
        <f t="shared" si="0"/>
        <v>2000</v>
      </c>
      <c r="L42" s="14">
        <v>12</v>
      </c>
      <c r="M42" s="14"/>
      <c r="N42" s="44">
        <f>(K42*Table110[[#This Row],[Ühik2]])+M42</f>
        <v>24000</v>
      </c>
      <c r="O42" s="44">
        <f>Table110[[#This Row],[2020. EA ]]*0.338</f>
        <v>8112.0000000000009</v>
      </c>
      <c r="P42" s="14"/>
    </row>
    <row r="43" spans="1:16" x14ac:dyDescent="0.25">
      <c r="A43" s="14" t="str">
        <f t="shared" si="2"/>
        <v>10</v>
      </c>
      <c r="B43" t="s">
        <v>65</v>
      </c>
      <c r="C43" s="14" t="str">
        <f>VLOOKUP(B43,Table4[],2,FALSE)</f>
        <v xml:space="preserve"> Muu sotsiaalne kaitse, sh sotsiaalse kaitse haldus</v>
      </c>
      <c r="D43" s="14" t="str">
        <f>VLOOKUP(Table110[[#This Row],[Tegevusala]],Table4[[Tegevusala kood]:[Tegevusala alanimetus]],4,FALSE)</f>
        <v>Muu sotsiaalne kaitse, sh sotsiaalse kaitse haldus</v>
      </c>
      <c r="E43" s="14" t="str">
        <f>VLOOKUP(C43,Table4[[Tegevusala nimetus]:[Tegevusala koondnimetus]],2,FALSE)</f>
        <v>Sotsiaalne kaitse</v>
      </c>
      <c r="F43" s="14" t="s">
        <v>462</v>
      </c>
      <c r="G43" s="14" t="s">
        <v>744</v>
      </c>
      <c r="H43" s="14">
        <v>2</v>
      </c>
      <c r="I43" s="14"/>
      <c r="J43" s="14">
        <v>1200</v>
      </c>
      <c r="K43" s="14">
        <f t="shared" si="0"/>
        <v>2400</v>
      </c>
      <c r="L43" s="14">
        <v>12</v>
      </c>
      <c r="M43" s="14"/>
      <c r="N43" s="44">
        <f>(K43*Table110[[#This Row],[Ühik2]])+M43</f>
        <v>28800</v>
      </c>
      <c r="O43" s="44">
        <f>Table110[[#This Row],[2020. EA ]]*0.338</f>
        <v>9734.4000000000015</v>
      </c>
      <c r="P43" s="14"/>
    </row>
    <row r="44" spans="1:16" x14ac:dyDescent="0.25">
      <c r="A44" s="14" t="str">
        <f t="shared" si="2"/>
        <v>10</v>
      </c>
      <c r="B44" t="s">
        <v>65</v>
      </c>
      <c r="C44" s="14" t="str">
        <f>VLOOKUP(B44,Table4[],2,FALSE)</f>
        <v xml:space="preserve"> Muu sotsiaalne kaitse, sh sotsiaalse kaitse haldus</v>
      </c>
      <c r="D44" s="14" t="str">
        <f>VLOOKUP(Table110[[#This Row],[Tegevusala]],Table4[[Tegevusala kood]:[Tegevusala alanimetus]],4,FALSE)</f>
        <v>Muu sotsiaalne kaitse, sh sotsiaalse kaitse haldus</v>
      </c>
      <c r="E44" s="14" t="str">
        <f>VLOOKUP(C44,Table4[[Tegevusala nimetus]:[Tegevusala koondnimetus]],2,FALSE)</f>
        <v>Sotsiaalne kaitse</v>
      </c>
      <c r="F44" s="14" t="s">
        <v>462</v>
      </c>
      <c r="G44" s="14" t="s">
        <v>744</v>
      </c>
      <c r="H44" s="14">
        <v>1</v>
      </c>
      <c r="I44" s="14"/>
      <c r="J44" s="14">
        <v>1560</v>
      </c>
      <c r="K44" s="14">
        <f t="shared" si="0"/>
        <v>1560</v>
      </c>
      <c r="L44" s="14">
        <v>12</v>
      </c>
      <c r="M44" s="14"/>
      <c r="N44" s="44">
        <f>(K44*Table110[[#This Row],[Ühik2]])+M44</f>
        <v>18720</v>
      </c>
      <c r="O44" s="44">
        <f>Table110[[#This Row],[2020. EA ]]*0.338</f>
        <v>6327.3600000000006</v>
      </c>
      <c r="P44" s="14"/>
    </row>
    <row r="45" spans="1:16" x14ac:dyDescent="0.25">
      <c r="A45" s="14" t="str">
        <f t="shared" si="2"/>
        <v>10</v>
      </c>
      <c r="B45" t="s">
        <v>65</v>
      </c>
      <c r="C45" s="14" t="str">
        <f>VLOOKUP(B45,Table4[],2,FALSE)</f>
        <v xml:space="preserve"> Muu sotsiaalne kaitse, sh sotsiaalse kaitse haldus</v>
      </c>
      <c r="D45" s="14" t="str">
        <f>VLOOKUP(Table110[[#This Row],[Tegevusala]],Table4[[Tegevusala kood]:[Tegevusala alanimetus]],4,FALSE)</f>
        <v>Muu sotsiaalne kaitse, sh sotsiaalse kaitse haldus</v>
      </c>
      <c r="E45" s="14" t="str">
        <f>VLOOKUP(C45,Table4[[Tegevusala nimetus]:[Tegevusala koondnimetus]],2,FALSE)</f>
        <v>Sotsiaalne kaitse</v>
      </c>
      <c r="F45" s="14" t="s">
        <v>462</v>
      </c>
      <c r="G45" s="14" t="s">
        <v>745</v>
      </c>
      <c r="H45" s="14">
        <v>1</v>
      </c>
      <c r="I45" s="14"/>
      <c r="J45" s="14">
        <v>1560</v>
      </c>
      <c r="K45" s="14">
        <f t="shared" si="0"/>
        <v>1560</v>
      </c>
      <c r="L45" s="14">
        <v>12</v>
      </c>
      <c r="M45" s="14"/>
      <c r="N45" s="44">
        <f>(K45*Table110[[#This Row],[Ühik2]])+M45</f>
        <v>18720</v>
      </c>
      <c r="O45" s="44">
        <f>Table110[[#This Row],[2020. EA ]]*0.338</f>
        <v>6327.3600000000006</v>
      </c>
      <c r="P45" s="14"/>
    </row>
    <row r="46" spans="1:16" x14ac:dyDescent="0.25">
      <c r="A46" s="38" t="str">
        <f t="shared" si="2"/>
        <v>08</v>
      </c>
      <c r="B46" s="31" t="s">
        <v>642</v>
      </c>
      <c r="C46" s="38" t="str">
        <f>VLOOKUP(B46,Table4[],2,FALSE)</f>
        <v xml:space="preserve"> Lastelaagrid</v>
      </c>
      <c r="D46" s="38" t="str">
        <f>VLOOKUP(Table110[[#This Row],[Tegevusala]],Table4[[Tegevusala kood]:[Tegevusala alanimetus]],4,FALSE)</f>
        <v>Noorsootöö ja noortekeskused</v>
      </c>
      <c r="E46" s="38" t="str">
        <f>VLOOKUP(C46,Table4[[Tegevusala nimetus]:[Tegevusala koondnimetus]],2,FALSE)</f>
        <v>Vabaaeg, kultuur ja religioon</v>
      </c>
      <c r="F46" s="33" t="s">
        <v>770</v>
      </c>
      <c r="G46" s="38" t="s">
        <v>771</v>
      </c>
      <c r="H46" s="38">
        <v>1</v>
      </c>
      <c r="I46" s="38"/>
      <c r="J46" s="38">
        <v>10687.59</v>
      </c>
      <c r="K46" s="38">
        <f t="shared" si="0"/>
        <v>10687.59</v>
      </c>
      <c r="L46" s="38">
        <v>1</v>
      </c>
      <c r="M46" s="38"/>
      <c r="N46" s="45">
        <f>(K46*Table110[[#This Row],[Ühik2]])+M46</f>
        <v>10687.59</v>
      </c>
      <c r="O46" s="45">
        <f>Table110[[#This Row],[2020. EA ]]*0.338</f>
        <v>3612.4054200000005</v>
      </c>
      <c r="P46" s="38"/>
    </row>
    <row r="47" spans="1:16" x14ac:dyDescent="0.25">
      <c r="A47" s="14" t="str">
        <f t="shared" si="2"/>
        <v>08</v>
      </c>
      <c r="B47" t="s">
        <v>281</v>
      </c>
      <c r="C47" s="14" t="str">
        <f>VLOOKUP(B47,Table4[],2,FALSE)</f>
        <v xml:space="preserve"> Noorsootöö haldus</v>
      </c>
      <c r="D47" s="14" t="str">
        <f>VLOOKUP(Table110[[#This Row],[Tegevusala]],Table4[[Tegevusala kood]:[Tegevusala alanimetus]],4,FALSE)</f>
        <v>Noorsootöö ja noortekeskused</v>
      </c>
      <c r="E47" s="14" t="str">
        <f>VLOOKUP(C47,Table4[[Tegevusala nimetus]:[Tegevusala koondnimetus]],2,FALSE)</f>
        <v>Vabaaeg, kultuur ja religioon</v>
      </c>
      <c r="F47" s="14" t="s">
        <v>770</v>
      </c>
      <c r="G47" s="14" t="s">
        <v>770</v>
      </c>
      <c r="H47" s="14">
        <v>1</v>
      </c>
      <c r="I47" s="14"/>
      <c r="J47" s="14">
        <v>1560</v>
      </c>
      <c r="K47" s="14">
        <f t="shared" si="0"/>
        <v>1560</v>
      </c>
      <c r="L47" s="14">
        <v>12</v>
      </c>
      <c r="M47" s="14"/>
      <c r="N47" s="44">
        <f>(K47*Table110[[#This Row],[Ühik2]])+M47</f>
        <v>18720</v>
      </c>
      <c r="O47" s="44">
        <f>Table110[[#This Row],[2020. EA ]]*0.338</f>
        <v>6327.3600000000006</v>
      </c>
      <c r="P47" s="14"/>
    </row>
    <row r="48" spans="1:16" x14ac:dyDescent="0.25">
      <c r="A48" s="14" t="str">
        <f t="shared" si="2"/>
        <v>01</v>
      </c>
      <c r="B48" t="s">
        <v>19</v>
      </c>
      <c r="C48" s="14" t="str">
        <f>VLOOKUP(B48,Table4[],2,FALSE)</f>
        <v xml:space="preserve"> Muud üldised valitsussektori teenused</v>
      </c>
      <c r="D48" s="14" t="str">
        <f>VLOOKUP(Table110[[#This Row],[Tegevusala]],Table4[[Tegevusala kood]:[Tegevusala alanimetus]],4,FALSE)</f>
        <v>Muud üldised valitsussektori teenused</v>
      </c>
      <c r="E48" s="14" t="str">
        <f>VLOOKUP(C48,Table4[[Tegevusala nimetus]:[Tegevusala koondnimetus]],2,FALSE)</f>
        <v>Üldised valitsussektori teenused</v>
      </c>
      <c r="F48" s="14" t="s">
        <v>797</v>
      </c>
      <c r="G48" s="14" t="s">
        <v>796</v>
      </c>
      <c r="H48" s="14">
        <v>1</v>
      </c>
      <c r="I48" s="14" t="s">
        <v>2027</v>
      </c>
      <c r="J48" s="14">
        <v>255</v>
      </c>
      <c r="K48" s="14">
        <f t="shared" si="0"/>
        <v>255</v>
      </c>
      <c r="L48" s="14">
        <v>1</v>
      </c>
      <c r="M48" s="14"/>
      <c r="N48" s="44">
        <f>(K48*Table110[[#This Row],[Ühik2]])+M48</f>
        <v>255</v>
      </c>
      <c r="O48" s="44">
        <f>Table110[[#This Row],[2020. EA ]]*0.338</f>
        <v>86.190000000000012</v>
      </c>
      <c r="P48" s="14"/>
    </row>
    <row r="49" spans="1:16" x14ac:dyDescent="0.25">
      <c r="A49" s="14" t="str">
        <f t="shared" si="2"/>
        <v>09</v>
      </c>
      <c r="B49" t="s">
        <v>53</v>
      </c>
      <c r="C49" s="14" t="str">
        <f>VLOOKUP(B49,Table4[],2,FALSE)</f>
        <v xml:space="preserve"> Koolitransport</v>
      </c>
      <c r="D49" s="14" t="str">
        <f>VLOOKUP(Table110[[#This Row],[Tegevusala]],Table4[[Tegevusala kood]:[Tegevusala alanimetus]],4,FALSE)</f>
        <v>Koolitransport</v>
      </c>
      <c r="E49" s="14" t="str">
        <f>VLOOKUP(C49,Table4[[Tegevusala nimetus]:[Tegevusala koondnimetus]],2,FALSE)</f>
        <v>Haridus</v>
      </c>
      <c r="F49" t="s">
        <v>805</v>
      </c>
      <c r="G49" s="14" t="s">
        <v>808</v>
      </c>
      <c r="H49" s="14">
        <v>1</v>
      </c>
      <c r="I49" s="14"/>
      <c r="J49" s="14">
        <v>1000</v>
      </c>
      <c r="K49" s="14">
        <f t="shared" si="0"/>
        <v>1000</v>
      </c>
      <c r="L49" s="14">
        <v>12</v>
      </c>
      <c r="M49" s="14"/>
      <c r="N49" s="44">
        <f>(K49*Table110[[#This Row],[Ühik2]])+M49</f>
        <v>12000</v>
      </c>
      <c r="O49" s="44">
        <f>Table110[[#This Row],[2020. EA ]]*0.338</f>
        <v>4056.0000000000005</v>
      </c>
      <c r="P49" s="14"/>
    </row>
    <row r="50" spans="1:16" x14ac:dyDescent="0.25">
      <c r="A50" s="14" t="str">
        <f t="shared" si="2"/>
        <v>01</v>
      </c>
      <c r="B50" t="s">
        <v>15</v>
      </c>
      <c r="C50" s="14" t="str">
        <f>VLOOKUP(B50,Table4[],2,FALSE)</f>
        <v xml:space="preserve"> Valla- ja linnavalitsus</v>
      </c>
      <c r="D50" s="14" t="str">
        <f>VLOOKUP(Table110[[#This Row],[Tegevusala]],Table4[[Tegevusala kood]:[Tegevusala alanimetus]],4,FALSE)</f>
        <v>Valla- ja linnavalitsus</v>
      </c>
      <c r="E50" s="14" t="str">
        <f>VLOOKUP(C50,Table4[[Tegevusala nimetus]:[Tegevusala koondnimetus]],2,FALSE)</f>
        <v>Üldised valitsussektori teenused</v>
      </c>
      <c r="F50" s="14" t="s">
        <v>818</v>
      </c>
      <c r="G50" s="14" t="s">
        <v>818</v>
      </c>
      <c r="H50" s="14">
        <v>1</v>
      </c>
      <c r="I50" s="14"/>
      <c r="J50" s="14">
        <v>2800</v>
      </c>
      <c r="K50" s="14">
        <f t="shared" si="0"/>
        <v>2800</v>
      </c>
      <c r="L50" s="14">
        <v>12</v>
      </c>
      <c r="M50" s="14"/>
      <c r="N50" s="44">
        <f>(K50*Table110[[#This Row],[Ühik2]])+M50</f>
        <v>33600</v>
      </c>
      <c r="O50" s="44">
        <f>Table110[[#This Row],[2020. EA ]]*0.338</f>
        <v>11356.800000000001</v>
      </c>
      <c r="P50" s="14"/>
    </row>
    <row r="51" spans="1:16" x14ac:dyDescent="0.25">
      <c r="A51" s="14" t="str">
        <f t="shared" si="2"/>
        <v>01</v>
      </c>
      <c r="B51" t="s">
        <v>15</v>
      </c>
      <c r="C51" s="14" t="str">
        <f>VLOOKUP(B51,Table4[],2,FALSE)</f>
        <v xml:space="preserve"> Valla- ja linnavalitsus</v>
      </c>
      <c r="D51" s="14" t="str">
        <f>VLOOKUP(Table110[[#This Row],[Tegevusala]],Table4[[Tegevusala kood]:[Tegevusala alanimetus]],4,FALSE)</f>
        <v>Valla- ja linnavalitsus</v>
      </c>
      <c r="E51" s="14" t="str">
        <f>VLOOKUP(C51,Table4[[Tegevusala nimetus]:[Tegevusala koondnimetus]],2,FALSE)</f>
        <v>Üldised valitsussektori teenused</v>
      </c>
      <c r="F51" s="14" t="s">
        <v>818</v>
      </c>
      <c r="G51" s="14" t="s">
        <v>819</v>
      </c>
      <c r="H51" s="14">
        <v>1</v>
      </c>
      <c r="I51" s="14"/>
      <c r="J51" s="14">
        <v>2200</v>
      </c>
      <c r="K51" s="14">
        <f t="shared" si="0"/>
        <v>2200</v>
      </c>
      <c r="L51" s="14">
        <v>12</v>
      </c>
      <c r="M51" s="14"/>
      <c r="N51" s="44">
        <f>(K51*Table110[[#This Row],[Ühik2]])+M51</f>
        <v>26400</v>
      </c>
      <c r="O51" s="44">
        <f>Table110[[#This Row],[2020. EA ]]*0.338</f>
        <v>8923.2000000000007</v>
      </c>
      <c r="P51" s="14"/>
    </row>
    <row r="52" spans="1:16" x14ac:dyDescent="0.25">
      <c r="A52" s="14" t="str">
        <f t="shared" si="2"/>
        <v>01</v>
      </c>
      <c r="B52" t="s">
        <v>15</v>
      </c>
      <c r="C52" s="14" t="str">
        <f>VLOOKUP(B52,Table4[],2,FALSE)</f>
        <v xml:space="preserve"> Valla- ja linnavalitsus</v>
      </c>
      <c r="D52" s="14" t="str">
        <f>VLOOKUP(Table110[[#This Row],[Tegevusala]],Table4[[Tegevusala kood]:[Tegevusala alanimetus]],4,FALSE)</f>
        <v>Valla- ja linnavalitsus</v>
      </c>
      <c r="E52" s="14" t="str">
        <f>VLOOKUP(C52,Table4[[Tegevusala nimetus]:[Tegevusala koondnimetus]],2,FALSE)</f>
        <v>Üldised valitsussektori teenused</v>
      </c>
      <c r="F52" s="14" t="s">
        <v>818</v>
      </c>
      <c r="G52" s="14" t="s">
        <v>820</v>
      </c>
      <c r="H52" s="14">
        <v>1</v>
      </c>
      <c r="I52" s="14"/>
      <c r="J52" s="14">
        <v>2000</v>
      </c>
      <c r="K52" s="14">
        <f t="shared" si="0"/>
        <v>2000</v>
      </c>
      <c r="L52" s="14">
        <v>12</v>
      </c>
      <c r="M52" s="14"/>
      <c r="N52" s="44">
        <f>(K52*Table110[[#This Row],[Ühik2]])+M52</f>
        <v>24000</v>
      </c>
      <c r="O52" s="44">
        <f>Table110[[#This Row],[2020. EA ]]*0.338</f>
        <v>8112.0000000000009</v>
      </c>
      <c r="P52" s="14"/>
    </row>
    <row r="53" spans="1:16" x14ac:dyDescent="0.25">
      <c r="A53" s="14" t="str">
        <f t="shared" si="2"/>
        <v>01</v>
      </c>
      <c r="B53" t="s">
        <v>15</v>
      </c>
      <c r="C53" s="14" t="str">
        <f>VLOOKUP(B53,Table4[],2,FALSE)</f>
        <v xml:space="preserve"> Valla- ja linnavalitsus</v>
      </c>
      <c r="D53" s="14" t="str">
        <f>VLOOKUP(Table110[[#This Row],[Tegevusala]],Table4[[Tegevusala kood]:[Tegevusala alanimetus]],4,FALSE)</f>
        <v>Valla- ja linnavalitsus</v>
      </c>
      <c r="E53" s="14" t="str">
        <f>VLOOKUP(C53,Table4[[Tegevusala nimetus]:[Tegevusala koondnimetus]],2,FALSE)</f>
        <v>Üldised valitsussektori teenused</v>
      </c>
      <c r="F53" s="14" t="s">
        <v>818</v>
      </c>
      <c r="G53" s="14" t="s">
        <v>821</v>
      </c>
      <c r="H53" s="14">
        <v>1</v>
      </c>
      <c r="I53" s="14"/>
      <c r="J53" s="14">
        <v>1250</v>
      </c>
      <c r="K53" s="14">
        <f t="shared" si="0"/>
        <v>1250</v>
      </c>
      <c r="L53" s="14">
        <v>12</v>
      </c>
      <c r="M53" s="14"/>
      <c r="N53" s="44">
        <f>(K53*Table110[[#This Row],[Ühik2]])+M53</f>
        <v>15000</v>
      </c>
      <c r="O53" s="44">
        <f>Table110[[#This Row],[2020. EA ]]*0.338</f>
        <v>5070</v>
      </c>
      <c r="P53" s="14"/>
    </row>
    <row r="54" spans="1:16" x14ac:dyDescent="0.25">
      <c r="A54" s="14" t="str">
        <f t="shared" si="2"/>
        <v>01</v>
      </c>
      <c r="B54" t="s">
        <v>15</v>
      </c>
      <c r="C54" s="14" t="str">
        <f>VLOOKUP(B54,Table4[],2,FALSE)</f>
        <v xml:space="preserve"> Valla- ja linnavalitsus</v>
      </c>
      <c r="D54" s="14" t="str">
        <f>VLOOKUP(Table110[[#This Row],[Tegevusala]],Table4[[Tegevusala kood]:[Tegevusala alanimetus]],4,FALSE)</f>
        <v>Valla- ja linnavalitsus</v>
      </c>
      <c r="E54" s="14" t="str">
        <f>VLOOKUP(C54,Table4[[Tegevusala nimetus]:[Tegevusala koondnimetus]],2,FALSE)</f>
        <v>Üldised valitsussektori teenused</v>
      </c>
      <c r="F54" s="14" t="s">
        <v>818</v>
      </c>
      <c r="G54" s="14" t="s">
        <v>822</v>
      </c>
      <c r="H54" s="14">
        <v>1</v>
      </c>
      <c r="I54" s="14"/>
      <c r="J54" s="14">
        <v>1750</v>
      </c>
      <c r="K54" s="14">
        <f t="shared" si="0"/>
        <v>1750</v>
      </c>
      <c r="L54" s="14">
        <v>12</v>
      </c>
      <c r="M54" s="14"/>
      <c r="N54" s="44">
        <f>(K54*Table110[[#This Row],[Ühik2]])+M54</f>
        <v>21000</v>
      </c>
      <c r="O54" s="44">
        <f>Table110[[#This Row],[2020. EA ]]*0.338</f>
        <v>7098.0000000000009</v>
      </c>
      <c r="P54" s="14"/>
    </row>
    <row r="55" spans="1:16" x14ac:dyDescent="0.25">
      <c r="A55" s="14" t="str">
        <f t="shared" si="2"/>
        <v>01</v>
      </c>
      <c r="B55" t="s">
        <v>15</v>
      </c>
      <c r="C55" s="14" t="str">
        <f>VLOOKUP(B55,Table4[],2,FALSE)</f>
        <v xml:space="preserve"> Valla- ja linnavalitsus</v>
      </c>
      <c r="D55" s="14" t="str">
        <f>VLOOKUP(Table110[[#This Row],[Tegevusala]],Table4[[Tegevusala kood]:[Tegevusala alanimetus]],4,FALSE)</f>
        <v>Valla- ja linnavalitsus</v>
      </c>
      <c r="E55" s="14" t="str">
        <f>VLOOKUP(C55,Table4[[Tegevusala nimetus]:[Tegevusala koondnimetus]],2,FALSE)</f>
        <v>Üldised valitsussektori teenused</v>
      </c>
      <c r="F55" s="14" t="s">
        <v>818</v>
      </c>
      <c r="G55" s="14" t="s">
        <v>823</v>
      </c>
      <c r="H55" s="14">
        <v>2</v>
      </c>
      <c r="I55" s="14"/>
      <c r="J55" s="14">
        <v>1250</v>
      </c>
      <c r="K55" s="14">
        <f t="shared" si="0"/>
        <v>2500</v>
      </c>
      <c r="L55" s="14">
        <v>12</v>
      </c>
      <c r="M55" s="14"/>
      <c r="N55" s="44">
        <f>(K55*Table110[[#This Row],[Ühik2]])+M55</f>
        <v>30000</v>
      </c>
      <c r="O55" s="44">
        <f>Table110[[#This Row],[2020. EA ]]*0.338</f>
        <v>10140</v>
      </c>
      <c r="P55" s="14"/>
    </row>
    <row r="56" spans="1:16" x14ac:dyDescent="0.25">
      <c r="A56" s="14" t="str">
        <f t="shared" si="2"/>
        <v>01</v>
      </c>
      <c r="B56" t="s">
        <v>13</v>
      </c>
      <c r="C56" s="14" t="str">
        <f>VLOOKUP(B56,Table4[],2,FALSE)</f>
        <v xml:space="preserve"> Valla- ja linnavolikogu</v>
      </c>
      <c r="D56" s="14" t="str">
        <f>VLOOKUP(Table110[[#This Row],[Tegevusala]],Table4[[Tegevusala kood]:[Tegevusala alanimetus]],4,FALSE)</f>
        <v>Valla- ja linnavolikogu</v>
      </c>
      <c r="E56" s="14" t="str">
        <f>VLOOKUP(C56,Table4[[Tegevusala nimetus]:[Tegevusala koondnimetus]],2,FALSE)</f>
        <v>Üldised valitsussektori teenused</v>
      </c>
      <c r="F56" s="14" t="s">
        <v>828</v>
      </c>
      <c r="G56" s="14" t="s">
        <v>828</v>
      </c>
      <c r="H56" s="14">
        <v>1</v>
      </c>
      <c r="I56" s="14"/>
      <c r="J56" s="14">
        <v>1000</v>
      </c>
      <c r="K56" s="14">
        <f t="shared" si="0"/>
        <v>1000</v>
      </c>
      <c r="L56" s="14">
        <v>12</v>
      </c>
      <c r="M56" s="14"/>
      <c r="N56" s="44">
        <f>(K56*Table110[[#This Row],[Ühik2]])+M56</f>
        <v>12000</v>
      </c>
      <c r="O56" s="44">
        <f>Table110[[#This Row],[2020. EA ]]*0.338</f>
        <v>4056.0000000000005</v>
      </c>
      <c r="P56" s="14"/>
    </row>
    <row r="57" spans="1:16" x14ac:dyDescent="0.25">
      <c r="A57" s="14" t="str">
        <f t="shared" si="2"/>
        <v>01</v>
      </c>
      <c r="B57" t="s">
        <v>13</v>
      </c>
      <c r="C57" s="14" t="str">
        <f>VLOOKUP(B57,Table4[],2,FALSE)</f>
        <v xml:space="preserve"> Valla- ja linnavolikogu</v>
      </c>
      <c r="D57" s="14" t="str">
        <f>VLOOKUP(Table110[[#This Row],[Tegevusala]],Table4[[Tegevusala kood]:[Tegevusala alanimetus]],4,FALSE)</f>
        <v>Valla- ja linnavolikogu</v>
      </c>
      <c r="E57" s="14" t="str">
        <f>VLOOKUP(C57,Table4[[Tegevusala nimetus]:[Tegevusala koondnimetus]],2,FALSE)</f>
        <v>Üldised valitsussektori teenused</v>
      </c>
      <c r="F57" s="14" t="s">
        <v>828</v>
      </c>
      <c r="G57" s="14" t="s">
        <v>829</v>
      </c>
      <c r="H57" s="14">
        <v>4</v>
      </c>
      <c r="I57" s="14" t="s">
        <v>2027</v>
      </c>
      <c r="J57" s="14">
        <v>90</v>
      </c>
      <c r="K57" s="14">
        <f t="shared" si="0"/>
        <v>360</v>
      </c>
      <c r="L57" s="14">
        <v>11</v>
      </c>
      <c r="M57" s="14"/>
      <c r="N57" s="44">
        <f>(K57*Table110[[#This Row],[Ühik2]])+M57</f>
        <v>3960</v>
      </c>
      <c r="O57" s="44">
        <f>Table110[[#This Row],[2020. EA ]]*0.338</f>
        <v>1338.48</v>
      </c>
      <c r="P57" s="14"/>
    </row>
    <row r="58" spans="1:16" x14ac:dyDescent="0.25">
      <c r="A58" s="14" t="str">
        <f t="shared" si="2"/>
        <v>01</v>
      </c>
      <c r="B58" t="s">
        <v>13</v>
      </c>
      <c r="C58" s="14" t="str">
        <f>VLOOKUP(B58,Table4[],2,FALSE)</f>
        <v xml:space="preserve"> Valla- ja linnavolikogu</v>
      </c>
      <c r="D58" s="14" t="str">
        <f>VLOOKUP(Table110[[#This Row],[Tegevusala]],Table4[[Tegevusala kood]:[Tegevusala alanimetus]],4,FALSE)</f>
        <v>Valla- ja linnavolikogu</v>
      </c>
      <c r="E58" s="14" t="str">
        <f>VLOOKUP(C58,Table4[[Tegevusala nimetus]:[Tegevusala koondnimetus]],2,FALSE)</f>
        <v>Üldised valitsussektori teenused</v>
      </c>
      <c r="F58" s="14" t="s">
        <v>828</v>
      </c>
      <c r="G58" s="14" t="s">
        <v>837</v>
      </c>
      <c r="H58" s="14">
        <v>16</v>
      </c>
      <c r="I58" s="14" t="s">
        <v>2027</v>
      </c>
      <c r="J58" s="14">
        <v>40</v>
      </c>
      <c r="K58" s="14">
        <f t="shared" si="0"/>
        <v>640</v>
      </c>
      <c r="L58" s="14">
        <v>5</v>
      </c>
      <c r="M58" s="14"/>
      <c r="N58" s="44">
        <f>(K58*Table110[[#This Row],[Ühik2]])+M58</f>
        <v>3200</v>
      </c>
      <c r="O58" s="44">
        <f>Table110[[#This Row],[2020. EA ]]*0.338</f>
        <v>1081.6000000000001</v>
      </c>
      <c r="P58" s="14"/>
    </row>
    <row r="59" spans="1:16" x14ac:dyDescent="0.25">
      <c r="A59" s="14" t="str">
        <f>LEFT(B59,2)</f>
        <v>01</v>
      </c>
      <c r="B59" t="s">
        <v>13</v>
      </c>
      <c r="C59" s="14" t="str">
        <f>VLOOKUP(B59,Table4[],2,FALSE)</f>
        <v xml:space="preserve"> Valla- ja linnavolikogu</v>
      </c>
      <c r="D59" s="14" t="str">
        <f>VLOOKUP(Table110[[#This Row],[Tegevusala]],Table4[[Tegevusala kood]:[Tegevusala alanimetus]],4,FALSE)</f>
        <v>Valla- ja linnavolikogu</v>
      </c>
      <c r="E59" s="14" t="str">
        <f>VLOOKUP(C59,Table4[[Tegevusala nimetus]:[Tegevusala koondnimetus]],2,FALSE)</f>
        <v>Üldised valitsussektori teenused</v>
      </c>
      <c r="F59" s="14" t="s">
        <v>828</v>
      </c>
      <c r="G59" s="14" t="s">
        <v>838</v>
      </c>
      <c r="H59" s="14">
        <v>39</v>
      </c>
      <c r="I59" s="14" t="s">
        <v>2027</v>
      </c>
      <c r="J59" s="14">
        <v>40</v>
      </c>
      <c r="K59" s="14">
        <f t="shared" si="0"/>
        <v>1560</v>
      </c>
      <c r="L59" s="14">
        <v>4.5</v>
      </c>
      <c r="M59" s="14"/>
      <c r="N59" s="44">
        <f>(K59*Table110[[#This Row],[Ühik2]])+M59</f>
        <v>7020</v>
      </c>
      <c r="O59" s="44">
        <f>Table110[[#This Row],[2020. EA ]]*0.338</f>
        <v>2372.7600000000002</v>
      </c>
      <c r="P59" s="14"/>
    </row>
    <row r="60" spans="1:16" x14ac:dyDescent="0.25">
      <c r="A60" s="14" t="str">
        <f t="shared" si="2"/>
        <v>01</v>
      </c>
      <c r="B60" t="s">
        <v>13</v>
      </c>
      <c r="C60" s="14" t="str">
        <f>VLOOKUP(B60,Table4[],2,FALSE)</f>
        <v xml:space="preserve"> Valla- ja linnavolikogu</v>
      </c>
      <c r="D60" s="14" t="str">
        <f>VLOOKUP(Table110[[#This Row],[Tegevusala]],Table4[[Tegevusala kood]:[Tegevusala alanimetus]],4,FALSE)</f>
        <v>Valla- ja linnavolikogu</v>
      </c>
      <c r="E60" s="14" t="str">
        <f>VLOOKUP(C60,Table4[[Tegevusala nimetus]:[Tegevusala koondnimetus]],2,FALSE)</f>
        <v>Üldised valitsussektori teenused</v>
      </c>
      <c r="F60" s="14" t="s">
        <v>828</v>
      </c>
      <c r="G60" s="14" t="s">
        <v>830</v>
      </c>
      <c r="H60" s="14">
        <v>1</v>
      </c>
      <c r="I60" s="14"/>
      <c r="J60" s="14"/>
      <c r="K60" s="14">
        <f t="shared" si="0"/>
        <v>0</v>
      </c>
      <c r="L60" s="14"/>
      <c r="M60" s="14">
        <v>900</v>
      </c>
      <c r="N60" s="44">
        <f>(K60*Table110[[#This Row],[Ühik2]])+M60</f>
        <v>900</v>
      </c>
      <c r="O60" s="44">
        <f>Table110[[#This Row],[2020. EA ]]*0.338</f>
        <v>304.20000000000005</v>
      </c>
      <c r="P60" s="14"/>
    </row>
    <row r="61" spans="1:16" x14ac:dyDescent="0.25">
      <c r="A61" s="14" t="str">
        <f>LEFT(B61,2)</f>
        <v>04</v>
      </c>
      <c r="B61" s="36" t="s">
        <v>34</v>
      </c>
      <c r="C61" s="14" t="str">
        <f>VLOOKUP(B61,Table4[],2,FALSE)</f>
        <v xml:space="preserve"> Muu majandus (sh majanduse haldus)</v>
      </c>
      <c r="D61" s="14" t="str">
        <f>VLOOKUP(Table110[[#This Row],[Tegevusala]],Table4[[Tegevusala kood]:[Tegevusala alanimetus]],4,FALSE)</f>
        <v>Muu majandus (sh majanduse haldus)</v>
      </c>
      <c r="E61" s="14" t="str">
        <f>VLOOKUP(C61,Table4[[Tegevusala nimetus]:[Tegevusala koondnimetus]],2,FALSE)</f>
        <v>Majandus</v>
      </c>
      <c r="F61" s="14" t="s">
        <v>818</v>
      </c>
      <c r="G61" s="14" t="s">
        <v>841</v>
      </c>
      <c r="H61" s="14">
        <v>1</v>
      </c>
      <c r="I61" s="14"/>
      <c r="J61" s="14">
        <v>1750</v>
      </c>
      <c r="K61" s="14">
        <f t="shared" si="0"/>
        <v>1750</v>
      </c>
      <c r="L61" s="14">
        <v>12</v>
      </c>
      <c r="M61" s="14"/>
      <c r="N61" s="44">
        <f>(K61*Table110[[#This Row],[Ühik2]])+M61</f>
        <v>21000</v>
      </c>
      <c r="O61" s="44">
        <f>Table110[[#This Row],[2020. EA ]]*0.338</f>
        <v>7098.0000000000009</v>
      </c>
      <c r="P61" s="14"/>
    </row>
    <row r="62" spans="1:16" x14ac:dyDescent="0.25">
      <c r="A62" s="14" t="str">
        <f>LEFT(B62,2)</f>
        <v>04</v>
      </c>
      <c r="B62" s="36" t="s">
        <v>34</v>
      </c>
      <c r="C62" s="14" t="str">
        <f>VLOOKUP(B62,Table4[],2,FALSE)</f>
        <v xml:space="preserve"> Muu majandus (sh majanduse haldus)</v>
      </c>
      <c r="D62" s="14" t="str">
        <f>VLOOKUP(Table110[[#This Row],[Tegevusala]],Table4[[Tegevusala kood]:[Tegevusala alanimetus]],4,FALSE)</f>
        <v>Muu majandus (sh majanduse haldus)</v>
      </c>
      <c r="E62" s="14" t="str">
        <f>VLOOKUP(C62,Table4[[Tegevusala nimetus]:[Tegevusala koondnimetus]],2,FALSE)</f>
        <v>Majandus</v>
      </c>
      <c r="F62" s="14" t="s">
        <v>818</v>
      </c>
      <c r="G62" s="14" t="s">
        <v>842</v>
      </c>
      <c r="H62" s="14">
        <v>1</v>
      </c>
      <c r="I62" s="14"/>
      <c r="J62" s="14">
        <v>1560</v>
      </c>
      <c r="K62" s="14">
        <f t="shared" si="0"/>
        <v>1560</v>
      </c>
      <c r="L62" s="14">
        <v>12</v>
      </c>
      <c r="M62" s="14"/>
      <c r="N62" s="44">
        <f>(K62*Table110[[#This Row],[Ühik2]])+M62</f>
        <v>18720</v>
      </c>
      <c r="O62" s="44">
        <f>Table110[[#This Row],[2020. EA ]]*0.338</f>
        <v>6327.3600000000006</v>
      </c>
      <c r="P62" s="14"/>
    </row>
    <row r="63" spans="1:16" x14ac:dyDescent="0.25">
      <c r="A63" s="14" t="str">
        <f>LEFT(B63,2)</f>
        <v>04</v>
      </c>
      <c r="B63" s="36" t="s">
        <v>34</v>
      </c>
      <c r="C63" s="14" t="str">
        <f>VLOOKUP(B63,Table4[],2,FALSE)</f>
        <v xml:space="preserve"> Muu majandus (sh majanduse haldus)</v>
      </c>
      <c r="D63" s="14" t="str">
        <f>VLOOKUP(Table110[[#This Row],[Tegevusala]],Table4[[Tegevusala kood]:[Tegevusala alanimetus]],4,FALSE)</f>
        <v>Muu majandus (sh majanduse haldus)</v>
      </c>
      <c r="E63" s="14" t="str">
        <f>VLOOKUP(C63,Table4[[Tegevusala nimetus]:[Tegevusala koondnimetus]],2,FALSE)</f>
        <v>Majandus</v>
      </c>
      <c r="F63" s="14" t="s">
        <v>818</v>
      </c>
      <c r="G63" s="14" t="s">
        <v>648</v>
      </c>
      <c r="H63" s="14">
        <v>1</v>
      </c>
      <c r="I63" s="14"/>
      <c r="J63" s="14">
        <v>1560</v>
      </c>
      <c r="K63" s="14">
        <f t="shared" si="0"/>
        <v>1560</v>
      </c>
      <c r="L63" s="14">
        <v>12</v>
      </c>
      <c r="M63" s="14"/>
      <c r="N63" s="44">
        <f>(K63*Table110[[#This Row],[Ühik2]])+M63</f>
        <v>18720</v>
      </c>
      <c r="O63" s="44">
        <f>Table110[[#This Row],[2020. EA ]]*0.338</f>
        <v>6327.3600000000006</v>
      </c>
      <c r="P63" s="14"/>
    </row>
    <row r="64" spans="1:16" x14ac:dyDescent="0.25">
      <c r="A64" s="38" t="str">
        <f>LEFT(B64,2)</f>
        <v>04</v>
      </c>
      <c r="B64" s="42" t="s">
        <v>34</v>
      </c>
      <c r="C64" s="38" t="str">
        <f>VLOOKUP(B64,Table4[],2,FALSE)</f>
        <v xml:space="preserve"> Muu majandus (sh majanduse haldus)</v>
      </c>
      <c r="D64" s="38" t="str">
        <f>VLOOKUP(Table110[[#This Row],[Tegevusala]],Table4[[Tegevusala kood]:[Tegevusala alanimetus]],4,FALSE)</f>
        <v>Muu majandus (sh majanduse haldus)</v>
      </c>
      <c r="E64" s="38" t="str">
        <f>VLOOKUP(C64,Table4[[Tegevusala nimetus]:[Tegevusala koondnimetus]],2,FALSE)</f>
        <v>Majandus</v>
      </c>
      <c r="F64" s="38" t="s">
        <v>818</v>
      </c>
      <c r="G64" s="38" t="s">
        <v>1043</v>
      </c>
      <c r="H64" s="38">
        <v>0.75</v>
      </c>
      <c r="I64" s="38"/>
      <c r="J64" s="38">
        <v>1650</v>
      </c>
      <c r="K64" s="38">
        <f t="shared" si="0"/>
        <v>1237.5</v>
      </c>
      <c r="L64" s="38">
        <v>12</v>
      </c>
      <c r="M64" s="38"/>
      <c r="N64" s="45">
        <f>(K64*Table110[[#This Row],[Ühik2]])+M64</f>
        <v>14850</v>
      </c>
      <c r="O64" s="45">
        <f>Table110[[#This Row],[2020. EA ]]*0.338</f>
        <v>5019.3</v>
      </c>
      <c r="P64" s="38"/>
    </row>
    <row r="65" spans="1:16" x14ac:dyDescent="0.25">
      <c r="A65" s="14" t="str">
        <f t="shared" ref="A65:A69" si="3">LEFT(B65,2)</f>
        <v>06</v>
      </c>
      <c r="B65" t="s">
        <v>254</v>
      </c>
      <c r="C65" s="14" t="str">
        <f>VLOOKUP(B65,Table4[],2,FALSE)</f>
        <v>Laekvere halduspiirkond</v>
      </c>
      <c r="D65" s="14" t="str">
        <f>VLOOKUP(Table110[[#This Row],[Tegevusala]],Table4[[Tegevusala kood]:[Tegevusala alanimetus]],4,FALSE)</f>
        <v>Muu elamu- ja kommunaalmajanduse tegevus</v>
      </c>
      <c r="E65" s="14" t="str">
        <f>VLOOKUP(C65,Table4[[Tegevusala nimetus]:[Tegevusala koondnimetus]],2,FALSE)</f>
        <v>Elamu- ja kommunaalmajandus</v>
      </c>
      <c r="F65" s="14" t="s">
        <v>850</v>
      </c>
      <c r="G65" s="14" t="s">
        <v>845</v>
      </c>
      <c r="H65" s="14">
        <v>1</v>
      </c>
      <c r="I65" s="14"/>
      <c r="J65" s="14">
        <v>1560</v>
      </c>
      <c r="K65" s="14">
        <f t="shared" si="0"/>
        <v>1560</v>
      </c>
      <c r="L65" s="14">
        <v>12</v>
      </c>
      <c r="M65" s="14"/>
      <c r="N65" s="44">
        <f>(K65*Table110[[#This Row],[Ühik2]])+M65</f>
        <v>18720</v>
      </c>
      <c r="O65" s="44">
        <f>Table110[[#This Row],[2020. EA ]]*0.338</f>
        <v>6327.3600000000006</v>
      </c>
      <c r="P65" s="14"/>
    </row>
    <row r="66" spans="1:16" x14ac:dyDescent="0.25">
      <c r="A66" s="14" t="str">
        <f t="shared" si="3"/>
        <v>06</v>
      </c>
      <c r="B66" t="s">
        <v>254</v>
      </c>
      <c r="C66" s="14" t="str">
        <f>VLOOKUP(B66,Table4[],2,FALSE)</f>
        <v>Laekvere halduspiirkond</v>
      </c>
      <c r="D66" s="14" t="str">
        <f>VLOOKUP(Table110[[#This Row],[Tegevusala]],Table4[[Tegevusala kood]:[Tegevusala alanimetus]],4,FALSE)</f>
        <v>Muu elamu- ja kommunaalmajanduse tegevus</v>
      </c>
      <c r="E66" s="14" t="str">
        <f>VLOOKUP(C66,Table4[[Tegevusala nimetus]:[Tegevusala koondnimetus]],2,FALSE)</f>
        <v>Elamu- ja kommunaalmajandus</v>
      </c>
      <c r="F66" s="14" t="s">
        <v>850</v>
      </c>
      <c r="G66" s="14" t="s">
        <v>846</v>
      </c>
      <c r="H66" s="14">
        <v>1</v>
      </c>
      <c r="I66" s="14"/>
      <c r="J66" s="14">
        <v>900</v>
      </c>
      <c r="K66" s="14">
        <f t="shared" ref="K66:K129" si="4">H66*J66</f>
        <v>900</v>
      </c>
      <c r="L66" s="14">
        <v>12</v>
      </c>
      <c r="M66" s="14"/>
      <c r="N66" s="44">
        <f>(K66*Table110[[#This Row],[Ühik2]])+M66</f>
        <v>10800</v>
      </c>
      <c r="O66" s="44">
        <f>Table110[[#This Row],[2020. EA ]]*0.338</f>
        <v>3650.4</v>
      </c>
      <c r="P66" s="14"/>
    </row>
    <row r="67" spans="1:16" x14ac:dyDescent="0.25">
      <c r="A67" s="14" t="str">
        <f t="shared" si="3"/>
        <v>06</v>
      </c>
      <c r="B67" t="s">
        <v>254</v>
      </c>
      <c r="C67" s="14" t="str">
        <f>VLOOKUP(B67,Table4[],2,FALSE)</f>
        <v>Laekvere halduspiirkond</v>
      </c>
      <c r="D67" s="14" t="str">
        <f>VLOOKUP(Table110[[#This Row],[Tegevusala]],Table4[[Tegevusala kood]:[Tegevusala alanimetus]],4,FALSE)</f>
        <v>Muu elamu- ja kommunaalmajanduse tegevus</v>
      </c>
      <c r="E67" s="14" t="str">
        <f>VLOOKUP(C67,Table4[[Tegevusala nimetus]:[Tegevusala koondnimetus]],2,FALSE)</f>
        <v>Elamu- ja kommunaalmajandus</v>
      </c>
      <c r="F67" s="14" t="s">
        <v>850</v>
      </c>
      <c r="G67" s="14" t="s">
        <v>847</v>
      </c>
      <c r="H67" s="14">
        <v>1</v>
      </c>
      <c r="I67" s="14"/>
      <c r="J67" s="14">
        <v>900</v>
      </c>
      <c r="K67" s="14">
        <f t="shared" si="4"/>
        <v>900</v>
      </c>
      <c r="L67" s="14">
        <v>12</v>
      </c>
      <c r="M67" s="14"/>
      <c r="N67" s="44">
        <f>(K67*Table110[[#This Row],[Ühik2]])+M67</f>
        <v>10800</v>
      </c>
      <c r="O67" s="44">
        <f>Table110[[#This Row],[2020. EA ]]*0.338</f>
        <v>3650.4</v>
      </c>
      <c r="P67" s="14"/>
    </row>
    <row r="68" spans="1:16" x14ac:dyDescent="0.25">
      <c r="A68" s="91" t="str">
        <f t="shared" si="3"/>
        <v>06</v>
      </c>
      <c r="B68" s="92" t="s">
        <v>254</v>
      </c>
      <c r="C68" s="91" t="str">
        <f>VLOOKUP(B68,Table4[],2,FALSE)</f>
        <v>Laekvere halduspiirkond</v>
      </c>
      <c r="D68" s="91" t="str">
        <f>VLOOKUP(Table110[[#This Row],[Tegevusala]],Table4[[Tegevusala kood]:[Tegevusala alanimetus]],4,FALSE)</f>
        <v>Muu elamu- ja kommunaalmajanduse tegevus</v>
      </c>
      <c r="E68" s="91" t="str">
        <f>VLOOKUP(C68,Table4[[Tegevusala nimetus]:[Tegevusala koondnimetus]],2,FALSE)</f>
        <v>Elamu- ja kommunaalmajandus</v>
      </c>
      <c r="F68" s="91" t="s">
        <v>850</v>
      </c>
      <c r="G68" s="91" t="s">
        <v>524</v>
      </c>
      <c r="H68" s="91">
        <v>1</v>
      </c>
      <c r="I68" s="91"/>
      <c r="J68" s="91">
        <v>584</v>
      </c>
      <c r="K68" s="91">
        <f t="shared" si="4"/>
        <v>584</v>
      </c>
      <c r="L68" s="91">
        <v>12</v>
      </c>
      <c r="M68" s="91"/>
      <c r="N68" s="93">
        <f>(K68*Table110[[#This Row],[Ühik2]])+M68</f>
        <v>7008</v>
      </c>
      <c r="O68" s="93">
        <f>Table110[[#This Row],[2020. EA ]]*0.338</f>
        <v>2368.7040000000002</v>
      </c>
      <c r="P68" s="91"/>
    </row>
    <row r="69" spans="1:16" x14ac:dyDescent="0.25">
      <c r="A69" s="91" t="str">
        <f t="shared" si="3"/>
        <v>06</v>
      </c>
      <c r="B69" s="92" t="s">
        <v>254</v>
      </c>
      <c r="C69" s="91" t="str">
        <f>VLOOKUP(B69,Table4[],2,FALSE)</f>
        <v>Laekvere halduspiirkond</v>
      </c>
      <c r="D69" s="91" t="str">
        <f>VLOOKUP(Table110[[#This Row],[Tegevusala]],Table4[[Tegevusala kood]:[Tegevusala alanimetus]],4,FALSE)</f>
        <v>Muu elamu- ja kommunaalmajanduse tegevus</v>
      </c>
      <c r="E69" s="91" t="str">
        <f>VLOOKUP(C69,Table4[[Tegevusala nimetus]:[Tegevusala koondnimetus]],2,FALSE)</f>
        <v>Elamu- ja kommunaalmajandus</v>
      </c>
      <c r="F69" s="91" t="s">
        <v>850</v>
      </c>
      <c r="G69" s="91" t="s">
        <v>848</v>
      </c>
      <c r="H69" s="91">
        <v>1</v>
      </c>
      <c r="I69" s="91"/>
      <c r="J69" s="91">
        <v>584</v>
      </c>
      <c r="K69" s="91">
        <f t="shared" si="4"/>
        <v>584</v>
      </c>
      <c r="L69" s="91">
        <v>12</v>
      </c>
      <c r="M69" s="91"/>
      <c r="N69" s="93">
        <f>(K69*Table110[[#This Row],[Ühik2]])+M69</f>
        <v>7008</v>
      </c>
      <c r="O69" s="93">
        <f>Table110[[#This Row],[2020. EA ]]*0.338</f>
        <v>2368.7040000000002</v>
      </c>
      <c r="P69" s="91"/>
    </row>
    <row r="70" spans="1:16" x14ac:dyDescent="0.25">
      <c r="A70" s="14" t="str">
        <f>LEFT(B70,2)</f>
        <v>06</v>
      </c>
      <c r="B70" t="s">
        <v>254</v>
      </c>
      <c r="C70" s="14" t="str">
        <f>VLOOKUP(B70,Table4[],2,FALSE)</f>
        <v>Laekvere halduspiirkond</v>
      </c>
      <c r="D70" s="14" t="str">
        <f>VLOOKUP(Table110[[#This Row],[Tegevusala]],Table4[[Tegevusala kood]:[Tegevusala alanimetus]],4,FALSE)</f>
        <v>Muu elamu- ja kommunaalmajanduse tegevus</v>
      </c>
      <c r="E70" s="14" t="str">
        <f>VLOOKUP(C70,Table4[[Tegevusala nimetus]:[Tegevusala koondnimetus]],2,FALSE)</f>
        <v>Elamu- ja kommunaalmajandus</v>
      </c>
      <c r="F70" s="14" t="s">
        <v>850</v>
      </c>
      <c r="G70" s="14" t="s">
        <v>849</v>
      </c>
      <c r="H70" s="14">
        <v>1</v>
      </c>
      <c r="I70" s="14"/>
      <c r="J70" s="14"/>
      <c r="K70" s="14">
        <f t="shared" si="4"/>
        <v>0</v>
      </c>
      <c r="L70" s="14"/>
      <c r="M70" s="14">
        <v>2100</v>
      </c>
      <c r="N70" s="44">
        <f>(K70*Table110[[#This Row],[Ühik2]])+M70</f>
        <v>2100</v>
      </c>
      <c r="O70" s="44">
        <f>Table110[[#This Row],[2020. EA ]]*0.338</f>
        <v>709.80000000000007</v>
      </c>
      <c r="P70" s="14"/>
    </row>
    <row r="71" spans="1:16" x14ac:dyDescent="0.25">
      <c r="A71" s="14" t="str">
        <f t="shared" ref="A71:A72" si="5">LEFT(B71,2)</f>
        <v>06</v>
      </c>
      <c r="B71" t="s">
        <v>255</v>
      </c>
      <c r="C71" s="14" t="str">
        <f>VLOOKUP(B71,Table4[],2,FALSE)</f>
        <v xml:space="preserve"> Rägavere halduspiirkond</v>
      </c>
      <c r="D71" s="14" t="str">
        <f>VLOOKUP(Table110[[#This Row],[Tegevusala]],Table4[[Tegevusala kood]:[Tegevusala alanimetus]],4,FALSE)</f>
        <v>Muu elamu- ja kommunaalmajanduse tegevus</v>
      </c>
      <c r="E71" s="14" t="str">
        <f>VLOOKUP(C71,Table4[[Tegevusala nimetus]:[Tegevusala koondnimetus]],2,FALSE)</f>
        <v>Elamu- ja kommunaalmajandus</v>
      </c>
      <c r="F71" s="14" t="s">
        <v>934</v>
      </c>
      <c r="G71" s="14" t="s">
        <v>845</v>
      </c>
      <c r="H71" s="14">
        <v>1</v>
      </c>
      <c r="I71" s="14"/>
      <c r="J71" s="14">
        <v>1560</v>
      </c>
      <c r="K71" s="14">
        <f t="shared" si="4"/>
        <v>1560</v>
      </c>
      <c r="L71" s="14">
        <v>12</v>
      </c>
      <c r="M71" s="14"/>
      <c r="N71" s="44">
        <f>(K71*Table110[[#This Row],[Ühik2]])+M71</f>
        <v>18720</v>
      </c>
      <c r="O71" s="44">
        <f>Table110[[#This Row],[2020. EA ]]*0.338</f>
        <v>6327.3600000000006</v>
      </c>
      <c r="P71" s="14"/>
    </row>
    <row r="72" spans="1:16" x14ac:dyDescent="0.25">
      <c r="A72" s="91" t="str">
        <f t="shared" si="5"/>
        <v>06</v>
      </c>
      <c r="B72" s="92" t="s">
        <v>255</v>
      </c>
      <c r="C72" s="91" t="str">
        <f>VLOOKUP(B72,Table4[],2,FALSE)</f>
        <v xml:space="preserve"> Rägavere halduspiirkond</v>
      </c>
      <c r="D72" s="91" t="str">
        <f>VLOOKUP(Table110[[#This Row],[Tegevusala]],Table4[[Tegevusala kood]:[Tegevusala alanimetus]],4,FALSE)</f>
        <v>Muu elamu- ja kommunaalmajanduse tegevus</v>
      </c>
      <c r="E72" s="91" t="str">
        <f>VLOOKUP(C72,Table4[[Tegevusala nimetus]:[Tegevusala koondnimetus]],2,FALSE)</f>
        <v>Elamu- ja kommunaalmajandus</v>
      </c>
      <c r="F72" s="91" t="s">
        <v>934</v>
      </c>
      <c r="G72" s="91" t="s">
        <v>524</v>
      </c>
      <c r="H72" s="91">
        <v>0.5</v>
      </c>
      <c r="I72" s="91"/>
      <c r="J72" s="91">
        <v>584</v>
      </c>
      <c r="K72" s="91">
        <f t="shared" si="4"/>
        <v>292</v>
      </c>
      <c r="L72" s="91">
        <v>12</v>
      </c>
      <c r="M72" s="91"/>
      <c r="N72" s="93">
        <f>(K72*Table110[[#This Row],[Ühik2]])+M72</f>
        <v>3504</v>
      </c>
      <c r="O72" s="93">
        <f>Table110[[#This Row],[2020. EA ]]*0.338</f>
        <v>1184.3520000000001</v>
      </c>
      <c r="P72" s="91"/>
    </row>
    <row r="73" spans="1:16" x14ac:dyDescent="0.25">
      <c r="A73" s="14" t="str">
        <f>LEFT(B73,2)</f>
        <v>06</v>
      </c>
      <c r="B73" t="s">
        <v>255</v>
      </c>
      <c r="C73" s="14" t="str">
        <f>VLOOKUP(B73,Table4[],2,FALSE)</f>
        <v xml:space="preserve"> Rägavere halduspiirkond</v>
      </c>
      <c r="D73" s="14" t="str">
        <f>VLOOKUP(Table110[[#This Row],[Tegevusala]],Table4[[Tegevusala kood]:[Tegevusala alanimetus]],4,FALSE)</f>
        <v>Muu elamu- ja kommunaalmajanduse tegevus</v>
      </c>
      <c r="E73" s="14" t="str">
        <f>VLOOKUP(C73,Table4[[Tegevusala nimetus]:[Tegevusala koondnimetus]],2,FALSE)</f>
        <v>Elamu- ja kommunaalmajandus</v>
      </c>
      <c r="F73" s="14" t="s">
        <v>934</v>
      </c>
      <c r="G73" s="14" t="s">
        <v>935</v>
      </c>
      <c r="H73" s="14">
        <v>90</v>
      </c>
      <c r="I73" s="14" t="s">
        <v>2192</v>
      </c>
      <c r="J73" s="14">
        <v>5</v>
      </c>
      <c r="K73" s="14">
        <f t="shared" si="4"/>
        <v>450</v>
      </c>
      <c r="L73" s="14">
        <v>10</v>
      </c>
      <c r="M73" s="14"/>
      <c r="N73" s="44">
        <f>(K73*Table110[[#This Row],[Ühik2]])+M73</f>
        <v>4500</v>
      </c>
      <c r="O73" s="44">
        <f>Table110[[#This Row],[2020. EA ]]*0.338</f>
        <v>1521</v>
      </c>
      <c r="P73" s="14"/>
    </row>
    <row r="74" spans="1:16" x14ac:dyDescent="0.25">
      <c r="A74" s="14" t="str">
        <f t="shared" ref="A74:A76" si="6">LEFT(B74,2)</f>
        <v>06</v>
      </c>
      <c r="B74" t="s">
        <v>257</v>
      </c>
      <c r="C74" s="14" t="str">
        <f>VLOOKUP(B74,Table4[],2,FALSE)</f>
        <v xml:space="preserve"> Roela halduspiirkond</v>
      </c>
      <c r="D74" s="14" t="str">
        <f>VLOOKUP(Table110[[#This Row],[Tegevusala]],Table4[[Tegevusala kood]:[Tegevusala alanimetus]],4,FALSE)</f>
        <v>Muu elamu- ja kommunaalmajanduse tegevus</v>
      </c>
      <c r="E74" s="14" t="str">
        <f>VLOOKUP(C74,Table4[[Tegevusala nimetus]:[Tegevusala koondnimetus]],2,FALSE)</f>
        <v>Elamu- ja kommunaalmajandus</v>
      </c>
      <c r="F74" s="14" t="s">
        <v>962</v>
      </c>
      <c r="G74" s="14" t="s">
        <v>959</v>
      </c>
      <c r="H74" s="14">
        <v>15</v>
      </c>
      <c r="I74" s="14" t="s">
        <v>2192</v>
      </c>
      <c r="J74" s="14">
        <v>6</v>
      </c>
      <c r="K74" s="14">
        <f t="shared" si="4"/>
        <v>90</v>
      </c>
      <c r="L74" s="14">
        <v>12</v>
      </c>
      <c r="M74" s="14"/>
      <c r="N74" s="44">
        <f>(K74*Table110[[#This Row],[Ühik2]])+M74</f>
        <v>1080</v>
      </c>
      <c r="O74" s="44">
        <f>Table110[[#This Row],[2020. EA ]]*0.338</f>
        <v>365.04</v>
      </c>
      <c r="P74" s="14"/>
    </row>
    <row r="75" spans="1:16" x14ac:dyDescent="0.25">
      <c r="A75" s="14" t="str">
        <f t="shared" si="6"/>
        <v>06</v>
      </c>
      <c r="B75" t="s">
        <v>257</v>
      </c>
      <c r="C75" s="14" t="str">
        <f>VLOOKUP(B75,Table4[],2,FALSE)</f>
        <v xml:space="preserve"> Roela halduspiirkond</v>
      </c>
      <c r="D75" s="14" t="str">
        <f>VLOOKUP(Table110[[#This Row],[Tegevusala]],Table4[[Tegevusala kood]:[Tegevusala alanimetus]],4,FALSE)</f>
        <v>Muu elamu- ja kommunaalmajanduse tegevus</v>
      </c>
      <c r="E75" s="14" t="str">
        <f>VLOOKUP(C75,Table4[[Tegevusala nimetus]:[Tegevusala koondnimetus]],2,FALSE)</f>
        <v>Elamu- ja kommunaalmajandus</v>
      </c>
      <c r="F75" s="14" t="s">
        <v>962</v>
      </c>
      <c r="G75" s="14" t="s">
        <v>959</v>
      </c>
      <c r="H75" s="14">
        <v>80</v>
      </c>
      <c r="I75" s="14" t="s">
        <v>2192</v>
      </c>
      <c r="J75" s="14">
        <v>3.21</v>
      </c>
      <c r="K75" s="14">
        <f t="shared" si="4"/>
        <v>256.8</v>
      </c>
      <c r="L75" s="14">
        <v>12</v>
      </c>
      <c r="M75" s="14"/>
      <c r="N75" s="44">
        <f>(K75*Table110[[#This Row],[Ühik2]])+M75</f>
        <v>3081.6000000000004</v>
      </c>
      <c r="O75" s="44">
        <f>Table110[[#This Row],[2020. EA ]]*0.338</f>
        <v>1041.5808000000002</v>
      </c>
      <c r="P75" s="14"/>
    </row>
    <row r="76" spans="1:16" x14ac:dyDescent="0.25">
      <c r="A76" s="14" t="str">
        <f t="shared" si="6"/>
        <v>06</v>
      </c>
      <c r="B76" t="s">
        <v>257</v>
      </c>
      <c r="C76" s="14" t="str">
        <f>VLOOKUP(B76,Table4[],2,FALSE)</f>
        <v xml:space="preserve"> Roela halduspiirkond</v>
      </c>
      <c r="D76" s="14" t="str">
        <f>VLOOKUP(Table110[[#This Row],[Tegevusala]],Table4[[Tegevusala kood]:[Tegevusala alanimetus]],4,FALSE)</f>
        <v>Muu elamu- ja kommunaalmajanduse tegevus</v>
      </c>
      <c r="E76" s="14" t="str">
        <f>VLOOKUP(C76,Table4[[Tegevusala nimetus]:[Tegevusala koondnimetus]],2,FALSE)</f>
        <v>Elamu- ja kommunaalmajandus</v>
      </c>
      <c r="F76" s="14" t="s">
        <v>962</v>
      </c>
      <c r="G76" s="14" t="s">
        <v>960</v>
      </c>
      <c r="H76" s="14">
        <v>120</v>
      </c>
      <c r="I76" s="14" t="s">
        <v>2192</v>
      </c>
      <c r="J76" s="14">
        <v>5</v>
      </c>
      <c r="K76" s="14">
        <f t="shared" si="4"/>
        <v>600</v>
      </c>
      <c r="L76" s="14">
        <v>3</v>
      </c>
      <c r="M76" s="14"/>
      <c r="N76" s="44">
        <f>(K76*Table110[[#This Row],[Ühik2]])+M76</f>
        <v>1800</v>
      </c>
      <c r="O76" s="44">
        <f>Table110[[#This Row],[2020. EA ]]*0.338</f>
        <v>608.40000000000009</v>
      </c>
      <c r="P76" s="14"/>
    </row>
    <row r="77" spans="1:16" x14ac:dyDescent="0.25">
      <c r="A77" s="14" t="str">
        <f>LEFT(B77,2)</f>
        <v>06</v>
      </c>
      <c r="B77" t="s">
        <v>259</v>
      </c>
      <c r="C77" s="14" t="str">
        <f>VLOOKUP(B77,Table4[],2,FALSE)</f>
        <v xml:space="preserve"> Tudu halduspiirkond</v>
      </c>
      <c r="D77" s="14" t="str">
        <f>VLOOKUP(Table110[[#This Row],[Tegevusala]],Table4[[Tegevusala kood]:[Tegevusala alanimetus]],4,FALSE)</f>
        <v>Muu elamu- ja kommunaalmajanduse tegevus</v>
      </c>
      <c r="E77" s="14" t="str">
        <f>VLOOKUP(C77,Table4[[Tegevusala nimetus]:[Tegevusala koondnimetus]],2,FALSE)</f>
        <v>Elamu- ja kommunaalmajandus</v>
      </c>
      <c r="F77" s="14" t="s">
        <v>987</v>
      </c>
      <c r="G77" s="14" t="s">
        <v>988</v>
      </c>
      <c r="H77" s="14">
        <v>2</v>
      </c>
      <c r="I77" s="14" t="s">
        <v>2027</v>
      </c>
      <c r="J77" s="14">
        <v>270</v>
      </c>
      <c r="K77" s="14">
        <f t="shared" si="4"/>
        <v>540</v>
      </c>
      <c r="L77" s="14">
        <v>12</v>
      </c>
      <c r="M77" s="14"/>
      <c r="N77" s="44">
        <f>(K77*Table110[[#This Row],[Ühik2]])+M77</f>
        <v>6480</v>
      </c>
      <c r="O77" s="44">
        <f>Table110[[#This Row],[2020. EA ]]*0.338</f>
        <v>2190.2400000000002</v>
      </c>
      <c r="P77" s="14"/>
    </row>
    <row r="78" spans="1:16" x14ac:dyDescent="0.25">
      <c r="A78" s="14" t="str">
        <f t="shared" ref="A78:A90" si="7">LEFT(B78,2)</f>
        <v>06</v>
      </c>
      <c r="B78" t="s">
        <v>261</v>
      </c>
      <c r="C78" s="14" t="str">
        <f>VLOOKUP(B78,Table4[],2,FALSE)</f>
        <v xml:space="preserve"> Viru Jaagupi halduspiirkond</v>
      </c>
      <c r="D78" s="14" t="str">
        <f>VLOOKUP(Table110[[#This Row],[Tegevusala]],Table4[[Tegevusala kood]:[Tegevusala alanimetus]],4,FALSE)</f>
        <v>Muu elamu- ja kommunaalmajanduse tegevus</v>
      </c>
      <c r="E78" s="14" t="str">
        <f>VLOOKUP(C78,Table4[[Tegevusala nimetus]:[Tegevusala koondnimetus]],2,FALSE)</f>
        <v>Elamu- ja kommunaalmajandus</v>
      </c>
      <c r="F78" s="14" t="s">
        <v>992</v>
      </c>
      <c r="G78" s="14" t="s">
        <v>845</v>
      </c>
      <c r="H78" s="14">
        <v>1</v>
      </c>
      <c r="I78" s="14"/>
      <c r="J78" s="14">
        <v>1560</v>
      </c>
      <c r="K78" s="14">
        <f t="shared" si="4"/>
        <v>1560</v>
      </c>
      <c r="L78" s="14">
        <v>12</v>
      </c>
      <c r="M78" s="14"/>
      <c r="N78" s="44">
        <f>(K78*Table110[[#This Row],[Ühik2]])+M78</f>
        <v>18720</v>
      </c>
      <c r="O78" s="44">
        <f>Table110[[#This Row],[2020. EA ]]*0.338</f>
        <v>6327.3600000000006</v>
      </c>
      <c r="P78" s="14"/>
    </row>
    <row r="79" spans="1:16" x14ac:dyDescent="0.25">
      <c r="A79" s="91" t="str">
        <f t="shared" si="7"/>
        <v>06</v>
      </c>
      <c r="B79" s="92" t="s">
        <v>261</v>
      </c>
      <c r="C79" s="91" t="str">
        <f>VLOOKUP(B79,Table4[],2,FALSE)</f>
        <v xml:space="preserve"> Viru Jaagupi halduspiirkond</v>
      </c>
      <c r="D79" s="91" t="str">
        <f>VLOOKUP(Table110[[#This Row],[Tegevusala]],Table4[[Tegevusala kood]:[Tegevusala alanimetus]],4,FALSE)</f>
        <v>Muu elamu- ja kommunaalmajanduse tegevus</v>
      </c>
      <c r="E79" s="91" t="str">
        <f>VLOOKUP(C79,Table4[[Tegevusala nimetus]:[Tegevusala koondnimetus]],2,FALSE)</f>
        <v>Elamu- ja kommunaalmajandus</v>
      </c>
      <c r="F79" s="91" t="s">
        <v>992</v>
      </c>
      <c r="G79" s="91" t="s">
        <v>989</v>
      </c>
      <c r="H79" s="91">
        <v>1</v>
      </c>
      <c r="I79" s="91"/>
      <c r="J79" s="91">
        <v>584</v>
      </c>
      <c r="K79" s="91">
        <f t="shared" si="4"/>
        <v>584</v>
      </c>
      <c r="L79" s="91">
        <v>12</v>
      </c>
      <c r="M79" s="91"/>
      <c r="N79" s="93">
        <f>(K79*Table110[[#This Row],[Ühik2]])+M79</f>
        <v>7008</v>
      </c>
      <c r="O79" s="93">
        <f>Table110[[#This Row],[2020. EA ]]*0.338</f>
        <v>2368.7040000000002</v>
      </c>
      <c r="P79" s="91"/>
    </row>
    <row r="80" spans="1:16" x14ac:dyDescent="0.25">
      <c r="A80" s="14" t="str">
        <f t="shared" si="7"/>
        <v>06</v>
      </c>
      <c r="B80" t="s">
        <v>261</v>
      </c>
      <c r="C80" s="14" t="str">
        <f>VLOOKUP(B80,Table4[],2,FALSE)</f>
        <v xml:space="preserve"> Viru Jaagupi halduspiirkond</v>
      </c>
      <c r="D80" s="14" t="str">
        <f>VLOOKUP(Table110[[#This Row],[Tegevusala]],Table4[[Tegevusala kood]:[Tegevusala alanimetus]],4,FALSE)</f>
        <v>Muu elamu- ja kommunaalmajanduse tegevus</v>
      </c>
      <c r="E80" s="14" t="str">
        <f>VLOOKUP(C80,Table4[[Tegevusala nimetus]:[Tegevusala koondnimetus]],2,FALSE)</f>
        <v>Elamu- ja kommunaalmajandus</v>
      </c>
      <c r="F80" s="14" t="s">
        <v>992</v>
      </c>
      <c r="G80" s="14" t="s">
        <v>959</v>
      </c>
      <c r="H80" s="14">
        <v>160</v>
      </c>
      <c r="I80" s="14" t="s">
        <v>2192</v>
      </c>
      <c r="J80" s="14">
        <v>3.21</v>
      </c>
      <c r="K80" s="14">
        <f t="shared" si="4"/>
        <v>513.6</v>
      </c>
      <c r="L80" s="14">
        <v>12</v>
      </c>
      <c r="M80" s="14"/>
      <c r="N80" s="44">
        <f>(K80*Table110[[#This Row],[Ühik2]])+M80</f>
        <v>6163.2000000000007</v>
      </c>
      <c r="O80" s="44">
        <f>Table110[[#This Row],[2020. EA ]]*0.338</f>
        <v>2083.1616000000004</v>
      </c>
      <c r="P80" s="14"/>
    </row>
    <row r="81" spans="1:16" x14ac:dyDescent="0.25">
      <c r="A81" s="14" t="str">
        <f t="shared" si="7"/>
        <v>06</v>
      </c>
      <c r="B81" t="s">
        <v>261</v>
      </c>
      <c r="C81" s="14" t="str">
        <f>VLOOKUP(B81,Table4[],2,FALSE)</f>
        <v xml:space="preserve"> Viru Jaagupi halduspiirkond</v>
      </c>
      <c r="D81" s="14" t="str">
        <f>VLOOKUP(Table110[[#This Row],[Tegevusala]],Table4[[Tegevusala kood]:[Tegevusala alanimetus]],4,FALSE)</f>
        <v>Muu elamu- ja kommunaalmajanduse tegevus</v>
      </c>
      <c r="E81" s="14" t="str">
        <f>VLOOKUP(C81,Table4[[Tegevusala nimetus]:[Tegevusala koondnimetus]],2,FALSE)</f>
        <v>Elamu- ja kommunaalmajandus</v>
      </c>
      <c r="F81" s="14" t="s">
        <v>992</v>
      </c>
      <c r="G81" s="14" t="s">
        <v>960</v>
      </c>
      <c r="H81" s="14">
        <v>120</v>
      </c>
      <c r="I81" s="14" t="s">
        <v>2192</v>
      </c>
      <c r="J81" s="14">
        <v>5</v>
      </c>
      <c r="K81" s="14">
        <f t="shared" si="4"/>
        <v>600</v>
      </c>
      <c r="L81" s="14">
        <v>3</v>
      </c>
      <c r="M81" s="14"/>
      <c r="N81" s="44">
        <f>(K81*Table110[[#This Row],[Ühik2]])+M81</f>
        <v>1800</v>
      </c>
      <c r="O81" s="44">
        <f>Table110[[#This Row],[2020. EA ]]*0.338</f>
        <v>608.40000000000009</v>
      </c>
      <c r="P81" s="14"/>
    </row>
    <row r="82" spans="1:16" x14ac:dyDescent="0.25">
      <c r="A82" s="14" t="str">
        <f t="shared" si="7"/>
        <v>06</v>
      </c>
      <c r="B82" t="s">
        <v>261</v>
      </c>
      <c r="C82" s="14" t="str">
        <f>VLOOKUP(B82,Table4[],2,FALSE)</f>
        <v xml:space="preserve"> Viru Jaagupi halduspiirkond</v>
      </c>
      <c r="D82" s="14" t="str">
        <f>VLOOKUP(Table110[[#This Row],[Tegevusala]],Table4[[Tegevusala kood]:[Tegevusala alanimetus]],4,FALSE)</f>
        <v>Muu elamu- ja kommunaalmajanduse tegevus</v>
      </c>
      <c r="E82" s="14" t="str">
        <f>VLOOKUP(C82,Table4[[Tegevusala nimetus]:[Tegevusala koondnimetus]],2,FALSE)</f>
        <v>Elamu- ja kommunaalmajandus</v>
      </c>
      <c r="F82" s="14" t="s">
        <v>992</v>
      </c>
      <c r="G82" s="14" t="s">
        <v>990</v>
      </c>
      <c r="H82" s="14">
        <v>990</v>
      </c>
      <c r="I82" s="14" t="s">
        <v>2192</v>
      </c>
      <c r="J82" s="14">
        <v>3.5</v>
      </c>
      <c r="K82" s="14">
        <f t="shared" si="4"/>
        <v>3465</v>
      </c>
      <c r="L82" s="14">
        <v>1</v>
      </c>
      <c r="M82" s="14"/>
      <c r="N82" s="44">
        <f>(K82*Table110[[#This Row],[Ühik2]])+M82</f>
        <v>3465</v>
      </c>
      <c r="O82" s="44">
        <f>Table110[[#This Row],[2020. EA ]]*0.338</f>
        <v>1171.17</v>
      </c>
      <c r="P82" s="14" t="s">
        <v>991</v>
      </c>
    </row>
    <row r="83" spans="1:16" x14ac:dyDescent="0.25">
      <c r="A83" s="91" t="str">
        <f t="shared" si="7"/>
        <v>06</v>
      </c>
      <c r="B83" s="92" t="s">
        <v>265</v>
      </c>
      <c r="C83" s="91" t="str">
        <f>VLOOKUP(B83,Table4[],2,FALSE)</f>
        <v xml:space="preserve"> Saunad</v>
      </c>
      <c r="D83" s="91" t="str">
        <f>VLOOKUP(Table110[[#This Row],[Tegevusala]],Table4[[Tegevusala kood]:[Tegevusala alanimetus]],4,FALSE)</f>
        <v>Muu elamu- ja kommunaalmajanduse tegevus</v>
      </c>
      <c r="E83" s="91" t="str">
        <f>VLOOKUP(C83,Table4[[Tegevusala nimetus]:[Tegevusala koondnimetus]],2,FALSE)</f>
        <v>Elamu- ja kommunaalmajandus</v>
      </c>
      <c r="F83" s="91" t="s">
        <v>1023</v>
      </c>
      <c r="G83" s="91" t="s">
        <v>1026</v>
      </c>
      <c r="H83" s="91">
        <v>0.5</v>
      </c>
      <c r="I83" s="91"/>
      <c r="J83" s="91">
        <v>584</v>
      </c>
      <c r="K83" s="91">
        <f t="shared" si="4"/>
        <v>292</v>
      </c>
      <c r="L83" s="91">
        <v>12</v>
      </c>
      <c r="M83" s="91"/>
      <c r="N83" s="93">
        <f>(K83*Table110[[#This Row],[Ühik2]])+M83</f>
        <v>3504</v>
      </c>
      <c r="O83" s="93">
        <f>Table110[[#This Row],[2020. EA ]]*0.338</f>
        <v>1184.3520000000001</v>
      </c>
      <c r="P83" s="91"/>
    </row>
    <row r="84" spans="1:16" x14ac:dyDescent="0.25">
      <c r="A84" s="91" t="str">
        <f t="shared" si="7"/>
        <v>06</v>
      </c>
      <c r="B84" s="92" t="s">
        <v>265</v>
      </c>
      <c r="C84" s="91" t="str">
        <f>VLOOKUP(B84,Table4[],2,FALSE)</f>
        <v xml:space="preserve"> Saunad</v>
      </c>
      <c r="D84" s="91" t="str">
        <f>VLOOKUP(Table110[[#This Row],[Tegevusala]],Table4[[Tegevusala kood]:[Tegevusala alanimetus]],4,FALSE)</f>
        <v>Muu elamu- ja kommunaalmajanduse tegevus</v>
      </c>
      <c r="E84" s="91" t="str">
        <f>VLOOKUP(C84,Table4[[Tegevusala nimetus]:[Tegevusala koondnimetus]],2,FALSE)</f>
        <v>Elamu- ja kommunaalmajandus</v>
      </c>
      <c r="F84" s="91" t="s">
        <v>1023</v>
      </c>
      <c r="G84" s="91" t="s">
        <v>1027</v>
      </c>
      <c r="H84" s="91">
        <v>1</v>
      </c>
      <c r="I84" s="91"/>
      <c r="J84" s="91">
        <v>584</v>
      </c>
      <c r="K84" s="91">
        <f t="shared" si="4"/>
        <v>584</v>
      </c>
      <c r="L84" s="91">
        <v>12</v>
      </c>
      <c r="M84" s="91"/>
      <c r="N84" s="93">
        <f>(K84*Table110[[#This Row],[Ühik2]])+M84</f>
        <v>7008</v>
      </c>
      <c r="O84" s="93">
        <f>Table110[[#This Row],[2020. EA ]]*0.338</f>
        <v>2368.7040000000002</v>
      </c>
      <c r="P84" s="91"/>
    </row>
    <row r="85" spans="1:16" x14ac:dyDescent="0.25">
      <c r="A85" s="91" t="str">
        <f t="shared" si="7"/>
        <v>06</v>
      </c>
      <c r="B85" s="92" t="s">
        <v>265</v>
      </c>
      <c r="C85" s="91" t="str">
        <f>VLOOKUP(B85,Table4[],2,FALSE)</f>
        <v xml:space="preserve"> Saunad</v>
      </c>
      <c r="D85" s="91" t="str">
        <f>VLOOKUP(Table110[[#This Row],[Tegevusala]],Table4[[Tegevusala kood]:[Tegevusala alanimetus]],4,FALSE)</f>
        <v>Muu elamu- ja kommunaalmajanduse tegevus</v>
      </c>
      <c r="E85" s="91" t="str">
        <f>VLOOKUP(C85,Table4[[Tegevusala nimetus]:[Tegevusala koondnimetus]],2,FALSE)</f>
        <v>Elamu- ja kommunaalmajandus</v>
      </c>
      <c r="F85" s="91" t="s">
        <v>1023</v>
      </c>
      <c r="G85" s="91" t="s">
        <v>1028</v>
      </c>
      <c r="H85" s="91">
        <v>0.25</v>
      </c>
      <c r="I85" s="91"/>
      <c r="J85" s="91">
        <v>584</v>
      </c>
      <c r="K85" s="91">
        <f t="shared" si="4"/>
        <v>146</v>
      </c>
      <c r="L85" s="91">
        <v>12</v>
      </c>
      <c r="M85" s="91"/>
      <c r="N85" s="93">
        <f>(K85*Table110[[#This Row],[Ühik2]])+M85</f>
        <v>1752</v>
      </c>
      <c r="O85" s="93">
        <f>Table110[[#This Row],[2020. EA ]]*0.338</f>
        <v>592.17600000000004</v>
      </c>
      <c r="P85" s="91"/>
    </row>
    <row r="86" spans="1:16" x14ac:dyDescent="0.25">
      <c r="A86" s="91" t="str">
        <f t="shared" si="7"/>
        <v>06</v>
      </c>
      <c r="B86" s="92" t="s">
        <v>267</v>
      </c>
      <c r="C86" s="91" t="str">
        <f>VLOOKUP(B86,Table4[],2,FALSE)</f>
        <v xml:space="preserve"> Kalmistud</v>
      </c>
      <c r="D86" s="91" t="str">
        <f>VLOOKUP(Table110[[#This Row],[Tegevusala]],Table4[[Tegevusala kood]:[Tegevusala alanimetus]],4,FALSE)</f>
        <v>Muu elamu- ja kommunaalmajanduse tegevus</v>
      </c>
      <c r="E86" s="91" t="str">
        <f>VLOOKUP(C86,Table4[[Tegevusala nimetus]:[Tegevusala koondnimetus]],2,FALSE)</f>
        <v>Elamu- ja kommunaalmajandus</v>
      </c>
      <c r="F86" s="91" t="s">
        <v>1023</v>
      </c>
      <c r="G86" s="91" t="s">
        <v>1041</v>
      </c>
      <c r="H86" s="91">
        <v>2</v>
      </c>
      <c r="I86" s="91"/>
      <c r="J86" s="91">
        <v>292</v>
      </c>
      <c r="K86" s="91">
        <f t="shared" si="4"/>
        <v>584</v>
      </c>
      <c r="L86" s="91">
        <v>12</v>
      </c>
      <c r="M86" s="91"/>
      <c r="N86" s="93">
        <f>(K86*Table110[[#This Row],[Ühik2]])+M86</f>
        <v>7008</v>
      </c>
      <c r="O86" s="93">
        <f>Table110[[#This Row],[2020. EA ]]*0.338</f>
        <v>2368.7040000000002</v>
      </c>
      <c r="P86" s="91"/>
    </row>
    <row r="87" spans="1:16" x14ac:dyDescent="0.25">
      <c r="A87" s="91" t="str">
        <f t="shared" si="7"/>
        <v>06</v>
      </c>
      <c r="B87" s="92" t="s">
        <v>267</v>
      </c>
      <c r="C87" s="91" t="str">
        <f>VLOOKUP(B87,Table4[],2,FALSE)</f>
        <v xml:space="preserve"> Kalmistud</v>
      </c>
      <c r="D87" s="91" t="str">
        <f>VLOOKUP(Table110[[#This Row],[Tegevusala]],Table4[[Tegevusala kood]:[Tegevusala alanimetus]],4,FALSE)</f>
        <v>Muu elamu- ja kommunaalmajanduse tegevus</v>
      </c>
      <c r="E87" s="91" t="str">
        <f>VLOOKUP(C87,Table4[[Tegevusala nimetus]:[Tegevusala koondnimetus]],2,FALSE)</f>
        <v>Elamu- ja kommunaalmajandus</v>
      </c>
      <c r="F87" s="91" t="s">
        <v>1023</v>
      </c>
      <c r="G87" s="91" t="s">
        <v>1042</v>
      </c>
      <c r="H87" s="91">
        <v>0.25</v>
      </c>
      <c r="I87" s="91"/>
      <c r="J87" s="91">
        <v>584</v>
      </c>
      <c r="K87" s="91">
        <f t="shared" si="4"/>
        <v>146</v>
      </c>
      <c r="L87" s="91">
        <v>12</v>
      </c>
      <c r="M87" s="91"/>
      <c r="N87" s="93">
        <f>(K87*Table110[[#This Row],[Ühik2]])+M87</f>
        <v>1752</v>
      </c>
      <c r="O87" s="93">
        <f>Table110[[#This Row],[2020. EA ]]*0.338</f>
        <v>592.17600000000004</v>
      </c>
      <c r="P87" s="91"/>
    </row>
    <row r="88" spans="1:16" x14ac:dyDescent="0.25">
      <c r="A88" s="14" t="str">
        <f t="shared" si="7"/>
        <v>08</v>
      </c>
      <c r="B88" s="10" t="s">
        <v>296</v>
      </c>
      <c r="C88" s="14" t="str">
        <f>VLOOKUP(B88,Table4[],2,FALSE)</f>
        <v xml:space="preserve"> Vinni Raamatukogu</v>
      </c>
      <c r="D88" s="14" t="str">
        <f>VLOOKUP(Table110[[#This Row],[Tegevusala]],Table4[[Tegevusala kood]:[Tegevusala alanimetus]],4,FALSE)</f>
        <v>Raamatukogud</v>
      </c>
      <c r="E88" s="14" t="str">
        <f>VLOOKUP(C88,Table4[[Tegevusala nimetus]:[Tegevusala koondnimetus]],2,FALSE)</f>
        <v>Vabaaeg, kultuur ja religioon</v>
      </c>
      <c r="F88" s="14" t="s">
        <v>1055</v>
      </c>
      <c r="G88" s="14" t="s">
        <v>523</v>
      </c>
      <c r="H88" s="14">
        <v>1</v>
      </c>
      <c r="I88" s="14"/>
      <c r="J88" s="14">
        <v>1128</v>
      </c>
      <c r="K88" s="14">
        <f t="shared" si="4"/>
        <v>1128</v>
      </c>
      <c r="L88" s="14">
        <v>12</v>
      </c>
      <c r="M88" s="14"/>
      <c r="N88" s="44">
        <f>(K88*Table110[[#This Row],[Ühik2]])+M88</f>
        <v>13536</v>
      </c>
      <c r="O88" s="44">
        <f>Table110[[#This Row],[2020. EA ]]*0.338</f>
        <v>4575.1680000000006</v>
      </c>
      <c r="P88" s="14"/>
    </row>
    <row r="89" spans="1:16" x14ac:dyDescent="0.25">
      <c r="A89" s="14" t="str">
        <f t="shared" si="7"/>
        <v>08</v>
      </c>
      <c r="B89" s="10" t="s">
        <v>296</v>
      </c>
      <c r="C89" s="14" t="str">
        <f>VLOOKUP(B89,Table4[],2,FALSE)</f>
        <v xml:space="preserve"> Vinni Raamatukogu</v>
      </c>
      <c r="D89" s="14" t="str">
        <f>VLOOKUP(Table110[[#This Row],[Tegevusala]],Table4[[Tegevusala kood]:[Tegevusala alanimetus]],4,FALSE)</f>
        <v>Raamatukogud</v>
      </c>
      <c r="E89" s="14" t="str">
        <f>VLOOKUP(C89,Table4[[Tegevusala nimetus]:[Tegevusala koondnimetus]],2,FALSE)</f>
        <v>Vabaaeg, kultuur ja religioon</v>
      </c>
      <c r="F89" s="14" t="s">
        <v>1055</v>
      </c>
      <c r="G89" s="14" t="s">
        <v>1044</v>
      </c>
      <c r="H89" s="14">
        <v>1</v>
      </c>
      <c r="I89" s="14"/>
      <c r="J89" s="14">
        <v>790</v>
      </c>
      <c r="K89" s="14">
        <f t="shared" si="4"/>
        <v>790</v>
      </c>
      <c r="L89" s="14">
        <v>12</v>
      </c>
      <c r="M89" s="14"/>
      <c r="N89" s="44">
        <f>(K89*Table110[[#This Row],[Ühik2]])+M89</f>
        <v>9480</v>
      </c>
      <c r="O89" s="44">
        <f>Table110[[#This Row],[2020. EA ]]*0.338</f>
        <v>3204.2400000000002</v>
      </c>
      <c r="P89" s="14"/>
    </row>
    <row r="90" spans="1:16" x14ac:dyDescent="0.25">
      <c r="A90" s="91" t="str">
        <f t="shared" si="7"/>
        <v>08</v>
      </c>
      <c r="B90" s="94" t="s">
        <v>296</v>
      </c>
      <c r="C90" s="91" t="str">
        <f>VLOOKUP(B90,Table4[],2,FALSE)</f>
        <v xml:space="preserve"> Vinni Raamatukogu</v>
      </c>
      <c r="D90" s="91" t="str">
        <f>VLOOKUP(Table110[[#This Row],[Tegevusala]],Table4[[Tegevusala kood]:[Tegevusala alanimetus]],4,FALSE)</f>
        <v>Raamatukogud</v>
      </c>
      <c r="E90" s="91" t="str">
        <f>VLOOKUP(C90,Table4[[Tegevusala nimetus]:[Tegevusala koondnimetus]],2,FALSE)</f>
        <v>Vabaaeg, kultuur ja religioon</v>
      </c>
      <c r="F90" s="91" t="s">
        <v>1055</v>
      </c>
      <c r="G90" s="91" t="s">
        <v>1045</v>
      </c>
      <c r="H90" s="91">
        <v>0.75</v>
      </c>
      <c r="I90" s="91"/>
      <c r="J90" s="91">
        <v>584</v>
      </c>
      <c r="K90" s="91">
        <f t="shared" si="4"/>
        <v>438</v>
      </c>
      <c r="L90" s="91">
        <v>12</v>
      </c>
      <c r="M90" s="91"/>
      <c r="N90" s="93">
        <f>(K90*Table110[[#This Row],[Ühik2]])+M90</f>
        <v>5256</v>
      </c>
      <c r="O90" s="93">
        <f>Table110[[#This Row],[2020. EA ]]*0.338</f>
        <v>1776.528</v>
      </c>
      <c r="P90" s="91"/>
    </row>
    <row r="91" spans="1:16" x14ac:dyDescent="0.25">
      <c r="A91" s="14" t="str">
        <f>LEFT(B91,2)</f>
        <v>08</v>
      </c>
      <c r="B91" t="s">
        <v>298</v>
      </c>
      <c r="C91" s="14" t="str">
        <f>VLOOKUP(B91,Table4[],2,FALSE)</f>
        <v xml:space="preserve"> Viru-Jaagupi Raamatukogu</v>
      </c>
      <c r="D91" s="14" t="str">
        <f>VLOOKUP(Table110[[#This Row],[Tegevusala]],Table4[[Tegevusala kood]:[Tegevusala alanimetus]],4,FALSE)</f>
        <v>Raamatukogud</v>
      </c>
      <c r="E91" s="14" t="str">
        <f>VLOOKUP(C91,Table4[[Tegevusala nimetus]:[Tegevusala koondnimetus]],2,FALSE)</f>
        <v>Vabaaeg, kultuur ja religioon</v>
      </c>
      <c r="F91" s="14" t="s">
        <v>1083</v>
      </c>
      <c r="G91" s="14" t="s">
        <v>1082</v>
      </c>
      <c r="H91" s="14">
        <v>1</v>
      </c>
      <c r="I91" s="14"/>
      <c r="J91" s="14">
        <v>762</v>
      </c>
      <c r="K91" s="14">
        <f t="shared" si="4"/>
        <v>762</v>
      </c>
      <c r="L91" s="14">
        <v>12</v>
      </c>
      <c r="M91" s="14">
        <v>2220</v>
      </c>
      <c r="N91" s="44">
        <f>(K91*Table110[[#This Row],[Ühik2]])+M91</f>
        <v>11364</v>
      </c>
      <c r="O91" s="44">
        <f>Table110[[#This Row],[2020. EA ]]*0.338</f>
        <v>3841.0320000000002</v>
      </c>
      <c r="P91" s="14" t="s">
        <v>1084</v>
      </c>
    </row>
    <row r="92" spans="1:16" x14ac:dyDescent="0.25">
      <c r="A92" s="38" t="str">
        <f>LEFT(B92,2)</f>
        <v>08</v>
      </c>
      <c r="B92" s="33" t="s">
        <v>304</v>
      </c>
      <c r="C92" s="38" t="str">
        <f>VLOOKUP(B92,Table4[],2,FALSE)</f>
        <v xml:space="preserve"> Ulvi Raamatukogu</v>
      </c>
      <c r="D92" s="38" t="str">
        <f>VLOOKUP(Table110[[#This Row],[Tegevusala]],Table4[[Tegevusala kood]:[Tegevusala alanimetus]],4,FALSE)</f>
        <v>Raamatukogud</v>
      </c>
      <c r="E92" s="38" t="str">
        <f>VLOOKUP(C92,Table4[[Tegevusala nimetus]:[Tegevusala koondnimetus]],2,FALSE)</f>
        <v>Vabaaeg, kultuur ja religioon</v>
      </c>
      <c r="F92" s="38" t="s">
        <v>1672</v>
      </c>
      <c r="G92" s="38" t="s">
        <v>1087</v>
      </c>
      <c r="H92" s="38">
        <v>1</v>
      </c>
      <c r="I92" s="38"/>
      <c r="J92" s="38">
        <v>845</v>
      </c>
      <c r="K92" s="38">
        <f t="shared" si="4"/>
        <v>845</v>
      </c>
      <c r="L92" s="38">
        <v>12</v>
      </c>
      <c r="M92" s="38">
        <f>12*127</f>
        <v>1524</v>
      </c>
      <c r="N92" s="45">
        <f>(K92*Table110[[#This Row],[Ühik2]])+M92</f>
        <v>11664</v>
      </c>
      <c r="O92" s="45">
        <f>Table110[[#This Row],[2020. EA ]]*0.338</f>
        <v>3942.4320000000002</v>
      </c>
      <c r="P92" s="38" t="s">
        <v>2154</v>
      </c>
    </row>
    <row r="93" spans="1:16" x14ac:dyDescent="0.25">
      <c r="A93" s="38" t="str">
        <f t="shared" ref="A93:A126" si="8">LEFT(B93,2)</f>
        <v>08</v>
      </c>
      <c r="B93" s="33" t="s">
        <v>320</v>
      </c>
      <c r="C93" s="38" t="str">
        <f>VLOOKUP(B93,Table4[],2,FALSE)</f>
        <v xml:space="preserve"> Laekvere Rahvamaja</v>
      </c>
      <c r="D93" s="38" t="str">
        <f>VLOOKUP(Table110[[#This Row],[Tegevusala]],Table4[[Tegevusala kood]:[Tegevusala alanimetus]],4,FALSE)</f>
        <v>Rahvakultuur</v>
      </c>
      <c r="E93" s="38" t="str">
        <f>VLOOKUP(C93,Table4[[Tegevusala nimetus]:[Tegevusala koondnimetus]],2,FALSE)</f>
        <v>Vabaaeg, kultuur ja religioon</v>
      </c>
      <c r="F93" s="38" t="s">
        <v>1110</v>
      </c>
      <c r="G93" s="38" t="s">
        <v>523</v>
      </c>
      <c r="H93" s="38">
        <v>1</v>
      </c>
      <c r="I93" s="38"/>
      <c r="J93" s="38">
        <v>1100</v>
      </c>
      <c r="K93" s="38">
        <f t="shared" si="4"/>
        <v>1100</v>
      </c>
      <c r="L93" s="38">
        <v>12</v>
      </c>
      <c r="M93" s="38"/>
      <c r="N93" s="45">
        <f>(K93*Table110[[#This Row],[Ühik2]])+M93</f>
        <v>13200</v>
      </c>
      <c r="O93" s="45">
        <f>Table110[[#This Row],[2020. EA ]]*0.338</f>
        <v>4461.6000000000004</v>
      </c>
      <c r="P93" s="38"/>
    </row>
    <row r="94" spans="1:16" x14ac:dyDescent="0.25">
      <c r="A94" s="91" t="str">
        <f t="shared" si="8"/>
        <v>08</v>
      </c>
      <c r="B94" s="92" t="s">
        <v>320</v>
      </c>
      <c r="C94" s="91" t="str">
        <f>VLOOKUP(B94,Table4[],2,FALSE)</f>
        <v xml:space="preserve"> Laekvere Rahvamaja</v>
      </c>
      <c r="D94" s="91" t="str">
        <f>VLOOKUP(Table110[[#This Row],[Tegevusala]],Table4[[Tegevusala kood]:[Tegevusala alanimetus]],4,FALSE)</f>
        <v>Rahvakultuur</v>
      </c>
      <c r="E94" s="91" t="str">
        <f>VLOOKUP(C94,Table4[[Tegevusala nimetus]:[Tegevusala koondnimetus]],2,FALSE)</f>
        <v>Vabaaeg, kultuur ja religioon</v>
      </c>
      <c r="F94" s="91" t="s">
        <v>1110</v>
      </c>
      <c r="G94" s="91" t="s">
        <v>1045</v>
      </c>
      <c r="H94" s="91">
        <v>1</v>
      </c>
      <c r="I94" s="91"/>
      <c r="J94" s="91">
        <v>584</v>
      </c>
      <c r="K94" s="91">
        <f t="shared" si="4"/>
        <v>584</v>
      </c>
      <c r="L94" s="91">
        <v>12</v>
      </c>
      <c r="M94" s="91"/>
      <c r="N94" s="93">
        <f>(K94*Table110[[#This Row],[Ühik2]])+M94</f>
        <v>7008</v>
      </c>
      <c r="O94" s="93">
        <f>Table110[[#This Row],[2020. EA ]]*0.338</f>
        <v>2368.7040000000002</v>
      </c>
      <c r="P94" s="91"/>
    </row>
    <row r="95" spans="1:16" x14ac:dyDescent="0.25">
      <c r="A95" s="91" t="str">
        <f t="shared" si="8"/>
        <v>08</v>
      </c>
      <c r="B95" s="92" t="s">
        <v>320</v>
      </c>
      <c r="C95" s="91" t="str">
        <f>VLOOKUP(B95,Table4[],2,FALSE)</f>
        <v xml:space="preserve"> Laekvere Rahvamaja</v>
      </c>
      <c r="D95" s="91" t="str">
        <f>VLOOKUP(Table110[[#This Row],[Tegevusala]],Table4[[Tegevusala kood]:[Tegevusala alanimetus]],4,FALSE)</f>
        <v>Rahvakultuur</v>
      </c>
      <c r="E95" s="91" t="str">
        <f>VLOOKUP(C95,Table4[[Tegevusala nimetus]:[Tegevusala koondnimetus]],2,FALSE)</f>
        <v>Vabaaeg, kultuur ja religioon</v>
      </c>
      <c r="F95" s="91" t="s">
        <v>1110</v>
      </c>
      <c r="G95" s="91" t="s">
        <v>1111</v>
      </c>
      <c r="H95" s="91">
        <v>1</v>
      </c>
      <c r="I95" s="91"/>
      <c r="J95" s="91">
        <v>584</v>
      </c>
      <c r="K95" s="91">
        <f t="shared" si="4"/>
        <v>584</v>
      </c>
      <c r="L95" s="91">
        <v>12</v>
      </c>
      <c r="M95" s="91"/>
      <c r="N95" s="93">
        <f>(K95*Table110[[#This Row],[Ühik2]])+M95</f>
        <v>7008</v>
      </c>
      <c r="O95" s="93">
        <f>Table110[[#This Row],[2020. EA ]]*0.338</f>
        <v>2368.7040000000002</v>
      </c>
      <c r="P95" s="91"/>
    </row>
    <row r="96" spans="1:16" x14ac:dyDescent="0.25">
      <c r="A96" s="14" t="str">
        <f t="shared" si="8"/>
        <v>08</v>
      </c>
      <c r="B96" t="s">
        <v>323</v>
      </c>
      <c r="C96" s="14" t="str">
        <f>VLOOKUP(B96,Table4[],2,FALSE)</f>
        <v xml:space="preserve"> Ulvi Klubi</v>
      </c>
      <c r="D96" s="39" t="str">
        <f>VLOOKUP(Table110[[#This Row],[Tegevusala]],Table4[[Tegevusala kood]:[Tegevusala alanimetus]],4,FALSE)</f>
        <v>Rahvakultuur</v>
      </c>
      <c r="E96" s="14" t="str">
        <f>VLOOKUP(C96,Table4[[Tegevusala nimetus]:[Tegevusala koondnimetus]],2,FALSE)</f>
        <v>Vabaaeg, kultuur ja religioon</v>
      </c>
      <c r="F96" s="14" t="s">
        <v>1142</v>
      </c>
      <c r="G96" s="14" t="s">
        <v>1141</v>
      </c>
      <c r="H96" s="14">
        <v>1</v>
      </c>
      <c r="I96" s="14"/>
      <c r="J96" s="14">
        <v>920</v>
      </c>
      <c r="K96" s="14">
        <f t="shared" si="4"/>
        <v>920</v>
      </c>
      <c r="L96" s="14">
        <v>12</v>
      </c>
      <c r="M96" s="14">
        <v>3600</v>
      </c>
      <c r="N96" s="44">
        <f>(K96*Table110[[#This Row],[Ühik2]])+M96</f>
        <v>14640</v>
      </c>
      <c r="O96" s="44">
        <f>Table110[[#This Row],[2020. EA ]]*0.338</f>
        <v>4948.3200000000006</v>
      </c>
      <c r="P96" s="14" t="s">
        <v>2207</v>
      </c>
    </row>
    <row r="97" spans="1:16" x14ac:dyDescent="0.25">
      <c r="A97" s="14" t="str">
        <f t="shared" si="8"/>
        <v>08</v>
      </c>
      <c r="B97" t="s">
        <v>323</v>
      </c>
      <c r="C97" s="14" t="str">
        <f>VLOOKUP(B97,Table4[],2,FALSE)</f>
        <v xml:space="preserve"> Ulvi Klubi</v>
      </c>
      <c r="D97" s="39" t="str">
        <f>VLOOKUP(Table110[[#This Row],[Tegevusala]],Table4[[Tegevusala kood]:[Tegevusala alanimetus]],4,FALSE)</f>
        <v>Rahvakultuur</v>
      </c>
      <c r="E97" s="14" t="str">
        <f>VLOOKUP(C97,Table4[[Tegevusala nimetus]:[Tegevusala koondnimetus]],2,FALSE)</f>
        <v>Vabaaeg, kultuur ja religioon</v>
      </c>
      <c r="F97" s="14" t="s">
        <v>1142</v>
      </c>
      <c r="G97" s="14" t="s">
        <v>1143</v>
      </c>
      <c r="H97" s="14">
        <v>1</v>
      </c>
      <c r="I97" s="14" t="s">
        <v>2027</v>
      </c>
      <c r="J97" s="14">
        <v>150</v>
      </c>
      <c r="K97" s="14">
        <f t="shared" si="4"/>
        <v>150</v>
      </c>
      <c r="L97" s="14">
        <v>9</v>
      </c>
      <c r="M97" s="14"/>
      <c r="N97" s="44">
        <f>(K97*Table110[[#This Row],[Ühik2]])+M97</f>
        <v>1350</v>
      </c>
      <c r="O97" s="44">
        <f>Table110[[#This Row],[2020. EA ]]*0.338</f>
        <v>456.3</v>
      </c>
      <c r="P97" s="14"/>
    </row>
    <row r="98" spans="1:16" x14ac:dyDescent="0.25">
      <c r="A98" s="14" t="str">
        <f t="shared" si="8"/>
        <v>08</v>
      </c>
      <c r="B98" t="s">
        <v>323</v>
      </c>
      <c r="C98" s="14" t="str">
        <f>VLOOKUP(B98,Table4[],2,FALSE)</f>
        <v xml:space="preserve"> Ulvi Klubi</v>
      </c>
      <c r="D98" s="39" t="str">
        <f>VLOOKUP(Table110[[#This Row],[Tegevusala]],Table4[[Tegevusala kood]:[Tegevusala alanimetus]],4,FALSE)</f>
        <v>Rahvakultuur</v>
      </c>
      <c r="E98" s="14" t="str">
        <f>VLOOKUP(C98,Table4[[Tegevusala nimetus]:[Tegevusala koondnimetus]],2,FALSE)</f>
        <v>Vabaaeg, kultuur ja religioon</v>
      </c>
      <c r="F98" s="14" t="s">
        <v>1142</v>
      </c>
      <c r="G98" s="14" t="s">
        <v>1143</v>
      </c>
      <c r="H98" s="14">
        <v>1</v>
      </c>
      <c r="I98" s="14" t="s">
        <v>2027</v>
      </c>
      <c r="J98" s="14">
        <v>60</v>
      </c>
      <c r="K98" s="14">
        <f t="shared" si="4"/>
        <v>60</v>
      </c>
      <c r="L98" s="14">
        <v>9</v>
      </c>
      <c r="M98" s="14"/>
      <c r="N98" s="44">
        <f>(K98*Table110[[#This Row],[Ühik2]])+M98</f>
        <v>540</v>
      </c>
      <c r="O98" s="44">
        <f>Table110[[#This Row],[2020. EA ]]*0.338</f>
        <v>182.52</v>
      </c>
      <c r="P98" s="14"/>
    </row>
    <row r="99" spans="1:16" x14ac:dyDescent="0.25">
      <c r="A99" s="14" t="str">
        <f t="shared" si="8"/>
        <v>08</v>
      </c>
      <c r="B99" t="s">
        <v>323</v>
      </c>
      <c r="C99" s="14" t="str">
        <f>VLOOKUP(B99,Table4[],2,FALSE)</f>
        <v xml:space="preserve"> Ulvi Klubi</v>
      </c>
      <c r="D99" s="39" t="str">
        <f>VLOOKUP(Table110[[#This Row],[Tegevusala]],Table4[[Tegevusala kood]:[Tegevusala alanimetus]],4,FALSE)</f>
        <v>Rahvakultuur</v>
      </c>
      <c r="E99" s="14" t="str">
        <f>VLOOKUP(C99,Table4[[Tegevusala nimetus]:[Tegevusala koondnimetus]],2,FALSE)</f>
        <v>Vabaaeg, kultuur ja religioon</v>
      </c>
      <c r="F99" s="14" t="s">
        <v>1142</v>
      </c>
      <c r="G99" s="14" t="s">
        <v>1143</v>
      </c>
      <c r="H99" s="14">
        <v>1</v>
      </c>
      <c r="I99" s="14" t="s">
        <v>2027</v>
      </c>
      <c r="J99" s="14">
        <v>40</v>
      </c>
      <c r="K99" s="14">
        <f t="shared" si="4"/>
        <v>40</v>
      </c>
      <c r="L99" s="14">
        <v>9</v>
      </c>
      <c r="M99" s="14"/>
      <c r="N99" s="44">
        <f>(K99*Table110[[#This Row],[Ühik2]])+M99</f>
        <v>360</v>
      </c>
      <c r="O99" s="44">
        <f>Table110[[#This Row],[2020. EA ]]*0.338</f>
        <v>121.68</v>
      </c>
      <c r="P99" s="14"/>
    </row>
    <row r="100" spans="1:16" x14ac:dyDescent="0.25">
      <c r="A100" s="14" t="str">
        <f t="shared" si="8"/>
        <v>08</v>
      </c>
      <c r="B100" t="s">
        <v>323</v>
      </c>
      <c r="C100" s="14" t="str">
        <f>VLOOKUP(B100,Table4[],2,FALSE)</f>
        <v xml:space="preserve"> Ulvi Klubi</v>
      </c>
      <c r="D100" s="39" t="str">
        <f>VLOOKUP(Table110[[#This Row],[Tegevusala]],Table4[[Tegevusala kood]:[Tegevusala alanimetus]],4,FALSE)</f>
        <v>Rahvakultuur</v>
      </c>
      <c r="E100" s="14" t="str">
        <f>VLOOKUP(C100,Table4[[Tegevusala nimetus]:[Tegevusala koondnimetus]],2,FALSE)</f>
        <v>Vabaaeg, kultuur ja religioon</v>
      </c>
      <c r="F100" s="14" t="s">
        <v>1142</v>
      </c>
      <c r="G100" s="14" t="s">
        <v>1143</v>
      </c>
      <c r="H100" s="14">
        <v>1</v>
      </c>
      <c r="I100" s="14" t="s">
        <v>2027</v>
      </c>
      <c r="J100" s="14">
        <v>60</v>
      </c>
      <c r="K100" s="14">
        <f t="shared" si="4"/>
        <v>60</v>
      </c>
      <c r="L100" s="14">
        <v>9</v>
      </c>
      <c r="M100" s="14"/>
      <c r="N100" s="44">
        <f>(K100*Table110[[#This Row],[Ühik2]])+M100</f>
        <v>540</v>
      </c>
      <c r="O100" s="44">
        <f>Table110[[#This Row],[2020. EA ]]*0.338</f>
        <v>182.52</v>
      </c>
      <c r="P100" s="14"/>
    </row>
    <row r="101" spans="1:16" x14ac:dyDescent="0.25">
      <c r="A101" s="14" t="str">
        <f t="shared" si="8"/>
        <v>08</v>
      </c>
      <c r="B101" t="s">
        <v>323</v>
      </c>
      <c r="C101" s="14" t="str">
        <f>VLOOKUP(B101,Table4[],2,FALSE)</f>
        <v xml:space="preserve"> Ulvi Klubi</v>
      </c>
      <c r="D101" s="39" t="str">
        <f>VLOOKUP(Table110[[#This Row],[Tegevusala]],Table4[[Tegevusala kood]:[Tegevusala alanimetus]],4,FALSE)</f>
        <v>Rahvakultuur</v>
      </c>
      <c r="E101" s="14" t="str">
        <f>VLOOKUP(C101,Table4[[Tegevusala nimetus]:[Tegevusala koondnimetus]],2,FALSE)</f>
        <v>Vabaaeg, kultuur ja religioon</v>
      </c>
      <c r="F101" s="14" t="s">
        <v>1142</v>
      </c>
      <c r="G101" s="14" t="s">
        <v>935</v>
      </c>
      <c r="H101" s="14">
        <v>2</v>
      </c>
      <c r="I101" s="14" t="s">
        <v>2027</v>
      </c>
      <c r="J101" s="14">
        <v>60</v>
      </c>
      <c r="K101" s="14">
        <f t="shared" si="4"/>
        <v>120</v>
      </c>
      <c r="L101" s="14">
        <v>9</v>
      </c>
      <c r="M101" s="14"/>
      <c r="N101" s="44">
        <f>(K101*Table110[[#This Row],[Ühik2]])+M101</f>
        <v>1080</v>
      </c>
      <c r="O101" s="44">
        <f>Table110[[#This Row],[2020. EA ]]*0.338</f>
        <v>365.04</v>
      </c>
      <c r="P101" s="14"/>
    </row>
    <row r="102" spans="1:16" x14ac:dyDescent="0.25">
      <c r="A102" s="14" t="str">
        <f t="shared" si="8"/>
        <v>08</v>
      </c>
      <c r="B102" t="s">
        <v>323</v>
      </c>
      <c r="C102" s="14" t="str">
        <f>VLOOKUP(B102,Table4[],2,FALSE)</f>
        <v xml:space="preserve"> Ulvi Klubi</v>
      </c>
      <c r="D102" s="39" t="str">
        <f>VLOOKUP(Table110[[#This Row],[Tegevusala]],Table4[[Tegevusala kood]:[Tegevusala alanimetus]],4,FALSE)</f>
        <v>Rahvakultuur</v>
      </c>
      <c r="E102" s="14" t="str">
        <f>VLOOKUP(C102,Table4[[Tegevusala nimetus]:[Tegevusala koondnimetus]],2,FALSE)</f>
        <v>Vabaaeg, kultuur ja religioon</v>
      </c>
      <c r="F102" s="14" t="s">
        <v>1142</v>
      </c>
      <c r="G102" s="14" t="s">
        <v>935</v>
      </c>
      <c r="H102" s="14">
        <v>1</v>
      </c>
      <c r="I102" s="14" t="s">
        <v>2027</v>
      </c>
      <c r="J102" s="14">
        <v>40</v>
      </c>
      <c r="K102" s="14">
        <f t="shared" si="4"/>
        <v>40</v>
      </c>
      <c r="L102" s="14">
        <v>9</v>
      </c>
      <c r="M102" s="14"/>
      <c r="N102" s="44">
        <f>(K102*Table110[[#This Row],[Ühik2]])+M102</f>
        <v>360</v>
      </c>
      <c r="O102" s="44">
        <f>Table110[[#This Row],[2020. EA ]]*0.338</f>
        <v>121.68</v>
      </c>
      <c r="P102" s="14"/>
    </row>
    <row r="103" spans="1:16" x14ac:dyDescent="0.25">
      <c r="A103" s="14" t="str">
        <f t="shared" si="8"/>
        <v>09</v>
      </c>
      <c r="B103" t="s">
        <v>325</v>
      </c>
      <c r="C103" s="14" t="str">
        <f>VLOOKUP(B103,Table4[],2,FALSE)</f>
        <v xml:space="preserve"> Vinni Lasteaed</v>
      </c>
      <c r="D103" s="39" t="str">
        <f>VLOOKUP(Table110[[#This Row],[Tegevusala]],Table4[[Tegevusala kood]:[Tegevusala alanimetus]],4,FALSE)</f>
        <v>Alusharidus</v>
      </c>
      <c r="E103" s="14" t="str">
        <f>VLOOKUP(C103,Table4[[Tegevusala nimetus]:[Tegevusala koondnimetus]],2,FALSE)</f>
        <v>Haridus</v>
      </c>
      <c r="F103" t="s">
        <v>1203</v>
      </c>
      <c r="G103" s="14" t="s">
        <v>1204</v>
      </c>
      <c r="H103" s="14">
        <v>1</v>
      </c>
      <c r="I103" s="14"/>
      <c r="J103" s="14">
        <v>1700</v>
      </c>
      <c r="K103" s="14">
        <f t="shared" si="4"/>
        <v>1700</v>
      </c>
      <c r="L103" s="14">
        <v>12</v>
      </c>
      <c r="M103" s="14"/>
      <c r="N103" s="44">
        <f>(K103*Table110[[#This Row],[Ühik2]])+M103</f>
        <v>20400</v>
      </c>
      <c r="O103" s="44">
        <f>Table110[[#This Row],[2020. EA ]]*0.338</f>
        <v>6895.2000000000007</v>
      </c>
      <c r="P103" s="14"/>
    </row>
    <row r="104" spans="1:16" x14ac:dyDescent="0.25">
      <c r="A104" s="14" t="str">
        <f t="shared" si="8"/>
        <v>09</v>
      </c>
      <c r="B104" t="s">
        <v>325</v>
      </c>
      <c r="C104" s="14" t="str">
        <f>VLOOKUP(B104,Table4[],2,FALSE)</f>
        <v xml:space="preserve"> Vinni Lasteaed</v>
      </c>
      <c r="D104" s="39" t="str">
        <f>VLOOKUP(Table110[[#This Row],[Tegevusala]],Table4[[Tegevusala kood]:[Tegevusala alanimetus]],4,FALSE)</f>
        <v>Alusharidus</v>
      </c>
      <c r="E104" s="14" t="str">
        <f>VLOOKUP(C104,Table4[[Tegevusala nimetus]:[Tegevusala koondnimetus]],2,FALSE)</f>
        <v>Haridus</v>
      </c>
      <c r="F104" t="s">
        <v>1203</v>
      </c>
      <c r="G104" s="14" t="s">
        <v>1205</v>
      </c>
      <c r="H104" s="14">
        <v>7</v>
      </c>
      <c r="I104" s="14"/>
      <c r="J104" s="14">
        <v>1315</v>
      </c>
      <c r="K104" s="14">
        <f t="shared" si="4"/>
        <v>9205</v>
      </c>
      <c r="L104" s="14">
        <v>12</v>
      </c>
      <c r="M104" s="14"/>
      <c r="N104" s="44">
        <f>(K104*Table110[[#This Row],[Ühik2]])+M104</f>
        <v>110460</v>
      </c>
      <c r="O104" s="44">
        <f>Table110[[#This Row],[2020. EA ]]*0.338</f>
        <v>37335.480000000003</v>
      </c>
      <c r="P104" s="14"/>
    </row>
    <row r="105" spans="1:16" x14ac:dyDescent="0.25">
      <c r="A105" s="14" t="str">
        <f t="shared" si="8"/>
        <v>09</v>
      </c>
      <c r="B105" t="s">
        <v>325</v>
      </c>
      <c r="C105" s="14" t="str">
        <f>VLOOKUP(B105,Table4[],2,FALSE)</f>
        <v xml:space="preserve"> Vinni Lasteaed</v>
      </c>
      <c r="D105" s="39" t="str">
        <f>VLOOKUP(Table110[[#This Row],[Tegevusala]],Table4[[Tegevusala kood]:[Tegevusala alanimetus]],4,FALSE)</f>
        <v>Alusharidus</v>
      </c>
      <c r="E105" s="14" t="str">
        <f>VLOOKUP(C105,Table4[[Tegevusala nimetus]:[Tegevusala koondnimetus]],2,FALSE)</f>
        <v>Haridus</v>
      </c>
      <c r="F105" t="s">
        <v>1203</v>
      </c>
      <c r="G105" s="14" t="s">
        <v>1206</v>
      </c>
      <c r="H105" s="14">
        <v>5</v>
      </c>
      <c r="I105" s="14"/>
      <c r="J105" s="14">
        <v>1183.5</v>
      </c>
      <c r="K105" s="14">
        <f t="shared" si="4"/>
        <v>5917.5</v>
      </c>
      <c r="L105" s="14">
        <v>12</v>
      </c>
      <c r="M105" s="14"/>
      <c r="N105" s="44">
        <f>(K105*Table110[[#This Row],[Ühik2]])+M105</f>
        <v>71010</v>
      </c>
      <c r="O105" s="44">
        <f>Table110[[#This Row],[2020. EA ]]*0.338</f>
        <v>24001.38</v>
      </c>
      <c r="P105" s="14"/>
    </row>
    <row r="106" spans="1:16" x14ac:dyDescent="0.25">
      <c r="A106" s="14" t="str">
        <f t="shared" si="8"/>
        <v>09</v>
      </c>
      <c r="B106" t="s">
        <v>325</v>
      </c>
      <c r="C106" s="14" t="str">
        <f>VLOOKUP(B106,Table4[],2,FALSE)</f>
        <v xml:space="preserve"> Vinni Lasteaed</v>
      </c>
      <c r="D106" s="39" t="str">
        <f>VLOOKUP(Table110[[#This Row],[Tegevusala]],Table4[[Tegevusala kood]:[Tegevusala alanimetus]],4,FALSE)</f>
        <v>Alusharidus</v>
      </c>
      <c r="E106" s="14" t="str">
        <f>VLOOKUP(C106,Table4[[Tegevusala nimetus]:[Tegevusala koondnimetus]],2,FALSE)</f>
        <v>Haridus</v>
      </c>
      <c r="F106" t="s">
        <v>1203</v>
      </c>
      <c r="G106" s="14" t="s">
        <v>1207</v>
      </c>
      <c r="H106" s="14">
        <v>0.75</v>
      </c>
      <c r="I106" s="14"/>
      <c r="J106" s="14">
        <v>1183.5</v>
      </c>
      <c r="K106" s="14">
        <f t="shared" si="4"/>
        <v>887.625</v>
      </c>
      <c r="L106" s="14">
        <v>12</v>
      </c>
      <c r="M106" s="14"/>
      <c r="N106" s="44">
        <f>(K106*Table110[[#This Row],[Ühik2]])+M106</f>
        <v>10651.5</v>
      </c>
      <c r="O106" s="44">
        <f>Table110[[#This Row],[2020. EA ]]*0.338</f>
        <v>3600.2070000000003</v>
      </c>
      <c r="P106" s="14"/>
    </row>
    <row r="107" spans="1:16" x14ac:dyDescent="0.25">
      <c r="A107" s="14" t="str">
        <f t="shared" si="8"/>
        <v>09</v>
      </c>
      <c r="B107" t="s">
        <v>325</v>
      </c>
      <c r="C107" s="14" t="str">
        <f>VLOOKUP(B107,Table4[],2,FALSE)</f>
        <v xml:space="preserve"> Vinni Lasteaed</v>
      </c>
      <c r="D107" s="39" t="str">
        <f>VLOOKUP(Table110[[#This Row],[Tegevusala]],Table4[[Tegevusala kood]:[Tegevusala alanimetus]],4,FALSE)</f>
        <v>Alusharidus</v>
      </c>
      <c r="E107" s="14" t="str">
        <f>VLOOKUP(C107,Table4[[Tegevusala nimetus]:[Tegevusala koondnimetus]],2,FALSE)</f>
        <v>Haridus</v>
      </c>
      <c r="F107" t="s">
        <v>1203</v>
      </c>
      <c r="G107" s="14" t="s">
        <v>1208</v>
      </c>
      <c r="H107" s="14">
        <v>0.75</v>
      </c>
      <c r="I107" s="14"/>
      <c r="J107" s="14">
        <v>1183.5</v>
      </c>
      <c r="K107" s="14">
        <f t="shared" si="4"/>
        <v>887.625</v>
      </c>
      <c r="L107" s="14">
        <v>12</v>
      </c>
      <c r="M107" s="14"/>
      <c r="N107" s="44">
        <f>(K107*Table110[[#This Row],[Ühik2]])+M107</f>
        <v>10651.5</v>
      </c>
      <c r="O107" s="44">
        <f>Table110[[#This Row],[2020. EA ]]*0.338</f>
        <v>3600.2070000000003</v>
      </c>
      <c r="P107" s="14"/>
    </row>
    <row r="108" spans="1:16" x14ac:dyDescent="0.25">
      <c r="A108" s="14" t="str">
        <f t="shared" si="8"/>
        <v>09</v>
      </c>
      <c r="B108" t="s">
        <v>325</v>
      </c>
      <c r="C108" s="14" t="str">
        <f>VLOOKUP(B108,Table4[],2,FALSE)</f>
        <v xml:space="preserve"> Vinni Lasteaed</v>
      </c>
      <c r="D108" s="39" t="str">
        <f>VLOOKUP(Table110[[#This Row],[Tegevusala]],Table4[[Tegevusala kood]:[Tegevusala alanimetus]],4,FALSE)</f>
        <v>Alusharidus</v>
      </c>
      <c r="E108" s="14" t="str">
        <f>VLOOKUP(C108,Table4[[Tegevusala nimetus]:[Tegevusala koondnimetus]],2,FALSE)</f>
        <v>Haridus</v>
      </c>
      <c r="F108" t="s">
        <v>1203</v>
      </c>
      <c r="G108" s="14" t="s">
        <v>1209</v>
      </c>
      <c r="H108" s="14">
        <v>1</v>
      </c>
      <c r="I108" s="14"/>
      <c r="J108" s="14">
        <v>1315</v>
      </c>
      <c r="K108" s="14">
        <f t="shared" si="4"/>
        <v>1315</v>
      </c>
      <c r="L108" s="14">
        <v>12</v>
      </c>
      <c r="M108" s="14"/>
      <c r="N108" s="44">
        <f>(K108*Table110[[#This Row],[Ühik2]])+M108</f>
        <v>15780</v>
      </c>
      <c r="O108" s="44">
        <f>Table110[[#This Row],[2020. EA ]]*0.338</f>
        <v>5333.64</v>
      </c>
      <c r="P108" s="14"/>
    </row>
    <row r="109" spans="1:16" x14ac:dyDescent="0.25">
      <c r="A109" s="14" t="str">
        <f t="shared" si="8"/>
        <v>09</v>
      </c>
      <c r="B109" t="s">
        <v>325</v>
      </c>
      <c r="C109" s="14" t="str">
        <f>VLOOKUP(B109,Table4[],2,FALSE)</f>
        <v xml:space="preserve"> Vinni Lasteaed</v>
      </c>
      <c r="D109" s="39" t="str">
        <f>VLOOKUP(Table110[[#This Row],[Tegevusala]],Table4[[Tegevusala kood]:[Tegevusala alanimetus]],4,FALSE)</f>
        <v>Alusharidus</v>
      </c>
      <c r="E109" s="14" t="str">
        <f>VLOOKUP(C109,Table4[[Tegevusala nimetus]:[Tegevusala koondnimetus]],2,FALSE)</f>
        <v>Haridus</v>
      </c>
      <c r="F109" t="s">
        <v>1203</v>
      </c>
      <c r="G109" s="14" t="s">
        <v>1210</v>
      </c>
      <c r="H109" s="14">
        <v>6</v>
      </c>
      <c r="I109" s="14"/>
      <c r="J109" s="14">
        <v>702</v>
      </c>
      <c r="K109" s="14">
        <f t="shared" si="4"/>
        <v>4212</v>
      </c>
      <c r="L109" s="14">
        <v>12</v>
      </c>
      <c r="M109" s="14"/>
      <c r="N109" s="44">
        <f>(K109*Table110[[#This Row],[Ühik2]])+M109</f>
        <v>50544</v>
      </c>
      <c r="O109" s="44">
        <f>Table110[[#This Row],[2020. EA ]]*0.338</f>
        <v>17083.871999999999</v>
      </c>
      <c r="P109" s="14"/>
    </row>
    <row r="110" spans="1:16" x14ac:dyDescent="0.25">
      <c r="A110" s="14" t="str">
        <f t="shared" si="8"/>
        <v>09</v>
      </c>
      <c r="B110" t="s">
        <v>325</v>
      </c>
      <c r="C110" s="14" t="str">
        <f>VLOOKUP(B110,Table4[],2,FALSE)</f>
        <v xml:space="preserve"> Vinni Lasteaed</v>
      </c>
      <c r="D110" s="39" t="str">
        <f>VLOOKUP(Table110[[#This Row],[Tegevusala]],Table4[[Tegevusala kood]:[Tegevusala alanimetus]],4,FALSE)</f>
        <v>Alusharidus</v>
      </c>
      <c r="E110" s="14" t="str">
        <f>VLOOKUP(C110,Table4[[Tegevusala nimetus]:[Tegevusala koondnimetus]],2,FALSE)</f>
        <v>Haridus</v>
      </c>
      <c r="F110" t="s">
        <v>1203</v>
      </c>
      <c r="G110" s="14" t="s">
        <v>1211</v>
      </c>
      <c r="H110" s="14">
        <v>1</v>
      </c>
      <c r="I110" s="14"/>
      <c r="J110" s="14">
        <v>702</v>
      </c>
      <c r="K110" s="14">
        <f t="shared" si="4"/>
        <v>702</v>
      </c>
      <c r="L110" s="14">
        <v>12</v>
      </c>
      <c r="M110" s="14"/>
      <c r="N110" s="44">
        <f>(K110*Table110[[#This Row],[Ühik2]])+M110</f>
        <v>8424</v>
      </c>
      <c r="O110" s="44">
        <f>Table110[[#This Row],[2020. EA ]]*0.338</f>
        <v>2847.3120000000004</v>
      </c>
      <c r="P110" s="14"/>
    </row>
    <row r="111" spans="1:16" x14ac:dyDescent="0.25">
      <c r="A111" s="14" t="str">
        <f t="shared" si="8"/>
        <v>09</v>
      </c>
      <c r="B111" t="s">
        <v>325</v>
      </c>
      <c r="C111" s="14" t="str">
        <f>VLOOKUP(B111,Table4[],2,FALSE)</f>
        <v xml:space="preserve"> Vinni Lasteaed</v>
      </c>
      <c r="D111" s="39" t="str">
        <f>VLOOKUP(Table110[[#This Row],[Tegevusala]],Table4[[Tegevusala kood]:[Tegevusala alanimetus]],4,FALSE)</f>
        <v>Alusharidus</v>
      </c>
      <c r="E111" s="14" t="str">
        <f>VLOOKUP(C111,Table4[[Tegevusala nimetus]:[Tegevusala koondnimetus]],2,FALSE)</f>
        <v>Haridus</v>
      </c>
      <c r="F111" t="s">
        <v>1203</v>
      </c>
      <c r="G111" s="14" t="s">
        <v>1212</v>
      </c>
      <c r="H111" s="14">
        <v>1</v>
      </c>
      <c r="I111" s="14"/>
      <c r="J111" s="14">
        <v>600</v>
      </c>
      <c r="K111" s="14">
        <f t="shared" si="4"/>
        <v>600</v>
      </c>
      <c r="L111" s="14">
        <v>12</v>
      </c>
      <c r="M111" s="14"/>
      <c r="N111" s="44">
        <f>(K111*Table110[[#This Row],[Ühik2]])+M111</f>
        <v>7200</v>
      </c>
      <c r="O111" s="44">
        <f>Table110[[#This Row],[2020. EA ]]*0.338</f>
        <v>2433.6000000000004</v>
      </c>
      <c r="P111" s="14"/>
    </row>
    <row r="112" spans="1:16" x14ac:dyDescent="0.25">
      <c r="A112" s="14" t="str">
        <f t="shared" si="8"/>
        <v>09</v>
      </c>
      <c r="B112" t="s">
        <v>325</v>
      </c>
      <c r="C112" s="14" t="str">
        <f>VLOOKUP(B112,Table4[],2,FALSE)</f>
        <v xml:space="preserve"> Vinni Lasteaed</v>
      </c>
      <c r="D112" s="39" t="str">
        <f>VLOOKUP(Table110[[#This Row],[Tegevusala]],Table4[[Tegevusala kood]:[Tegevusala alanimetus]],4,FALSE)</f>
        <v>Alusharidus</v>
      </c>
      <c r="E112" s="14" t="str">
        <f>VLOOKUP(C112,Table4[[Tegevusala nimetus]:[Tegevusala koondnimetus]],2,FALSE)</f>
        <v>Haridus</v>
      </c>
      <c r="F112" t="s">
        <v>1203</v>
      </c>
      <c r="G112" s="14" t="s">
        <v>1212</v>
      </c>
      <c r="H112" s="14">
        <v>1</v>
      </c>
      <c r="I112" s="14"/>
      <c r="J112" s="14">
        <v>664</v>
      </c>
      <c r="K112" s="14">
        <f t="shared" si="4"/>
        <v>664</v>
      </c>
      <c r="L112" s="14">
        <v>12</v>
      </c>
      <c r="M112" s="14"/>
      <c r="N112" s="44">
        <f>(K112*Table110[[#This Row],[Ühik2]])+M112</f>
        <v>7968</v>
      </c>
      <c r="O112" s="44">
        <f>Table110[[#This Row],[2020. EA ]]*0.338</f>
        <v>2693.1840000000002</v>
      </c>
      <c r="P112" s="14"/>
    </row>
    <row r="113" spans="1:16" x14ac:dyDescent="0.25">
      <c r="A113" s="91" t="str">
        <f t="shared" si="8"/>
        <v>09</v>
      </c>
      <c r="B113" s="92" t="s">
        <v>325</v>
      </c>
      <c r="C113" s="91" t="str">
        <f>VLOOKUP(B113,Table4[],2,FALSE)</f>
        <v xml:space="preserve"> Vinni Lasteaed</v>
      </c>
      <c r="D113" s="95" t="str">
        <f>VLOOKUP(Table110[[#This Row],[Tegevusala]],Table4[[Tegevusala kood]:[Tegevusala alanimetus]],4,FALSE)</f>
        <v>Alusharidus</v>
      </c>
      <c r="E113" s="91" t="str">
        <f>VLOOKUP(C113,Table4[[Tegevusala nimetus]:[Tegevusala koondnimetus]],2,FALSE)</f>
        <v>Haridus</v>
      </c>
      <c r="F113" s="92" t="s">
        <v>1203</v>
      </c>
      <c r="G113" s="91" t="s">
        <v>1045</v>
      </c>
      <c r="H113" s="91">
        <v>0.75</v>
      </c>
      <c r="I113" s="91"/>
      <c r="J113" s="91">
        <v>584</v>
      </c>
      <c r="K113" s="91">
        <f t="shared" si="4"/>
        <v>438</v>
      </c>
      <c r="L113" s="91">
        <v>12</v>
      </c>
      <c r="M113" s="91"/>
      <c r="N113" s="93">
        <f>(K113*Table110[[#This Row],[Ühik2]])+M113</f>
        <v>5256</v>
      </c>
      <c r="O113" s="93">
        <f>Table110[[#This Row],[2020. EA ]]*0.338</f>
        <v>1776.528</v>
      </c>
      <c r="P113" s="91"/>
    </row>
    <row r="114" spans="1:16" x14ac:dyDescent="0.25">
      <c r="A114" s="91" t="str">
        <f t="shared" si="8"/>
        <v>09</v>
      </c>
      <c r="B114" s="92" t="s">
        <v>325</v>
      </c>
      <c r="C114" s="91" t="str">
        <f>VLOOKUP(B114,Table4[],2,FALSE)</f>
        <v xml:space="preserve"> Vinni Lasteaed</v>
      </c>
      <c r="D114" s="95" t="str">
        <f>VLOOKUP(Table110[[#This Row],[Tegevusala]],Table4[[Tegevusala kood]:[Tegevusala alanimetus]],4,FALSE)</f>
        <v>Alusharidus</v>
      </c>
      <c r="E114" s="91" t="str">
        <f>VLOOKUP(C114,Table4[[Tegevusala nimetus]:[Tegevusala koondnimetus]],2,FALSE)</f>
        <v>Haridus</v>
      </c>
      <c r="F114" s="92" t="s">
        <v>1203</v>
      </c>
      <c r="G114" s="91" t="s">
        <v>524</v>
      </c>
      <c r="H114" s="91">
        <v>1</v>
      </c>
      <c r="I114" s="91"/>
      <c r="J114" s="91">
        <v>584</v>
      </c>
      <c r="K114" s="91">
        <f t="shared" si="4"/>
        <v>584</v>
      </c>
      <c r="L114" s="91">
        <v>12</v>
      </c>
      <c r="M114" s="91"/>
      <c r="N114" s="93">
        <f>(K114*Table110[[#This Row],[Ühik2]])+M114</f>
        <v>7008</v>
      </c>
      <c r="O114" s="93">
        <f>Table110[[#This Row],[2020. EA ]]*0.338</f>
        <v>2368.7040000000002</v>
      </c>
      <c r="P114" s="91"/>
    </row>
    <row r="115" spans="1:16" x14ac:dyDescent="0.25">
      <c r="A115" s="91" t="str">
        <f t="shared" si="8"/>
        <v>09</v>
      </c>
      <c r="B115" s="92" t="s">
        <v>325</v>
      </c>
      <c r="C115" s="91" t="str">
        <f>VLOOKUP(B115,Table4[],2,FALSE)</f>
        <v xml:space="preserve"> Vinni Lasteaed</v>
      </c>
      <c r="D115" s="95" t="str">
        <f>VLOOKUP(Table110[[#This Row],[Tegevusala]],Table4[[Tegevusala kood]:[Tegevusala alanimetus]],4,FALSE)</f>
        <v>Alusharidus</v>
      </c>
      <c r="E115" s="91" t="str">
        <f>VLOOKUP(C115,Table4[[Tegevusala nimetus]:[Tegevusala koondnimetus]],2,FALSE)</f>
        <v>Haridus</v>
      </c>
      <c r="F115" s="92" t="s">
        <v>1203</v>
      </c>
      <c r="G115" s="91" t="s">
        <v>1213</v>
      </c>
      <c r="H115" s="91">
        <v>2.21</v>
      </c>
      <c r="I115" s="91"/>
      <c r="J115" s="91">
        <v>584</v>
      </c>
      <c r="K115" s="91">
        <f t="shared" si="4"/>
        <v>1290.6399999999999</v>
      </c>
      <c r="L115" s="91">
        <v>12</v>
      </c>
      <c r="M115" s="91"/>
      <c r="N115" s="93">
        <f>(K115*Table110[[#This Row],[Ühik2]])+M115</f>
        <v>15487.679999999998</v>
      </c>
      <c r="O115" s="93">
        <f>Table110[[#This Row],[2020. EA ]]*0.338</f>
        <v>5234.8358399999997</v>
      </c>
      <c r="P115" s="91"/>
    </row>
    <row r="116" spans="1:16" x14ac:dyDescent="0.25">
      <c r="A116" s="14" t="str">
        <f t="shared" si="8"/>
        <v>09</v>
      </c>
      <c r="B116" t="s">
        <v>327</v>
      </c>
      <c r="C116" s="14" t="str">
        <f>VLOOKUP(B116,Table4[],2,FALSE)</f>
        <v xml:space="preserve"> Pajusti Lasteaed</v>
      </c>
      <c r="D116" s="39" t="str">
        <f>VLOOKUP(Table110[[#This Row],[Tegevusala]],Table4[[Tegevusala kood]:[Tegevusala alanimetus]],4,FALSE)</f>
        <v>Alusharidus</v>
      </c>
      <c r="E116" s="14" t="str">
        <f>VLOOKUP(C116,Table4[[Tegevusala nimetus]:[Tegevusala koondnimetus]],2,FALSE)</f>
        <v>Haridus</v>
      </c>
      <c r="F116" s="14" t="s">
        <v>1273</v>
      </c>
      <c r="G116" s="14" t="s">
        <v>1265</v>
      </c>
      <c r="H116" s="14">
        <v>2</v>
      </c>
      <c r="I116" s="14"/>
      <c r="J116" s="14">
        <v>1250</v>
      </c>
      <c r="K116" s="14">
        <f t="shared" si="4"/>
        <v>2500</v>
      </c>
      <c r="L116" s="14">
        <v>12</v>
      </c>
      <c r="M116" s="14"/>
      <c r="N116" s="44">
        <f>(K116*Table110[[#This Row],[Ühik2]])+M116</f>
        <v>30000</v>
      </c>
      <c r="O116" s="44">
        <f>Table110[[#This Row],[2020. EA ]]*0.338</f>
        <v>10140</v>
      </c>
      <c r="P116" s="14"/>
    </row>
    <row r="117" spans="1:16" x14ac:dyDescent="0.25">
      <c r="A117" s="14" t="str">
        <f t="shared" si="8"/>
        <v>09</v>
      </c>
      <c r="B117" t="s">
        <v>327</v>
      </c>
      <c r="C117" s="14" t="str">
        <f>VLOOKUP(B117,Table4[],2,FALSE)</f>
        <v xml:space="preserve"> Pajusti Lasteaed</v>
      </c>
      <c r="D117" s="39" t="str">
        <f>VLOOKUP(Table110[[#This Row],[Tegevusala]],Table4[[Tegevusala kood]:[Tegevusala alanimetus]],4,FALSE)</f>
        <v>Alusharidus</v>
      </c>
      <c r="E117" s="14" t="str">
        <f>VLOOKUP(C117,Table4[[Tegevusala nimetus]:[Tegevusala koondnimetus]],2,FALSE)</f>
        <v>Haridus</v>
      </c>
      <c r="F117" s="14" t="s">
        <v>1273</v>
      </c>
      <c r="G117" s="14" t="s">
        <v>1266</v>
      </c>
      <c r="H117" s="14">
        <v>4</v>
      </c>
      <c r="I117" s="14"/>
      <c r="J117" s="14">
        <v>1183.5</v>
      </c>
      <c r="K117" s="14">
        <f t="shared" si="4"/>
        <v>4734</v>
      </c>
      <c r="L117" s="14">
        <v>12</v>
      </c>
      <c r="M117" s="14"/>
      <c r="N117" s="44">
        <f>(K117*Table110[[#This Row],[Ühik2]])+M117</f>
        <v>56808</v>
      </c>
      <c r="O117" s="44">
        <f>Table110[[#This Row],[2020. EA ]]*0.338</f>
        <v>19201.104000000003</v>
      </c>
      <c r="P117" s="14"/>
    </row>
    <row r="118" spans="1:16" x14ac:dyDescent="0.25">
      <c r="A118" s="14" t="str">
        <f t="shared" si="8"/>
        <v>09</v>
      </c>
      <c r="B118" t="s">
        <v>327</v>
      </c>
      <c r="C118" s="14" t="str">
        <f>VLOOKUP(B118,Table4[],2,FALSE)</f>
        <v xml:space="preserve"> Pajusti Lasteaed</v>
      </c>
      <c r="D118" s="39" t="str">
        <f>VLOOKUP(Table110[[#This Row],[Tegevusala]],Table4[[Tegevusala kood]:[Tegevusala alanimetus]],4,FALSE)</f>
        <v>Alusharidus</v>
      </c>
      <c r="E118" s="14" t="str">
        <f>VLOOKUP(C118,Table4[[Tegevusala nimetus]:[Tegevusala koondnimetus]],2,FALSE)</f>
        <v>Haridus</v>
      </c>
      <c r="F118" s="14" t="s">
        <v>1273</v>
      </c>
      <c r="G118" s="14" t="s">
        <v>1267</v>
      </c>
      <c r="H118" s="14">
        <v>0.38</v>
      </c>
      <c r="I118" s="14"/>
      <c r="J118" s="14">
        <v>1315</v>
      </c>
      <c r="K118" s="41">
        <f t="shared" si="4"/>
        <v>499.7</v>
      </c>
      <c r="L118" s="14">
        <v>12</v>
      </c>
      <c r="M118" s="14"/>
      <c r="N118" s="44">
        <f>(K118*Table110[[#This Row],[Ühik2]])+M118</f>
        <v>5996.4</v>
      </c>
      <c r="O118" s="44">
        <f>Table110[[#This Row],[2020. EA ]]*0.338</f>
        <v>2026.7832000000001</v>
      </c>
      <c r="P118" s="14"/>
    </row>
    <row r="119" spans="1:16" x14ac:dyDescent="0.25">
      <c r="A119" s="14" t="str">
        <f t="shared" si="8"/>
        <v>09</v>
      </c>
      <c r="B119" t="s">
        <v>327</v>
      </c>
      <c r="C119" s="14" t="str">
        <f>VLOOKUP(B119,Table4[],2,FALSE)</f>
        <v xml:space="preserve"> Pajusti Lasteaed</v>
      </c>
      <c r="D119" s="39" t="str">
        <f>VLOOKUP(Table110[[#This Row],[Tegevusala]],Table4[[Tegevusala kood]:[Tegevusala alanimetus]],4,FALSE)</f>
        <v>Alusharidus</v>
      </c>
      <c r="E119" s="14" t="str">
        <f>VLOOKUP(C119,Table4[[Tegevusala nimetus]:[Tegevusala koondnimetus]],2,FALSE)</f>
        <v>Haridus</v>
      </c>
      <c r="F119" s="14" t="s">
        <v>1273</v>
      </c>
      <c r="G119" s="14" t="s">
        <v>1268</v>
      </c>
      <c r="H119" s="14">
        <v>0.25</v>
      </c>
      <c r="I119" s="14"/>
      <c r="J119" s="14">
        <v>1252</v>
      </c>
      <c r="K119" s="14">
        <f t="shared" si="4"/>
        <v>313</v>
      </c>
      <c r="L119" s="14">
        <v>12</v>
      </c>
      <c r="M119" s="14"/>
      <c r="N119" s="44">
        <f>(K119*Table110[[#This Row],[Ühik2]])+M119</f>
        <v>3756</v>
      </c>
      <c r="O119" s="44">
        <f>Table110[[#This Row],[2020. EA ]]*0.338</f>
        <v>1269.528</v>
      </c>
      <c r="P119" s="14"/>
    </row>
    <row r="120" spans="1:16" x14ac:dyDescent="0.25">
      <c r="A120" s="14" t="str">
        <f t="shared" si="8"/>
        <v>09</v>
      </c>
      <c r="B120" t="s">
        <v>327</v>
      </c>
      <c r="C120" s="14" t="str">
        <f>VLOOKUP(B120,Table4[],2,FALSE)</f>
        <v xml:space="preserve"> Pajusti Lasteaed</v>
      </c>
      <c r="D120" s="39" t="str">
        <f>VLOOKUP(Table110[[#This Row],[Tegevusala]],Table4[[Tegevusala kood]:[Tegevusala alanimetus]],4,FALSE)</f>
        <v>Alusharidus</v>
      </c>
      <c r="E120" s="14" t="str">
        <f>VLOOKUP(C120,Table4[[Tegevusala nimetus]:[Tegevusala koondnimetus]],2,FALSE)</f>
        <v>Haridus</v>
      </c>
      <c r="F120" s="14" t="s">
        <v>1273</v>
      </c>
      <c r="G120" s="14" t="s">
        <v>1269</v>
      </c>
      <c r="H120" s="14">
        <v>0.13</v>
      </c>
      <c r="I120" s="14"/>
      <c r="J120" s="14">
        <v>1183.5</v>
      </c>
      <c r="K120" s="41">
        <f t="shared" si="4"/>
        <v>153.85500000000002</v>
      </c>
      <c r="L120" s="14">
        <v>7</v>
      </c>
      <c r="M120" s="14"/>
      <c r="N120" s="44">
        <f>(K120*Table110[[#This Row],[Ühik2]])+M120</f>
        <v>1076.9850000000001</v>
      </c>
      <c r="O120" s="44">
        <f>Table110[[#This Row],[2020. EA ]]*0.338</f>
        <v>364.02093000000008</v>
      </c>
      <c r="P120" s="14"/>
    </row>
    <row r="121" spans="1:16" x14ac:dyDescent="0.25">
      <c r="A121" s="14" t="str">
        <f t="shared" si="8"/>
        <v>09</v>
      </c>
      <c r="B121" t="s">
        <v>327</v>
      </c>
      <c r="C121" s="14" t="str">
        <f>VLOOKUP(B121,Table4[],2,FALSE)</f>
        <v xml:space="preserve"> Pajusti Lasteaed</v>
      </c>
      <c r="D121" s="39" t="str">
        <f>VLOOKUP(Table110[[#This Row],[Tegevusala]],Table4[[Tegevusala kood]:[Tegevusala alanimetus]],4,FALSE)</f>
        <v>Alusharidus</v>
      </c>
      <c r="E121" s="14" t="str">
        <f>VLOOKUP(C121,Table4[[Tegevusala nimetus]:[Tegevusala koondnimetus]],2,FALSE)</f>
        <v>Haridus</v>
      </c>
      <c r="F121" s="14" t="s">
        <v>1273</v>
      </c>
      <c r="G121" s="14" t="s">
        <v>1270</v>
      </c>
      <c r="H121" s="14">
        <v>3</v>
      </c>
      <c r="I121" s="14"/>
      <c r="J121" s="14">
        <v>702</v>
      </c>
      <c r="K121" s="14">
        <f t="shared" si="4"/>
        <v>2106</v>
      </c>
      <c r="L121" s="14">
        <v>12</v>
      </c>
      <c r="M121" s="14"/>
      <c r="N121" s="44">
        <f>(K121*Table110[[#This Row],[Ühik2]])+M121</f>
        <v>25272</v>
      </c>
      <c r="O121" s="44">
        <f>Table110[[#This Row],[2020. EA ]]*0.338</f>
        <v>8541.9359999999997</v>
      </c>
      <c r="P121" s="14"/>
    </row>
    <row r="122" spans="1:16" x14ac:dyDescent="0.25">
      <c r="A122" s="14" t="str">
        <f t="shared" si="8"/>
        <v>09</v>
      </c>
      <c r="B122" t="s">
        <v>327</v>
      </c>
      <c r="C122" s="14" t="str">
        <f>VLOOKUP(B122,Table4[],2,FALSE)</f>
        <v xml:space="preserve"> Pajusti Lasteaed</v>
      </c>
      <c r="D122" s="39" t="str">
        <f>VLOOKUP(Table110[[#This Row],[Tegevusala]],Table4[[Tegevusala kood]:[Tegevusala alanimetus]],4,FALSE)</f>
        <v>Alusharidus</v>
      </c>
      <c r="E122" s="14" t="str">
        <f>VLOOKUP(C122,Table4[[Tegevusala nimetus]:[Tegevusala koondnimetus]],2,FALSE)</f>
        <v>Haridus</v>
      </c>
      <c r="F122" s="14" t="s">
        <v>1273</v>
      </c>
      <c r="G122" s="14" t="s">
        <v>484</v>
      </c>
      <c r="H122" s="14">
        <v>1</v>
      </c>
      <c r="I122" s="14"/>
      <c r="J122" s="14">
        <v>696</v>
      </c>
      <c r="K122" s="14">
        <f t="shared" si="4"/>
        <v>696</v>
      </c>
      <c r="L122" s="14">
        <v>12</v>
      </c>
      <c r="M122" s="14"/>
      <c r="N122" s="44">
        <f>(K122*Table110[[#This Row],[Ühik2]])+M122</f>
        <v>8352</v>
      </c>
      <c r="O122" s="44">
        <f>Table110[[#This Row],[2020. EA ]]*0.338</f>
        <v>2822.9760000000001</v>
      </c>
      <c r="P122" s="14"/>
    </row>
    <row r="123" spans="1:16" x14ac:dyDescent="0.25">
      <c r="A123" s="14" t="str">
        <f t="shared" si="8"/>
        <v>09</v>
      </c>
      <c r="B123" t="s">
        <v>327</v>
      </c>
      <c r="C123" s="14" t="str">
        <f>VLOOKUP(B123,Table4[],2,FALSE)</f>
        <v xml:space="preserve"> Pajusti Lasteaed</v>
      </c>
      <c r="D123" s="39" t="str">
        <f>VLOOKUP(Table110[[#This Row],[Tegevusala]],Table4[[Tegevusala kood]:[Tegevusala alanimetus]],4,FALSE)</f>
        <v>Alusharidus</v>
      </c>
      <c r="E123" s="14" t="str">
        <f>VLOOKUP(C123,Table4[[Tegevusala nimetus]:[Tegevusala koondnimetus]],2,FALSE)</f>
        <v>Haridus</v>
      </c>
      <c r="F123" s="14" t="s">
        <v>1273</v>
      </c>
      <c r="G123" s="14" t="s">
        <v>1271</v>
      </c>
      <c r="H123" s="14">
        <v>0.3</v>
      </c>
      <c r="I123" s="14"/>
      <c r="J123" s="14">
        <v>1315</v>
      </c>
      <c r="K123" s="14">
        <f t="shared" si="4"/>
        <v>394.5</v>
      </c>
      <c r="L123" s="14">
        <v>8</v>
      </c>
      <c r="M123" s="14"/>
      <c r="N123" s="44">
        <f>(K123*Table110[[#This Row],[Ühik2]])+M123</f>
        <v>3156</v>
      </c>
      <c r="O123" s="44">
        <f>Table110[[#This Row],[2020. EA ]]*0.338</f>
        <v>1066.7280000000001</v>
      </c>
      <c r="P123" s="14"/>
    </row>
    <row r="124" spans="1:16" x14ac:dyDescent="0.25">
      <c r="A124" s="91" t="str">
        <f t="shared" si="8"/>
        <v>09</v>
      </c>
      <c r="B124" s="92" t="s">
        <v>327</v>
      </c>
      <c r="C124" s="91" t="str">
        <f>VLOOKUP(B124,Table4[],2,FALSE)</f>
        <v xml:space="preserve"> Pajusti Lasteaed</v>
      </c>
      <c r="D124" s="95" t="str">
        <f>VLOOKUP(Table110[[#This Row],[Tegevusala]],Table4[[Tegevusala kood]:[Tegevusala alanimetus]],4,FALSE)</f>
        <v>Alusharidus</v>
      </c>
      <c r="E124" s="91" t="str">
        <f>VLOOKUP(C124,Table4[[Tegevusala nimetus]:[Tegevusala koondnimetus]],2,FALSE)</f>
        <v>Haridus</v>
      </c>
      <c r="F124" s="91" t="s">
        <v>1273</v>
      </c>
      <c r="G124" s="91" t="s">
        <v>487</v>
      </c>
      <c r="H124" s="91">
        <v>0.5</v>
      </c>
      <c r="I124" s="91"/>
      <c r="J124" s="91">
        <v>584</v>
      </c>
      <c r="K124" s="91">
        <f t="shared" si="4"/>
        <v>292</v>
      </c>
      <c r="L124" s="91">
        <v>12</v>
      </c>
      <c r="M124" s="91"/>
      <c r="N124" s="93">
        <f>(K124*Table110[[#This Row],[Ühik2]])+M124</f>
        <v>3504</v>
      </c>
      <c r="O124" s="93">
        <f>Table110[[#This Row],[2020. EA ]]*0.338</f>
        <v>1184.3520000000001</v>
      </c>
      <c r="P124" s="91"/>
    </row>
    <row r="125" spans="1:16" x14ac:dyDescent="0.25">
      <c r="A125" s="91" t="str">
        <f t="shared" si="8"/>
        <v>09</v>
      </c>
      <c r="B125" s="92" t="s">
        <v>327</v>
      </c>
      <c r="C125" s="91" t="str">
        <f>VLOOKUP(B125,Table4[],2,FALSE)</f>
        <v xml:space="preserve"> Pajusti Lasteaed</v>
      </c>
      <c r="D125" s="95" t="str">
        <f>VLOOKUP(Table110[[#This Row],[Tegevusala]],Table4[[Tegevusala kood]:[Tegevusala alanimetus]],4,FALSE)</f>
        <v>Alusharidus</v>
      </c>
      <c r="E125" s="91" t="str">
        <f>VLOOKUP(C125,Table4[[Tegevusala nimetus]:[Tegevusala koondnimetus]],2,FALSE)</f>
        <v>Haridus</v>
      </c>
      <c r="F125" s="91" t="s">
        <v>1273</v>
      </c>
      <c r="G125" s="91" t="s">
        <v>479</v>
      </c>
      <c r="H125" s="91">
        <v>1</v>
      </c>
      <c r="I125" s="91"/>
      <c r="J125" s="91">
        <v>584</v>
      </c>
      <c r="K125" s="91">
        <f t="shared" si="4"/>
        <v>584</v>
      </c>
      <c r="L125" s="91">
        <v>12</v>
      </c>
      <c r="M125" s="91"/>
      <c r="N125" s="93">
        <f>(K125*Table110[[#This Row],[Ühik2]])+M125</f>
        <v>7008</v>
      </c>
      <c r="O125" s="93">
        <f>Table110[[#This Row],[2020. EA ]]*0.338</f>
        <v>2368.7040000000002</v>
      </c>
      <c r="P125" s="91"/>
    </row>
    <row r="126" spans="1:16" x14ac:dyDescent="0.25">
      <c r="A126" s="14" t="str">
        <f t="shared" si="8"/>
        <v>09</v>
      </c>
      <c r="B126" t="s">
        <v>327</v>
      </c>
      <c r="C126" s="14" t="str">
        <f>VLOOKUP(B126,Table4[],2,FALSE)</f>
        <v xml:space="preserve"> Pajusti Lasteaed</v>
      </c>
      <c r="D126" s="39" t="str">
        <f>VLOOKUP(Table110[[#This Row],[Tegevusala]],Table4[[Tegevusala kood]:[Tegevusala alanimetus]],4,FALSE)</f>
        <v>Alusharidus</v>
      </c>
      <c r="E126" s="14" t="str">
        <f>VLOOKUP(C126,Table4[[Tegevusala nimetus]:[Tegevusala koondnimetus]],2,FALSE)</f>
        <v>Haridus</v>
      </c>
      <c r="F126" s="14" t="s">
        <v>1273</v>
      </c>
      <c r="G126" s="14" t="s">
        <v>527</v>
      </c>
      <c r="H126" s="14">
        <v>1</v>
      </c>
      <c r="I126" s="14"/>
      <c r="J126" s="14">
        <v>1383</v>
      </c>
      <c r="K126" s="14">
        <f t="shared" si="4"/>
        <v>1383</v>
      </c>
      <c r="L126" s="14">
        <v>12</v>
      </c>
      <c r="M126" s="14"/>
      <c r="N126" s="44">
        <f>(K126*Table110[[#This Row],[Ühik2]])+M126</f>
        <v>16596</v>
      </c>
      <c r="O126" s="44">
        <f>Table110[[#This Row],[2020. EA ]]*0.338</f>
        <v>5609.4480000000003</v>
      </c>
      <c r="P126" s="14"/>
    </row>
    <row r="127" spans="1:16" x14ac:dyDescent="0.25">
      <c r="A127" s="14" t="str">
        <f>LEFT(B127,2)</f>
        <v>09</v>
      </c>
      <c r="B127" t="s">
        <v>327</v>
      </c>
      <c r="C127" s="14" t="str">
        <f>VLOOKUP(B127,Table4[],2,FALSE)</f>
        <v xml:space="preserve"> Pajusti Lasteaed</v>
      </c>
      <c r="D127" s="39" t="str">
        <f>VLOOKUP(Table110[[#This Row],[Tegevusala]],Table4[[Tegevusala kood]:[Tegevusala alanimetus]],4,FALSE)</f>
        <v>Alusharidus</v>
      </c>
      <c r="E127" s="14" t="str">
        <f>VLOOKUP(C127,Table4[[Tegevusala nimetus]:[Tegevusala koondnimetus]],2,FALSE)</f>
        <v>Haridus</v>
      </c>
      <c r="F127" s="14" t="s">
        <v>1273</v>
      </c>
      <c r="G127" s="14" t="s">
        <v>1274</v>
      </c>
      <c r="H127" s="14">
        <v>1</v>
      </c>
      <c r="I127" s="14"/>
      <c r="J127" s="14"/>
      <c r="K127" s="14">
        <f t="shared" si="4"/>
        <v>0</v>
      </c>
      <c r="L127" s="14"/>
      <c r="M127" s="14">
        <v>1700</v>
      </c>
      <c r="N127" s="44">
        <f>(K127*Table110[[#This Row],[Ühik2]])+M127</f>
        <v>1700</v>
      </c>
      <c r="O127" s="44">
        <f>Table110[[#This Row],[2020. EA ]]*0.338</f>
        <v>574.6</v>
      </c>
      <c r="P127" s="14"/>
    </row>
    <row r="128" spans="1:16" x14ac:dyDescent="0.25">
      <c r="A128" s="14" t="str">
        <f t="shared" ref="A128:A191" si="9">LEFT(B128,2)</f>
        <v>09</v>
      </c>
      <c r="B128" t="s">
        <v>329</v>
      </c>
      <c r="C128" s="14" t="str">
        <f>VLOOKUP(B128,Table4[],2,FALSE)</f>
        <v xml:space="preserve"> Kulina Lasteaed</v>
      </c>
      <c r="D128" s="39" t="str">
        <f>VLOOKUP(Table110[[#This Row],[Tegevusala]],Table4[[Tegevusala kood]:[Tegevusala alanimetus]],4,FALSE)</f>
        <v>Alusharidus</v>
      </c>
      <c r="E128" s="14" t="str">
        <f>VLOOKUP(C128,Table4[[Tegevusala nimetus]:[Tegevusala koondnimetus]],2,FALSE)</f>
        <v>Haridus</v>
      </c>
      <c r="F128" s="14" t="s">
        <v>1314</v>
      </c>
      <c r="G128" s="14" t="s">
        <v>527</v>
      </c>
      <c r="H128" s="14">
        <v>1</v>
      </c>
      <c r="I128" s="14"/>
      <c r="J128" s="14">
        <v>1315</v>
      </c>
      <c r="K128" s="14">
        <f t="shared" si="4"/>
        <v>1315</v>
      </c>
      <c r="L128" s="14">
        <v>12</v>
      </c>
      <c r="M128" s="14">
        <v>3120</v>
      </c>
      <c r="N128" s="44">
        <f>(K128*Table110[[#This Row],[Ühik2]])+M128</f>
        <v>18900</v>
      </c>
      <c r="O128" s="44">
        <f>Table110[[#This Row],[2020. EA ]]*0.338</f>
        <v>6388.2000000000007</v>
      </c>
      <c r="P128" s="14" t="s">
        <v>1312</v>
      </c>
    </row>
    <row r="129" spans="1:16" x14ac:dyDescent="0.25">
      <c r="A129" s="14" t="str">
        <f t="shared" si="9"/>
        <v>09</v>
      </c>
      <c r="B129" t="s">
        <v>329</v>
      </c>
      <c r="C129" s="14" t="str">
        <f>VLOOKUP(B129,Table4[],2,FALSE)</f>
        <v xml:space="preserve"> Kulina Lasteaed</v>
      </c>
      <c r="D129" s="39" t="str">
        <f>VLOOKUP(Table110[[#This Row],[Tegevusala]],Table4[[Tegevusala kood]:[Tegevusala alanimetus]],4,FALSE)</f>
        <v>Alusharidus</v>
      </c>
      <c r="E129" s="14" t="str">
        <f>VLOOKUP(C129,Table4[[Tegevusala nimetus]:[Tegevusala koondnimetus]],2,FALSE)</f>
        <v>Haridus</v>
      </c>
      <c r="F129" s="14" t="s">
        <v>1314</v>
      </c>
      <c r="G129" s="14" t="s">
        <v>1308</v>
      </c>
      <c r="H129" s="14">
        <v>1</v>
      </c>
      <c r="I129" s="14"/>
      <c r="J129" s="14">
        <v>1183.5</v>
      </c>
      <c r="K129" s="14">
        <f t="shared" si="4"/>
        <v>1183.5</v>
      </c>
      <c r="L129" s="14">
        <v>12</v>
      </c>
      <c r="M129" s="14"/>
      <c r="N129" s="44">
        <f>(K129*Table110[[#This Row],[Ühik2]])+M129</f>
        <v>14202</v>
      </c>
      <c r="O129" s="44">
        <f>Table110[[#This Row],[2020. EA ]]*0.338</f>
        <v>4800.2760000000007</v>
      </c>
      <c r="P129" s="14"/>
    </row>
    <row r="130" spans="1:16" x14ac:dyDescent="0.25">
      <c r="A130" s="14" t="str">
        <f t="shared" si="9"/>
        <v>09</v>
      </c>
      <c r="B130" t="s">
        <v>329</v>
      </c>
      <c r="C130" s="14" t="str">
        <f>VLOOKUP(B130,Table4[],2,FALSE)</f>
        <v xml:space="preserve"> Kulina Lasteaed</v>
      </c>
      <c r="D130" s="39" t="str">
        <f>VLOOKUP(Table110[[#This Row],[Tegevusala]],Table4[[Tegevusala kood]:[Tegevusala alanimetus]],4,FALSE)</f>
        <v>Alusharidus</v>
      </c>
      <c r="E130" s="14" t="str">
        <f>VLOOKUP(C130,Table4[[Tegevusala nimetus]:[Tegevusala koondnimetus]],2,FALSE)</f>
        <v>Haridus</v>
      </c>
      <c r="F130" s="14" t="s">
        <v>1314</v>
      </c>
      <c r="G130" s="14" t="s">
        <v>1308</v>
      </c>
      <c r="H130" s="14">
        <v>1</v>
      </c>
      <c r="I130" s="14"/>
      <c r="J130" s="14">
        <v>1183.5</v>
      </c>
      <c r="K130" s="14">
        <f t="shared" ref="K130:K193" si="10">H130*J130</f>
        <v>1183.5</v>
      </c>
      <c r="L130" s="14">
        <v>12</v>
      </c>
      <c r="M130" s="14"/>
      <c r="N130" s="44">
        <f>(K130*Table110[[#This Row],[Ühik2]])+M130</f>
        <v>14202</v>
      </c>
      <c r="O130" s="44">
        <f>Table110[[#This Row],[2020. EA ]]*0.338</f>
        <v>4800.2760000000007</v>
      </c>
      <c r="P130" s="14"/>
    </row>
    <row r="131" spans="1:16" x14ac:dyDescent="0.25">
      <c r="A131" s="14" t="str">
        <f t="shared" si="9"/>
        <v>09</v>
      </c>
      <c r="B131" t="s">
        <v>329</v>
      </c>
      <c r="C131" s="14" t="str">
        <f>VLOOKUP(B131,Table4[],2,FALSE)</f>
        <v xml:space="preserve"> Kulina Lasteaed</v>
      </c>
      <c r="D131" s="39" t="str">
        <f>VLOOKUP(Table110[[#This Row],[Tegevusala]],Table4[[Tegevusala kood]:[Tegevusala alanimetus]],4,FALSE)</f>
        <v>Alusharidus</v>
      </c>
      <c r="E131" s="14" t="str">
        <f>VLOOKUP(C131,Table4[[Tegevusala nimetus]:[Tegevusala koondnimetus]],2,FALSE)</f>
        <v>Haridus</v>
      </c>
      <c r="F131" s="14" t="s">
        <v>1314</v>
      </c>
      <c r="G131" s="14" t="s">
        <v>1308</v>
      </c>
      <c r="H131" s="14">
        <v>0.75</v>
      </c>
      <c r="I131" s="14"/>
      <c r="J131" s="14">
        <v>1183.5</v>
      </c>
      <c r="K131" s="41">
        <f t="shared" si="10"/>
        <v>887.625</v>
      </c>
      <c r="L131" s="14">
        <v>12</v>
      </c>
      <c r="M131" s="14"/>
      <c r="N131" s="44">
        <f>(K131*Table110[[#This Row],[Ühik2]])+M131</f>
        <v>10651.5</v>
      </c>
      <c r="O131" s="44">
        <f>Table110[[#This Row],[2020. EA ]]*0.338</f>
        <v>3600.2070000000003</v>
      </c>
      <c r="P131" s="14"/>
    </row>
    <row r="132" spans="1:16" x14ac:dyDescent="0.25">
      <c r="A132" s="14" t="str">
        <f t="shared" si="9"/>
        <v>09</v>
      </c>
      <c r="B132" t="s">
        <v>329</v>
      </c>
      <c r="C132" s="14" t="str">
        <f>VLOOKUP(B132,Table4[],2,FALSE)</f>
        <v xml:space="preserve"> Kulina Lasteaed</v>
      </c>
      <c r="D132" s="39" t="str">
        <f>VLOOKUP(Table110[[#This Row],[Tegevusala]],Table4[[Tegevusala kood]:[Tegevusala alanimetus]],4,FALSE)</f>
        <v>Alusharidus</v>
      </c>
      <c r="E132" s="14" t="str">
        <f>VLOOKUP(C132,Table4[[Tegevusala nimetus]:[Tegevusala koondnimetus]],2,FALSE)</f>
        <v>Haridus</v>
      </c>
      <c r="F132" s="14" t="s">
        <v>1314</v>
      </c>
      <c r="G132" s="14" t="s">
        <v>1308</v>
      </c>
      <c r="H132" s="14">
        <v>0.75</v>
      </c>
      <c r="I132" s="14"/>
      <c r="J132" s="14">
        <v>1183.5</v>
      </c>
      <c r="K132" s="41">
        <f t="shared" si="10"/>
        <v>887.625</v>
      </c>
      <c r="L132" s="14">
        <v>12</v>
      </c>
      <c r="M132" s="14"/>
      <c r="N132" s="44">
        <f>(K132*Table110[[#This Row],[Ühik2]])+M132</f>
        <v>10651.5</v>
      </c>
      <c r="O132" s="44">
        <f>Table110[[#This Row],[2020. EA ]]*0.338</f>
        <v>3600.2070000000003</v>
      </c>
      <c r="P132" s="14"/>
    </row>
    <row r="133" spans="1:16" x14ac:dyDescent="0.25">
      <c r="A133" s="14" t="str">
        <f t="shared" si="9"/>
        <v>09</v>
      </c>
      <c r="B133" t="s">
        <v>329</v>
      </c>
      <c r="C133" s="14" t="str">
        <f>VLOOKUP(B133,Table4[],2,FALSE)</f>
        <v xml:space="preserve"> Kulina Lasteaed</v>
      </c>
      <c r="D133" s="39" t="str">
        <f>VLOOKUP(Table110[[#This Row],[Tegevusala]],Table4[[Tegevusala kood]:[Tegevusala alanimetus]],4,FALSE)</f>
        <v>Alusharidus</v>
      </c>
      <c r="E133" s="14" t="str">
        <f>VLOOKUP(C133,Table4[[Tegevusala nimetus]:[Tegevusala koondnimetus]],2,FALSE)</f>
        <v>Haridus</v>
      </c>
      <c r="F133" s="14" t="s">
        <v>1314</v>
      </c>
      <c r="G133" s="14" t="s">
        <v>1268</v>
      </c>
      <c r="H133" s="14">
        <v>0.25</v>
      </c>
      <c r="I133" s="14"/>
      <c r="J133" s="14">
        <v>1183.5</v>
      </c>
      <c r="K133" s="41">
        <f t="shared" si="10"/>
        <v>295.875</v>
      </c>
      <c r="L133" s="14">
        <v>12</v>
      </c>
      <c r="M133" s="14"/>
      <c r="N133" s="44">
        <f>(K133*Table110[[#This Row],[Ühik2]])+M133</f>
        <v>3550.5</v>
      </c>
      <c r="O133" s="44">
        <f>Table110[[#This Row],[2020. EA ]]*0.338</f>
        <v>1200.0690000000002</v>
      </c>
      <c r="P133" s="14"/>
    </row>
    <row r="134" spans="1:16" x14ac:dyDescent="0.25">
      <c r="A134" s="14" t="str">
        <f t="shared" si="9"/>
        <v>09</v>
      </c>
      <c r="B134" t="s">
        <v>329</v>
      </c>
      <c r="C134" s="14" t="str">
        <f>VLOOKUP(B134,Table4[],2,FALSE)</f>
        <v xml:space="preserve"> Kulina Lasteaed</v>
      </c>
      <c r="D134" s="39" t="str">
        <f>VLOOKUP(Table110[[#This Row],[Tegevusala]],Table4[[Tegevusala kood]:[Tegevusala alanimetus]],4,FALSE)</f>
        <v>Alusharidus</v>
      </c>
      <c r="E134" s="14" t="str">
        <f>VLOOKUP(C134,Table4[[Tegevusala nimetus]:[Tegevusala koondnimetus]],2,FALSE)</f>
        <v>Haridus</v>
      </c>
      <c r="F134" s="14" t="s">
        <v>1314</v>
      </c>
      <c r="G134" s="14" t="s">
        <v>1267</v>
      </c>
      <c r="H134" s="14">
        <v>0.25</v>
      </c>
      <c r="I134" s="14"/>
      <c r="J134" s="14">
        <v>1183.5</v>
      </c>
      <c r="K134" s="41">
        <f t="shared" si="10"/>
        <v>295.875</v>
      </c>
      <c r="L134" s="14">
        <v>12</v>
      </c>
      <c r="M134" s="14"/>
      <c r="N134" s="44">
        <f>(K134*Table110[[#This Row],[Ühik2]])+M134</f>
        <v>3550.5</v>
      </c>
      <c r="O134" s="44">
        <f>Table110[[#This Row],[2020. EA ]]*0.338</f>
        <v>1200.0690000000002</v>
      </c>
      <c r="P134" s="14"/>
    </row>
    <row r="135" spans="1:16" x14ac:dyDescent="0.25">
      <c r="A135" s="14" t="str">
        <f t="shared" si="9"/>
        <v>09</v>
      </c>
      <c r="B135" t="s">
        <v>329</v>
      </c>
      <c r="C135" s="14" t="str">
        <f>VLOOKUP(B135,Table4[],2,FALSE)</f>
        <v xml:space="preserve"> Kulina Lasteaed</v>
      </c>
      <c r="D135" s="39" t="str">
        <f>VLOOKUP(Table110[[#This Row],[Tegevusala]],Table4[[Tegevusala kood]:[Tegevusala alanimetus]],4,FALSE)</f>
        <v>Alusharidus</v>
      </c>
      <c r="E135" s="14" t="str">
        <f>VLOOKUP(C135,Table4[[Tegevusala nimetus]:[Tegevusala koondnimetus]],2,FALSE)</f>
        <v>Haridus</v>
      </c>
      <c r="F135" s="14" t="s">
        <v>1314</v>
      </c>
      <c r="G135" s="14" t="s">
        <v>1270</v>
      </c>
      <c r="H135" s="14">
        <v>1</v>
      </c>
      <c r="I135" s="14"/>
      <c r="J135" s="14">
        <v>652</v>
      </c>
      <c r="K135" s="14">
        <f t="shared" si="10"/>
        <v>652</v>
      </c>
      <c r="L135" s="14">
        <v>12</v>
      </c>
      <c r="M135" s="14"/>
      <c r="N135" s="44">
        <f>(K135*Table110[[#This Row],[Ühik2]])+M135</f>
        <v>7824</v>
      </c>
      <c r="O135" s="44">
        <f>Table110[[#This Row],[2020. EA ]]*0.338</f>
        <v>2644.5120000000002</v>
      </c>
      <c r="P135" s="14"/>
    </row>
    <row r="136" spans="1:16" x14ac:dyDescent="0.25">
      <c r="A136" s="14" t="str">
        <f t="shared" si="9"/>
        <v>09</v>
      </c>
      <c r="B136" t="s">
        <v>329</v>
      </c>
      <c r="C136" s="14" t="str">
        <f>VLOOKUP(B136,Table4[],2,FALSE)</f>
        <v xml:space="preserve"> Kulina Lasteaed</v>
      </c>
      <c r="D136" s="39" t="str">
        <f>VLOOKUP(Table110[[#This Row],[Tegevusala]],Table4[[Tegevusala kood]:[Tegevusala alanimetus]],4,FALSE)</f>
        <v>Alusharidus</v>
      </c>
      <c r="E136" s="14" t="str">
        <f>VLOOKUP(C136,Table4[[Tegevusala nimetus]:[Tegevusala koondnimetus]],2,FALSE)</f>
        <v>Haridus</v>
      </c>
      <c r="F136" s="14" t="s">
        <v>1314</v>
      </c>
      <c r="G136" s="14" t="s">
        <v>1270</v>
      </c>
      <c r="H136" s="14">
        <v>0.8</v>
      </c>
      <c r="I136" s="14"/>
      <c r="J136" s="14">
        <v>652.5</v>
      </c>
      <c r="K136" s="14">
        <f t="shared" si="10"/>
        <v>522</v>
      </c>
      <c r="L136" s="14">
        <v>12</v>
      </c>
      <c r="M136" s="14"/>
      <c r="N136" s="44">
        <f>(K136*Table110[[#This Row],[Ühik2]])+M136</f>
        <v>6264</v>
      </c>
      <c r="O136" s="44">
        <f>Table110[[#This Row],[2020. EA ]]*0.338</f>
        <v>2117.232</v>
      </c>
      <c r="P136" s="14"/>
    </row>
    <row r="137" spans="1:16" x14ac:dyDescent="0.25">
      <c r="A137" s="14" t="str">
        <f t="shared" si="9"/>
        <v>09</v>
      </c>
      <c r="B137" t="s">
        <v>329</v>
      </c>
      <c r="C137" s="14" t="str">
        <f>VLOOKUP(B137,Table4[],2,FALSE)</f>
        <v xml:space="preserve"> Kulina Lasteaed</v>
      </c>
      <c r="D137" s="39" t="str">
        <f>VLOOKUP(Table110[[#This Row],[Tegevusala]],Table4[[Tegevusala kood]:[Tegevusala alanimetus]],4,FALSE)</f>
        <v>Alusharidus</v>
      </c>
      <c r="E137" s="14" t="str">
        <f>VLOOKUP(C137,Table4[[Tegevusala nimetus]:[Tegevusala koondnimetus]],2,FALSE)</f>
        <v>Haridus</v>
      </c>
      <c r="F137" s="14" t="s">
        <v>1314</v>
      </c>
      <c r="G137" s="14" t="s">
        <v>1270</v>
      </c>
      <c r="H137" s="14">
        <v>0.2</v>
      </c>
      <c r="I137" s="14"/>
      <c r="J137" s="14">
        <v>650</v>
      </c>
      <c r="K137" s="14">
        <f t="shared" si="10"/>
        <v>130</v>
      </c>
      <c r="L137" s="14">
        <v>12</v>
      </c>
      <c r="M137" s="14"/>
      <c r="N137" s="44">
        <f>(K137*Table110[[#This Row],[Ühik2]])+M137</f>
        <v>1560</v>
      </c>
      <c r="O137" s="44">
        <f>Table110[[#This Row],[2020. EA ]]*0.338</f>
        <v>527.28000000000009</v>
      </c>
      <c r="P137" s="14"/>
    </row>
    <row r="138" spans="1:16" x14ac:dyDescent="0.25">
      <c r="A138" s="91" t="str">
        <f t="shared" si="9"/>
        <v>09</v>
      </c>
      <c r="B138" s="92" t="s">
        <v>329</v>
      </c>
      <c r="C138" s="91" t="str">
        <f>VLOOKUP(B138,Table4[],2,FALSE)</f>
        <v xml:space="preserve"> Kulina Lasteaed</v>
      </c>
      <c r="D138" s="95" t="str">
        <f>VLOOKUP(Table110[[#This Row],[Tegevusala]],Table4[[Tegevusala kood]:[Tegevusala alanimetus]],4,FALSE)</f>
        <v>Alusharidus</v>
      </c>
      <c r="E138" s="91" t="str">
        <f>VLOOKUP(C138,Table4[[Tegevusala nimetus]:[Tegevusala koondnimetus]],2,FALSE)</f>
        <v>Haridus</v>
      </c>
      <c r="F138" s="91" t="s">
        <v>1314</v>
      </c>
      <c r="G138" s="91" t="s">
        <v>1309</v>
      </c>
      <c r="H138" s="91">
        <v>0.5</v>
      </c>
      <c r="I138" s="91"/>
      <c r="J138" s="91">
        <v>584</v>
      </c>
      <c r="K138" s="91">
        <f t="shared" si="10"/>
        <v>292</v>
      </c>
      <c r="L138" s="91">
        <v>12</v>
      </c>
      <c r="M138" s="91"/>
      <c r="N138" s="93">
        <f>(K138*Table110[[#This Row],[Ühik2]])+M138</f>
        <v>3504</v>
      </c>
      <c r="O138" s="93">
        <f>Table110[[#This Row],[2020. EA ]]*0.338</f>
        <v>1184.3520000000001</v>
      </c>
      <c r="P138" s="91"/>
    </row>
    <row r="139" spans="1:16" x14ac:dyDescent="0.25">
      <c r="A139" s="14" t="str">
        <f t="shared" si="9"/>
        <v>09</v>
      </c>
      <c r="B139" t="s">
        <v>329</v>
      </c>
      <c r="C139" s="14" t="str">
        <f>VLOOKUP(B139,Table4[],2,FALSE)</f>
        <v xml:space="preserve"> Kulina Lasteaed</v>
      </c>
      <c r="D139" s="39" t="str">
        <f>VLOOKUP(Table110[[#This Row],[Tegevusala]],Table4[[Tegevusala kood]:[Tegevusala alanimetus]],4,FALSE)</f>
        <v>Alusharidus</v>
      </c>
      <c r="E139" s="14" t="str">
        <f>VLOOKUP(C139,Table4[[Tegevusala nimetus]:[Tegevusala koondnimetus]],2,FALSE)</f>
        <v>Haridus</v>
      </c>
      <c r="F139" s="14" t="s">
        <v>1314</v>
      </c>
      <c r="G139" s="14" t="s">
        <v>484</v>
      </c>
      <c r="H139" s="14">
        <v>1</v>
      </c>
      <c r="I139" s="14"/>
      <c r="J139" s="14">
        <v>652</v>
      </c>
      <c r="K139" s="14">
        <f t="shared" si="10"/>
        <v>652</v>
      </c>
      <c r="L139" s="14">
        <v>12</v>
      </c>
      <c r="M139" s="14"/>
      <c r="N139" s="44">
        <f>(K139*Table110[[#This Row],[Ühik2]])+M139</f>
        <v>7824</v>
      </c>
      <c r="O139" s="44">
        <f>Table110[[#This Row],[2020. EA ]]*0.338</f>
        <v>2644.5120000000002</v>
      </c>
      <c r="P139" s="14"/>
    </row>
    <row r="140" spans="1:16" x14ac:dyDescent="0.25">
      <c r="A140" s="91" t="str">
        <f t="shared" si="9"/>
        <v>09</v>
      </c>
      <c r="B140" s="92" t="s">
        <v>329</v>
      </c>
      <c r="C140" s="91" t="str">
        <f>VLOOKUP(B140,Table4[],2,FALSE)</f>
        <v xml:space="preserve"> Kulina Lasteaed</v>
      </c>
      <c r="D140" s="95" t="str">
        <f>VLOOKUP(Table110[[#This Row],[Tegevusala]],Table4[[Tegevusala kood]:[Tegevusala alanimetus]],4,FALSE)</f>
        <v>Alusharidus</v>
      </c>
      <c r="E140" s="91" t="str">
        <f>VLOOKUP(C140,Table4[[Tegevusala nimetus]:[Tegevusala koondnimetus]],2,FALSE)</f>
        <v>Haridus</v>
      </c>
      <c r="F140" s="91" t="s">
        <v>1314</v>
      </c>
      <c r="G140" s="91" t="s">
        <v>1310</v>
      </c>
      <c r="H140" s="91">
        <v>1</v>
      </c>
      <c r="I140" s="91"/>
      <c r="J140" s="91">
        <v>584</v>
      </c>
      <c r="K140" s="91">
        <f t="shared" si="10"/>
        <v>584</v>
      </c>
      <c r="L140" s="91">
        <v>12</v>
      </c>
      <c r="M140" s="91"/>
      <c r="N140" s="93">
        <f>(K140*Table110[[#This Row],[Ühik2]])+M140</f>
        <v>7008</v>
      </c>
      <c r="O140" s="93">
        <f>Table110[[#This Row],[2020. EA ]]*0.338</f>
        <v>2368.7040000000002</v>
      </c>
      <c r="P140" s="91"/>
    </row>
    <row r="141" spans="1:16" x14ac:dyDescent="0.25">
      <c r="A141" s="14" t="str">
        <f t="shared" si="9"/>
        <v>09</v>
      </c>
      <c r="B141" t="s">
        <v>329</v>
      </c>
      <c r="C141" s="14" t="str">
        <f>VLOOKUP(B141,Table4[],2,FALSE)</f>
        <v xml:space="preserve"> Kulina Lasteaed</v>
      </c>
      <c r="D141" s="39" t="str">
        <f>VLOOKUP(Table110[[#This Row],[Tegevusala]],Table4[[Tegevusala kood]:[Tegevusala alanimetus]],4,FALSE)</f>
        <v>Alusharidus</v>
      </c>
      <c r="E141" s="14" t="str">
        <f>VLOOKUP(C141,Table4[[Tegevusala nimetus]:[Tegevusala koondnimetus]],2,FALSE)</f>
        <v>Haridus</v>
      </c>
      <c r="F141" s="14" t="s">
        <v>1314</v>
      </c>
      <c r="G141" s="14" t="s">
        <v>1311</v>
      </c>
      <c r="H141" s="14">
        <v>0.2</v>
      </c>
      <c r="I141" s="14"/>
      <c r="J141" s="14">
        <v>1315</v>
      </c>
      <c r="K141" s="14">
        <f t="shared" si="10"/>
        <v>263</v>
      </c>
      <c r="L141" s="14">
        <v>12</v>
      </c>
      <c r="M141" s="14"/>
      <c r="N141" s="44">
        <f>(K141*Table110[[#This Row],[Ühik2]])+M141</f>
        <v>3156</v>
      </c>
      <c r="O141" s="44">
        <f>Table110[[#This Row],[2020. EA ]]*0.338</f>
        <v>1066.7280000000001</v>
      </c>
      <c r="P141" s="14"/>
    </row>
    <row r="142" spans="1:16" x14ac:dyDescent="0.25">
      <c r="A142" s="14" t="str">
        <f t="shared" si="9"/>
        <v>09</v>
      </c>
      <c r="B142" t="s">
        <v>329</v>
      </c>
      <c r="C142" s="14" t="str">
        <f>VLOOKUP(B142,Table4[],2,FALSE)</f>
        <v xml:space="preserve"> Kulina Lasteaed</v>
      </c>
      <c r="D142" s="39" t="str">
        <f>VLOOKUP(Table110[[#This Row],[Tegevusala]],Table4[[Tegevusala kood]:[Tegevusala alanimetus]],4,FALSE)</f>
        <v>Alusharidus</v>
      </c>
      <c r="E142" s="14" t="str">
        <f>VLOOKUP(C142,Table4[[Tegevusala nimetus]:[Tegevusala koondnimetus]],2,FALSE)</f>
        <v>Haridus</v>
      </c>
      <c r="F142" s="14" t="s">
        <v>1314</v>
      </c>
      <c r="G142" s="14" t="s">
        <v>935</v>
      </c>
      <c r="H142" s="14">
        <v>1</v>
      </c>
      <c r="I142" s="14" t="s">
        <v>2027</v>
      </c>
      <c r="J142" s="14">
        <v>80</v>
      </c>
      <c r="K142" s="14">
        <f t="shared" si="10"/>
        <v>80</v>
      </c>
      <c r="L142" s="14">
        <v>7</v>
      </c>
      <c r="M142" s="14"/>
      <c r="N142" s="44">
        <f>(K142*Table110[[#This Row],[Ühik2]])+M142</f>
        <v>560</v>
      </c>
      <c r="O142" s="44">
        <f>Table110[[#This Row],[2020. EA ]]*0.338</f>
        <v>189.28</v>
      </c>
      <c r="P142" s="14"/>
    </row>
    <row r="143" spans="1:16" x14ac:dyDescent="0.25">
      <c r="A143" s="14" t="str">
        <f t="shared" si="9"/>
        <v>09</v>
      </c>
      <c r="B143" t="s">
        <v>329</v>
      </c>
      <c r="C143" s="14" t="str">
        <f>VLOOKUP(B143,Table4[],2,FALSE)</f>
        <v xml:space="preserve"> Kulina Lasteaed</v>
      </c>
      <c r="D143" s="39" t="str">
        <f>VLOOKUP(Table110[[#This Row],[Tegevusala]],Table4[[Tegevusala kood]:[Tegevusala alanimetus]],4,FALSE)</f>
        <v>Alusharidus</v>
      </c>
      <c r="E143" s="14" t="str">
        <f>VLOOKUP(C143,Table4[[Tegevusala nimetus]:[Tegevusala koondnimetus]],2,FALSE)</f>
        <v>Haridus</v>
      </c>
      <c r="F143" s="14" t="s">
        <v>1314</v>
      </c>
      <c r="G143" s="14" t="s">
        <v>1313</v>
      </c>
      <c r="H143" s="14">
        <v>1</v>
      </c>
      <c r="I143" s="14"/>
      <c r="J143" s="14"/>
      <c r="K143" s="14">
        <f t="shared" si="10"/>
        <v>0</v>
      </c>
      <c r="L143" s="14">
        <v>1</v>
      </c>
      <c r="M143" s="14">
        <v>1700</v>
      </c>
      <c r="N143" s="44">
        <f>(K143*Table110[[#This Row],[Ühik2]])+M143</f>
        <v>1700</v>
      </c>
      <c r="O143" s="44">
        <f>Table110[[#This Row],[2020. EA ]]*0.338</f>
        <v>574.6</v>
      </c>
      <c r="P143" s="14"/>
    </row>
    <row r="144" spans="1:16" x14ac:dyDescent="0.25">
      <c r="A144" s="14" t="str">
        <f t="shared" si="9"/>
        <v>09</v>
      </c>
      <c r="B144" t="s">
        <v>333</v>
      </c>
      <c r="C144" s="14" t="str">
        <f>VLOOKUP(B144,Table4[],2,FALSE)</f>
        <v xml:space="preserve"> Ulvi Lasteaed</v>
      </c>
      <c r="D144" s="39" t="str">
        <f>VLOOKUP(Table110[[#This Row],[Tegevusala]],Table4[[Tegevusala kood]:[Tegevusala alanimetus]],4,FALSE)</f>
        <v>Alusharidus</v>
      </c>
      <c r="E144" s="14" t="str">
        <f>VLOOKUP(C144,Table4[[Tegevusala nimetus]:[Tegevusala koondnimetus]],2,FALSE)</f>
        <v>Haridus</v>
      </c>
      <c r="F144" s="14" t="s">
        <v>1374</v>
      </c>
      <c r="G144" s="14" t="s">
        <v>1370</v>
      </c>
      <c r="H144" s="14">
        <v>4</v>
      </c>
      <c r="I144" s="14"/>
      <c r="J144" s="14">
        <v>1183.5</v>
      </c>
      <c r="K144" s="14">
        <f t="shared" si="10"/>
        <v>4734</v>
      </c>
      <c r="L144" s="14">
        <v>12</v>
      </c>
      <c r="M144" s="14"/>
      <c r="N144" s="44">
        <f>(K144*Table110[[#This Row],[Ühik2]])+M144</f>
        <v>56808</v>
      </c>
      <c r="O144" s="44">
        <f>Table110[[#This Row],[2020. EA ]]*0.338</f>
        <v>19201.104000000003</v>
      </c>
      <c r="P144" s="14"/>
    </row>
    <row r="145" spans="1:16" x14ac:dyDescent="0.25">
      <c r="A145" s="14" t="str">
        <f t="shared" si="9"/>
        <v>09</v>
      </c>
      <c r="B145" t="s">
        <v>333</v>
      </c>
      <c r="C145" s="14" t="str">
        <f>VLOOKUP(B145,Table4[],2,FALSE)</f>
        <v xml:space="preserve"> Ulvi Lasteaed</v>
      </c>
      <c r="D145" s="39" t="str">
        <f>VLOOKUP(Table110[[#This Row],[Tegevusala]],Table4[[Tegevusala kood]:[Tegevusala alanimetus]],4,FALSE)</f>
        <v>Alusharidus</v>
      </c>
      <c r="E145" s="14" t="str">
        <f>VLOOKUP(C145,Table4[[Tegevusala nimetus]:[Tegevusala koondnimetus]],2,FALSE)</f>
        <v>Haridus</v>
      </c>
      <c r="F145" s="14" t="s">
        <v>1374</v>
      </c>
      <c r="G145" s="14" t="s">
        <v>1371</v>
      </c>
      <c r="H145" s="14">
        <v>2</v>
      </c>
      <c r="I145" s="14"/>
      <c r="J145" s="14">
        <v>630</v>
      </c>
      <c r="K145" s="14">
        <f t="shared" si="10"/>
        <v>1260</v>
      </c>
      <c r="L145" s="14">
        <v>12</v>
      </c>
      <c r="M145" s="14"/>
      <c r="N145" s="44">
        <f>(K145*Table110[[#This Row],[Ühik2]])+M145</f>
        <v>15120</v>
      </c>
      <c r="O145" s="44">
        <f>Table110[[#This Row],[2020. EA ]]*0.338</f>
        <v>5110.5600000000004</v>
      </c>
      <c r="P145" s="14"/>
    </row>
    <row r="146" spans="1:16" x14ac:dyDescent="0.25">
      <c r="A146" s="14" t="str">
        <f t="shared" si="9"/>
        <v>09</v>
      </c>
      <c r="B146" t="s">
        <v>333</v>
      </c>
      <c r="C146" s="14" t="str">
        <f>VLOOKUP(B146,Table4[],2,FALSE)</f>
        <v xml:space="preserve"> Ulvi Lasteaed</v>
      </c>
      <c r="D146" s="39" t="str">
        <f>VLOOKUP(Table110[[#This Row],[Tegevusala]],Table4[[Tegevusala kood]:[Tegevusala alanimetus]],4,FALSE)</f>
        <v>Alusharidus</v>
      </c>
      <c r="E146" s="14" t="str">
        <f>VLOOKUP(C146,Table4[[Tegevusala nimetus]:[Tegevusala koondnimetus]],2,FALSE)</f>
        <v>Haridus</v>
      </c>
      <c r="F146" s="14" t="s">
        <v>1374</v>
      </c>
      <c r="G146" s="14" t="s">
        <v>1267</v>
      </c>
      <c r="H146" s="14">
        <v>0.15</v>
      </c>
      <c r="I146" s="14"/>
      <c r="J146" s="14">
        <v>973.5</v>
      </c>
      <c r="K146" s="14">
        <f t="shared" si="10"/>
        <v>146.02500000000001</v>
      </c>
      <c r="L146" s="14">
        <v>12</v>
      </c>
      <c r="M146" s="14"/>
      <c r="N146" s="44">
        <f>(K146*Table110[[#This Row],[Ühik2]])+M146</f>
        <v>1752.3000000000002</v>
      </c>
      <c r="O146" s="44">
        <f>Table110[[#This Row],[2020. EA ]]*0.338</f>
        <v>592.27740000000006</v>
      </c>
      <c r="P146" s="14"/>
    </row>
    <row r="147" spans="1:16" x14ac:dyDescent="0.25">
      <c r="A147" s="14" t="str">
        <f t="shared" si="9"/>
        <v>09</v>
      </c>
      <c r="B147" t="s">
        <v>333</v>
      </c>
      <c r="C147" s="14" t="str">
        <f>VLOOKUP(B147,Table4[],2,FALSE)</f>
        <v xml:space="preserve"> Ulvi Lasteaed</v>
      </c>
      <c r="D147" s="39" t="str">
        <f>VLOOKUP(Table110[[#This Row],[Tegevusala]],Table4[[Tegevusala kood]:[Tegevusala alanimetus]],4,FALSE)</f>
        <v>Alusharidus</v>
      </c>
      <c r="E147" s="14" t="str">
        <f>VLOOKUP(C147,Table4[[Tegevusala nimetus]:[Tegevusala koondnimetus]],2,FALSE)</f>
        <v>Haridus</v>
      </c>
      <c r="F147" s="14" t="s">
        <v>1374</v>
      </c>
      <c r="G147" s="14" t="s">
        <v>484</v>
      </c>
      <c r="H147" s="14">
        <v>1</v>
      </c>
      <c r="I147" s="14"/>
      <c r="J147" s="14">
        <v>648</v>
      </c>
      <c r="K147" s="14">
        <f t="shared" si="10"/>
        <v>648</v>
      </c>
      <c r="L147" s="14">
        <v>12</v>
      </c>
      <c r="M147" s="14"/>
      <c r="N147" s="44">
        <f>(K147*Table110[[#This Row],[Ühik2]])+M147</f>
        <v>7776</v>
      </c>
      <c r="O147" s="44">
        <f>Table110[[#This Row],[2020. EA ]]*0.338</f>
        <v>2628.288</v>
      </c>
      <c r="P147" s="14"/>
    </row>
    <row r="148" spans="1:16" x14ac:dyDescent="0.25">
      <c r="A148" s="91" t="str">
        <f t="shared" si="9"/>
        <v>09</v>
      </c>
      <c r="B148" s="92" t="s">
        <v>333</v>
      </c>
      <c r="C148" s="91" t="str">
        <f>VLOOKUP(B148,Table4[],2,FALSE)</f>
        <v xml:space="preserve"> Ulvi Lasteaed</v>
      </c>
      <c r="D148" s="95" t="str">
        <f>VLOOKUP(Table110[[#This Row],[Tegevusala]],Table4[[Tegevusala kood]:[Tegevusala alanimetus]],4,FALSE)</f>
        <v>Alusharidus</v>
      </c>
      <c r="E148" s="91" t="str">
        <f>VLOOKUP(C148,Table4[[Tegevusala nimetus]:[Tegevusala koondnimetus]],2,FALSE)</f>
        <v>Haridus</v>
      </c>
      <c r="F148" s="91" t="s">
        <v>1374</v>
      </c>
      <c r="G148" s="91" t="s">
        <v>1372</v>
      </c>
      <c r="H148" s="91">
        <v>0.5</v>
      </c>
      <c r="I148" s="91"/>
      <c r="J148" s="91">
        <v>324</v>
      </c>
      <c r="K148" s="91">
        <f t="shared" si="10"/>
        <v>162</v>
      </c>
      <c r="L148" s="91">
        <v>12</v>
      </c>
      <c r="M148" s="91"/>
      <c r="N148" s="93">
        <f>(K148*Table110[[#This Row],[Ühik2]])+M148</f>
        <v>1944</v>
      </c>
      <c r="O148" s="93">
        <f>Table110[[#This Row],[2020. EA ]]*0.338</f>
        <v>657.072</v>
      </c>
      <c r="P148" s="91"/>
    </row>
    <row r="149" spans="1:16" x14ac:dyDescent="0.25">
      <c r="A149" s="91" t="str">
        <f t="shared" si="9"/>
        <v>09</v>
      </c>
      <c r="B149" s="92" t="s">
        <v>333</v>
      </c>
      <c r="C149" s="91" t="str">
        <f>VLOOKUP(B149,Table4[],2,FALSE)</f>
        <v xml:space="preserve"> Ulvi Lasteaed</v>
      </c>
      <c r="D149" s="95" t="str">
        <f>VLOOKUP(Table110[[#This Row],[Tegevusala]],Table4[[Tegevusala kood]:[Tegevusala alanimetus]],4,FALSE)</f>
        <v>Alusharidus</v>
      </c>
      <c r="E149" s="91" t="str">
        <f>VLOOKUP(C149,Table4[[Tegevusala nimetus]:[Tegevusala koondnimetus]],2,FALSE)</f>
        <v>Haridus</v>
      </c>
      <c r="F149" s="91" t="s">
        <v>1374</v>
      </c>
      <c r="G149" s="91" t="s">
        <v>479</v>
      </c>
      <c r="H149" s="91">
        <v>0.25</v>
      </c>
      <c r="I149" s="91"/>
      <c r="J149" s="91">
        <v>584</v>
      </c>
      <c r="K149" s="91">
        <f t="shared" si="10"/>
        <v>146</v>
      </c>
      <c r="L149" s="91">
        <v>12</v>
      </c>
      <c r="M149" s="91">
        <v>1620</v>
      </c>
      <c r="N149" s="93">
        <f>(K149*Table110[[#This Row],[Ühik2]])+M149</f>
        <v>3372</v>
      </c>
      <c r="O149" s="93">
        <f>Table110[[#This Row],[2020. EA ]]*0.338</f>
        <v>1139.7360000000001</v>
      </c>
      <c r="P149" s="91" t="s">
        <v>1373</v>
      </c>
    </row>
    <row r="150" spans="1:16" x14ac:dyDescent="0.25">
      <c r="A150" s="91" t="str">
        <f t="shared" si="9"/>
        <v>09</v>
      </c>
      <c r="B150" s="92" t="s">
        <v>345</v>
      </c>
      <c r="C150" s="91" t="str">
        <f>VLOOKUP(B150,Table4[],2,FALSE)</f>
        <v xml:space="preserve"> Vinni pajusti Gümnaasium</v>
      </c>
      <c r="D150" s="95" t="str">
        <f>VLOOKUP(Table110[[#This Row],[Tegevusala]],Table4[[Tegevusala kood]:[Tegevusala alanimetus]],4,FALSE)</f>
        <v>Põhihariduse otsekulud</v>
      </c>
      <c r="E150" s="91" t="str">
        <f>VLOOKUP(C150,Table4[[Tegevusala nimetus]:[Tegevusala koondnimetus]],2,FALSE)</f>
        <v>Haridus</v>
      </c>
      <c r="F150" s="91" t="s">
        <v>1449</v>
      </c>
      <c r="G150" s="91" t="s">
        <v>238</v>
      </c>
      <c r="H150" s="91">
        <v>0.25</v>
      </c>
      <c r="I150" s="91"/>
      <c r="J150" s="91">
        <v>584</v>
      </c>
      <c r="K150" s="91">
        <f t="shared" si="10"/>
        <v>146</v>
      </c>
      <c r="L150" s="91">
        <v>12</v>
      </c>
      <c r="M150" s="91"/>
      <c r="N150" s="93">
        <f>(K150*Table110[[#This Row],[Ühik2]])+M150</f>
        <v>1752</v>
      </c>
      <c r="O150" s="93">
        <f>Table110[[#This Row],[2020. EA ]]*0.338</f>
        <v>592.17600000000004</v>
      </c>
      <c r="P150" s="91"/>
    </row>
    <row r="151" spans="1:16" x14ac:dyDescent="0.25">
      <c r="A151" s="14" t="str">
        <f t="shared" si="9"/>
        <v>09</v>
      </c>
      <c r="B151" t="s">
        <v>345</v>
      </c>
      <c r="C151" s="14" t="str">
        <f>VLOOKUP(B151,Table4[],2,FALSE)</f>
        <v xml:space="preserve"> Vinni pajusti Gümnaasium</v>
      </c>
      <c r="D151" s="39" t="str">
        <f>VLOOKUP(Table110[[#This Row],[Tegevusala]],Table4[[Tegevusala kood]:[Tegevusala alanimetus]],4,FALSE)</f>
        <v>Põhihariduse otsekulud</v>
      </c>
      <c r="E151" s="14" t="str">
        <f>VLOOKUP(C151,Table4[[Tegevusala nimetus]:[Tegevusala koondnimetus]],2,FALSE)</f>
        <v>Haridus</v>
      </c>
      <c r="F151" s="14" t="s">
        <v>1449</v>
      </c>
      <c r="G151" s="14" t="s">
        <v>470</v>
      </c>
      <c r="H151" s="14">
        <v>1</v>
      </c>
      <c r="I151" s="14"/>
      <c r="J151" s="14">
        <v>1315</v>
      </c>
      <c r="K151" s="14">
        <f t="shared" si="10"/>
        <v>1315</v>
      </c>
      <c r="L151" s="14">
        <v>12</v>
      </c>
      <c r="M151" s="14"/>
      <c r="N151" s="44">
        <f>(K151*Table110[[#This Row],[Ühik2]])+M151</f>
        <v>15780</v>
      </c>
      <c r="O151" s="44">
        <f>Table110[[#This Row],[2020. EA ]]*0.338</f>
        <v>5333.64</v>
      </c>
      <c r="P151" s="14"/>
    </row>
    <row r="152" spans="1:16" x14ac:dyDescent="0.25">
      <c r="A152" s="91" t="str">
        <f t="shared" si="9"/>
        <v>09</v>
      </c>
      <c r="B152" s="92" t="s">
        <v>345</v>
      </c>
      <c r="C152" s="91" t="str">
        <f>VLOOKUP(B152,Table4[],2,FALSE)</f>
        <v xml:space="preserve"> Vinni pajusti Gümnaasium</v>
      </c>
      <c r="D152" s="95" t="str">
        <f>VLOOKUP(Table110[[#This Row],[Tegevusala]],Table4[[Tegevusala kood]:[Tegevusala alanimetus]],4,FALSE)</f>
        <v>Põhihariduse otsekulud</v>
      </c>
      <c r="E152" s="91" t="str">
        <f>VLOOKUP(C152,Table4[[Tegevusala nimetus]:[Tegevusala koondnimetus]],2,FALSE)</f>
        <v>Haridus</v>
      </c>
      <c r="F152" s="91" t="s">
        <v>1449</v>
      </c>
      <c r="G152" s="91" t="s">
        <v>2213</v>
      </c>
      <c r="H152" s="91">
        <v>1</v>
      </c>
      <c r="I152" s="91"/>
      <c r="J152" s="91">
        <v>1450</v>
      </c>
      <c r="K152" s="91">
        <f t="shared" si="10"/>
        <v>1450</v>
      </c>
      <c r="L152" s="91">
        <v>12</v>
      </c>
      <c r="M152" s="91"/>
      <c r="N152" s="93">
        <f>(K152*Table110[[#This Row],[Ühik2]])+M152</f>
        <v>17400</v>
      </c>
      <c r="O152" s="93">
        <f>Table110[[#This Row],[2020. EA ]]*0.338</f>
        <v>5881.2000000000007</v>
      </c>
      <c r="P152" s="91"/>
    </row>
    <row r="153" spans="1:16" x14ac:dyDescent="0.25">
      <c r="A153" s="14" t="str">
        <f t="shared" si="9"/>
        <v>09</v>
      </c>
      <c r="B153" t="s">
        <v>345</v>
      </c>
      <c r="C153" s="14" t="str">
        <f>VLOOKUP(B153,Table4[],2,FALSE)</f>
        <v xml:space="preserve"> Vinni pajusti Gümnaasium</v>
      </c>
      <c r="D153" s="39" t="str">
        <f>VLOOKUP(Table110[[#This Row],[Tegevusala]],Table4[[Tegevusala kood]:[Tegevusala alanimetus]],4,FALSE)</f>
        <v>Põhihariduse otsekulud</v>
      </c>
      <c r="E153" s="14" t="str">
        <f>VLOOKUP(C153,Table4[[Tegevusala nimetus]:[Tegevusala koondnimetus]],2,FALSE)</f>
        <v>Haridus</v>
      </c>
      <c r="F153" s="14" t="s">
        <v>1449</v>
      </c>
      <c r="G153" s="14" t="s">
        <v>1399</v>
      </c>
      <c r="H153" s="14">
        <v>1</v>
      </c>
      <c r="I153" s="14"/>
      <c r="J153" s="14">
        <v>1315</v>
      </c>
      <c r="K153" s="14">
        <f t="shared" si="10"/>
        <v>1315</v>
      </c>
      <c r="L153" s="14">
        <v>12</v>
      </c>
      <c r="M153" s="14"/>
      <c r="N153" s="44">
        <f>(K153*Table110[[#This Row],[Ühik2]])+M153</f>
        <v>15780</v>
      </c>
      <c r="O153" s="44">
        <f>Table110[[#This Row],[2020. EA ]]*0.338</f>
        <v>5333.64</v>
      </c>
      <c r="P153" s="14"/>
    </row>
    <row r="154" spans="1:16" x14ac:dyDescent="0.25">
      <c r="A154" s="14" t="str">
        <f t="shared" si="9"/>
        <v>09</v>
      </c>
      <c r="B154" t="s">
        <v>345</v>
      </c>
      <c r="C154" s="14" t="str">
        <f>VLOOKUP(B154,Table4[],2,FALSE)</f>
        <v xml:space="preserve"> Vinni pajusti Gümnaasium</v>
      </c>
      <c r="D154" s="39" t="str">
        <f>VLOOKUP(Table110[[#This Row],[Tegevusala]],Table4[[Tegevusala kood]:[Tegevusala alanimetus]],4,FALSE)</f>
        <v>Põhihariduse otsekulud</v>
      </c>
      <c r="E154" s="14" t="str">
        <f>VLOOKUP(C154,Table4[[Tegevusala nimetus]:[Tegevusala koondnimetus]],2,FALSE)</f>
        <v>Haridus</v>
      </c>
      <c r="F154" s="14" t="s">
        <v>1449</v>
      </c>
      <c r="G154" s="14" t="s">
        <v>1400</v>
      </c>
      <c r="H154" s="14">
        <v>0.5</v>
      </c>
      <c r="I154" s="14"/>
      <c r="J154" s="14">
        <v>700</v>
      </c>
      <c r="K154" s="14">
        <f t="shared" si="10"/>
        <v>350</v>
      </c>
      <c r="L154" s="14">
        <v>4</v>
      </c>
      <c r="M154" s="14"/>
      <c r="N154" s="44">
        <f>(K154*Table110[[#This Row],[Ühik2]])+M154</f>
        <v>1400</v>
      </c>
      <c r="O154" s="44">
        <f>Table110[[#This Row],[2020. EA ]]*0.338</f>
        <v>473.20000000000005</v>
      </c>
      <c r="P154" s="14" t="s">
        <v>2214</v>
      </c>
    </row>
    <row r="155" spans="1:16" x14ac:dyDescent="0.25">
      <c r="A155" s="14" t="str">
        <f t="shared" si="9"/>
        <v>09</v>
      </c>
      <c r="B155" t="s">
        <v>345</v>
      </c>
      <c r="C155" s="14" t="str">
        <f>VLOOKUP(B155,Table4[],2,FALSE)</f>
        <v xml:space="preserve"> Vinni pajusti Gümnaasium</v>
      </c>
      <c r="D155" s="39" t="str">
        <f>VLOOKUP(Table110[[#This Row],[Tegevusala]],Table4[[Tegevusala kood]:[Tegevusala alanimetus]],4,FALSE)</f>
        <v>Põhihariduse otsekulud</v>
      </c>
      <c r="E155" s="14" t="str">
        <f>VLOOKUP(C155,Table4[[Tegevusala nimetus]:[Tegevusala koondnimetus]],2,FALSE)</f>
        <v>Haridus</v>
      </c>
      <c r="F155" s="14" t="s">
        <v>1449</v>
      </c>
      <c r="G155" s="14" t="s">
        <v>484</v>
      </c>
      <c r="H155" s="14">
        <v>1</v>
      </c>
      <c r="I155" s="14"/>
      <c r="J155" s="14">
        <v>770</v>
      </c>
      <c r="K155" s="14">
        <f t="shared" si="10"/>
        <v>770</v>
      </c>
      <c r="L155" s="14">
        <v>12</v>
      </c>
      <c r="M155" s="14"/>
      <c r="N155" s="44">
        <f>(K155*Table110[[#This Row],[Ühik2]])+M155</f>
        <v>9240</v>
      </c>
      <c r="O155" s="44">
        <f>Table110[[#This Row],[2020. EA ]]*0.338</f>
        <v>3123.1200000000003</v>
      </c>
      <c r="P155" s="14"/>
    </row>
    <row r="156" spans="1:16" x14ac:dyDescent="0.25">
      <c r="A156" s="14" t="str">
        <f t="shared" si="9"/>
        <v>09</v>
      </c>
      <c r="B156" t="s">
        <v>345</v>
      </c>
      <c r="C156" s="14" t="str">
        <f>VLOOKUP(B156,Table4[],2,FALSE)</f>
        <v xml:space="preserve"> Vinni pajusti Gümnaasium</v>
      </c>
      <c r="D156" s="39" t="str">
        <f>VLOOKUP(Table110[[#This Row],[Tegevusala]],Table4[[Tegevusala kood]:[Tegevusala alanimetus]],4,FALSE)</f>
        <v>Põhihariduse otsekulud</v>
      </c>
      <c r="E156" s="14" t="str">
        <f>VLOOKUP(C156,Table4[[Tegevusala nimetus]:[Tegevusala koondnimetus]],2,FALSE)</f>
        <v>Haridus</v>
      </c>
      <c r="F156" s="14" t="s">
        <v>1449</v>
      </c>
      <c r="G156" s="14" t="s">
        <v>1401</v>
      </c>
      <c r="H156" s="14">
        <v>0.5</v>
      </c>
      <c r="I156" s="14"/>
      <c r="J156" s="14">
        <v>650</v>
      </c>
      <c r="K156" s="14">
        <f t="shared" si="10"/>
        <v>325</v>
      </c>
      <c r="L156" s="14">
        <v>12</v>
      </c>
      <c r="M156" s="14"/>
      <c r="N156" s="44">
        <f>(K156*Table110[[#This Row],[Ühik2]])+M156</f>
        <v>3900</v>
      </c>
      <c r="O156" s="44">
        <f>Table110[[#This Row],[2020. EA ]]*0.338</f>
        <v>1318.2</v>
      </c>
      <c r="P156" s="14"/>
    </row>
    <row r="157" spans="1:16" x14ac:dyDescent="0.25">
      <c r="A157" s="91" t="str">
        <f t="shared" si="9"/>
        <v>09</v>
      </c>
      <c r="B157" s="92" t="s">
        <v>345</v>
      </c>
      <c r="C157" s="91" t="str">
        <f>VLOOKUP(B157,Table4[],2,FALSE)</f>
        <v xml:space="preserve"> Vinni pajusti Gümnaasium</v>
      </c>
      <c r="D157" s="95" t="str">
        <f>VLOOKUP(Table110[[#This Row],[Tegevusala]],Table4[[Tegevusala kood]:[Tegevusala alanimetus]],4,FALSE)</f>
        <v>Põhihariduse otsekulud</v>
      </c>
      <c r="E157" s="91" t="str">
        <f>VLOOKUP(C157,Table4[[Tegevusala nimetus]:[Tegevusala koondnimetus]],2,FALSE)</f>
        <v>Haridus</v>
      </c>
      <c r="F157" s="91" t="s">
        <v>1449</v>
      </c>
      <c r="G157" s="91" t="s">
        <v>1402</v>
      </c>
      <c r="H157" s="91">
        <v>6</v>
      </c>
      <c r="I157" s="91"/>
      <c r="J157" s="91">
        <v>584</v>
      </c>
      <c r="K157" s="91">
        <f t="shared" si="10"/>
        <v>3504</v>
      </c>
      <c r="L157" s="91">
        <v>12</v>
      </c>
      <c r="M157" s="91"/>
      <c r="N157" s="93">
        <f>(K157*Table110[[#This Row],[Ühik2]])+M157</f>
        <v>42048</v>
      </c>
      <c r="O157" s="93">
        <f>Table110[[#This Row],[2020. EA ]]*0.338</f>
        <v>14212.224</v>
      </c>
      <c r="P157" s="91"/>
    </row>
    <row r="158" spans="1:16" x14ac:dyDescent="0.25">
      <c r="A158" s="14" t="str">
        <f t="shared" si="9"/>
        <v>09</v>
      </c>
      <c r="B158" t="s">
        <v>345</v>
      </c>
      <c r="C158" s="14" t="str">
        <f>VLOOKUP(B158,Table4[],2,FALSE)</f>
        <v xml:space="preserve"> Vinni pajusti Gümnaasium</v>
      </c>
      <c r="D158" s="39" t="str">
        <f>VLOOKUP(Table110[[#This Row],[Tegevusala]],Table4[[Tegevusala kood]:[Tegevusala alanimetus]],4,FALSE)</f>
        <v>Põhihariduse otsekulud</v>
      </c>
      <c r="E158" s="14" t="str">
        <f>VLOOKUP(C158,Table4[[Tegevusala nimetus]:[Tegevusala koondnimetus]],2,FALSE)</f>
        <v>Haridus</v>
      </c>
      <c r="F158" s="14" t="s">
        <v>1449</v>
      </c>
      <c r="G158" s="14" t="s">
        <v>486</v>
      </c>
      <c r="H158" s="14">
        <v>2</v>
      </c>
      <c r="I158" s="14"/>
      <c r="J158" s="14">
        <v>590</v>
      </c>
      <c r="K158" s="14">
        <f t="shared" si="10"/>
        <v>1180</v>
      </c>
      <c r="L158" s="14">
        <v>12</v>
      </c>
      <c r="M158" s="14"/>
      <c r="N158" s="44">
        <f>(K158*Table110[[#This Row],[Ühik2]])+M158</f>
        <v>14160</v>
      </c>
      <c r="O158" s="44">
        <f>Table110[[#This Row],[2020. EA ]]*0.338</f>
        <v>4786.08</v>
      </c>
      <c r="P158" s="14"/>
    </row>
    <row r="159" spans="1:16" x14ac:dyDescent="0.25">
      <c r="A159" s="91" t="str">
        <f t="shared" si="9"/>
        <v>09</v>
      </c>
      <c r="B159" s="92" t="s">
        <v>345</v>
      </c>
      <c r="C159" s="91" t="str">
        <f>VLOOKUP(B159,Table4[],2,FALSE)</f>
        <v xml:space="preserve"> Vinni pajusti Gümnaasium</v>
      </c>
      <c r="D159" s="95" t="str">
        <f>VLOOKUP(Table110[[#This Row],[Tegevusala]],Table4[[Tegevusala kood]:[Tegevusala alanimetus]],4,FALSE)</f>
        <v>Põhihariduse otsekulud</v>
      </c>
      <c r="E159" s="91" t="str">
        <f>VLOOKUP(C159,Table4[[Tegevusala nimetus]:[Tegevusala koondnimetus]],2,FALSE)</f>
        <v>Haridus</v>
      </c>
      <c r="F159" s="91" t="s">
        <v>1449</v>
      </c>
      <c r="G159" s="91" t="s">
        <v>1403</v>
      </c>
      <c r="H159" s="91">
        <v>0.12</v>
      </c>
      <c r="I159" s="91"/>
      <c r="J159" s="91">
        <v>584</v>
      </c>
      <c r="K159" s="91">
        <f t="shared" si="10"/>
        <v>70.08</v>
      </c>
      <c r="L159" s="91">
        <v>12</v>
      </c>
      <c r="M159" s="91"/>
      <c r="N159" s="93">
        <f>(K159*Table110[[#This Row],[Ühik2]])+M159</f>
        <v>840.96</v>
      </c>
      <c r="O159" s="93">
        <f>Table110[[#This Row],[2020. EA ]]*0.338</f>
        <v>284.24448000000001</v>
      </c>
      <c r="P159" s="91"/>
    </row>
    <row r="160" spans="1:16" x14ac:dyDescent="0.25">
      <c r="A160" s="91" t="str">
        <f t="shared" si="9"/>
        <v>09</v>
      </c>
      <c r="B160" s="92" t="s">
        <v>345</v>
      </c>
      <c r="C160" s="91" t="str">
        <f>VLOOKUP(B160,Table4[],2,FALSE)</f>
        <v xml:space="preserve"> Vinni pajusti Gümnaasium</v>
      </c>
      <c r="D160" s="95" t="str">
        <f>VLOOKUP(Table110[[#This Row],[Tegevusala]],Table4[[Tegevusala kood]:[Tegevusala alanimetus]],4,FALSE)</f>
        <v>Põhihariduse otsekulud</v>
      </c>
      <c r="E160" s="91" t="str">
        <f>VLOOKUP(C160,Table4[[Tegevusala nimetus]:[Tegevusala koondnimetus]],2,FALSE)</f>
        <v>Haridus</v>
      </c>
      <c r="F160" s="91" t="s">
        <v>1449</v>
      </c>
      <c r="G160" s="91" t="s">
        <v>1403</v>
      </c>
      <c r="H160" s="91">
        <v>0.13</v>
      </c>
      <c r="I160" s="91"/>
      <c r="J160" s="91">
        <v>584</v>
      </c>
      <c r="K160" s="91">
        <f t="shared" si="10"/>
        <v>75.92</v>
      </c>
      <c r="L160" s="91">
        <v>12</v>
      </c>
      <c r="M160" s="91"/>
      <c r="N160" s="93">
        <f>(K160*Table110[[#This Row],[Ühik2]])+M160</f>
        <v>911.04</v>
      </c>
      <c r="O160" s="93">
        <f>Table110[[#This Row],[2020. EA ]]*0.338</f>
        <v>307.93152000000003</v>
      </c>
      <c r="P160" s="91"/>
    </row>
    <row r="161" spans="1:16" x14ac:dyDescent="0.25">
      <c r="A161" s="91" t="str">
        <f t="shared" si="9"/>
        <v>09</v>
      </c>
      <c r="B161" s="92" t="s">
        <v>345</v>
      </c>
      <c r="C161" s="91" t="str">
        <f>VLOOKUP(B161,Table4[],2,FALSE)</f>
        <v xml:space="preserve"> Vinni pajusti Gümnaasium</v>
      </c>
      <c r="D161" s="95" t="str">
        <f>VLOOKUP(Table110[[#This Row],[Tegevusala]],Table4[[Tegevusala kood]:[Tegevusala alanimetus]],4,FALSE)</f>
        <v>Põhihariduse otsekulud</v>
      </c>
      <c r="E161" s="91" t="str">
        <f>VLOOKUP(C161,Table4[[Tegevusala nimetus]:[Tegevusala koondnimetus]],2,FALSE)</f>
        <v>Haridus</v>
      </c>
      <c r="F161" s="91" t="s">
        <v>1449</v>
      </c>
      <c r="G161" s="91" t="s">
        <v>1403</v>
      </c>
      <c r="H161" s="91">
        <v>0.25</v>
      </c>
      <c r="I161" s="91"/>
      <c r="J161" s="91">
        <v>584</v>
      </c>
      <c r="K161" s="91">
        <f t="shared" si="10"/>
        <v>146</v>
      </c>
      <c r="L161" s="91">
        <v>12</v>
      </c>
      <c r="M161" s="91"/>
      <c r="N161" s="93">
        <f>(K161*Table110[[#This Row],[Ühik2]])+M161</f>
        <v>1752</v>
      </c>
      <c r="O161" s="93">
        <f>Table110[[#This Row],[2020. EA ]]*0.338</f>
        <v>592.17600000000004</v>
      </c>
      <c r="P161" s="91"/>
    </row>
    <row r="162" spans="1:16" x14ac:dyDescent="0.25">
      <c r="A162" s="91" t="str">
        <f t="shared" si="9"/>
        <v>09</v>
      </c>
      <c r="B162" s="92" t="s">
        <v>345</v>
      </c>
      <c r="C162" s="91" t="str">
        <f>VLOOKUP(B162,Table4[],2,FALSE)</f>
        <v xml:space="preserve"> Vinni pajusti Gümnaasium</v>
      </c>
      <c r="D162" s="95" t="str">
        <f>VLOOKUP(Table110[[#This Row],[Tegevusala]],Table4[[Tegevusala kood]:[Tegevusala alanimetus]],4,FALSE)</f>
        <v>Põhihariduse otsekulud</v>
      </c>
      <c r="E162" s="91" t="str">
        <f>VLOOKUP(C162,Table4[[Tegevusala nimetus]:[Tegevusala koondnimetus]],2,FALSE)</f>
        <v>Haridus</v>
      </c>
      <c r="F162" s="91" t="s">
        <v>1449</v>
      </c>
      <c r="G162" s="91" t="s">
        <v>1403</v>
      </c>
      <c r="H162" s="91">
        <v>0.25</v>
      </c>
      <c r="I162" s="91"/>
      <c r="J162" s="91">
        <v>584</v>
      </c>
      <c r="K162" s="91">
        <f t="shared" si="10"/>
        <v>146</v>
      </c>
      <c r="L162" s="91">
        <v>12</v>
      </c>
      <c r="M162" s="91"/>
      <c r="N162" s="93">
        <f>(K162*Table110[[#This Row],[Ühik2]])+M162</f>
        <v>1752</v>
      </c>
      <c r="O162" s="93">
        <f>Table110[[#This Row],[2020. EA ]]*0.338</f>
        <v>592.17600000000004</v>
      </c>
      <c r="P162" s="91"/>
    </row>
    <row r="163" spans="1:16" x14ac:dyDescent="0.25">
      <c r="A163" s="91" t="str">
        <f t="shared" si="9"/>
        <v>09</v>
      </c>
      <c r="B163" s="92" t="s">
        <v>345</v>
      </c>
      <c r="C163" s="91" t="str">
        <f>VLOOKUP(B163,Table4[],2,FALSE)</f>
        <v xml:space="preserve"> Vinni pajusti Gümnaasium</v>
      </c>
      <c r="D163" s="95" t="str">
        <f>VLOOKUP(Table110[[#This Row],[Tegevusala]],Table4[[Tegevusala kood]:[Tegevusala alanimetus]],4,FALSE)</f>
        <v>Põhihariduse otsekulud</v>
      </c>
      <c r="E163" s="91" t="str">
        <f>VLOOKUP(C163,Table4[[Tegevusala nimetus]:[Tegevusala koondnimetus]],2,FALSE)</f>
        <v>Haridus</v>
      </c>
      <c r="F163" s="91" t="s">
        <v>1449</v>
      </c>
      <c r="G163" s="91" t="s">
        <v>1403</v>
      </c>
      <c r="H163" s="91">
        <v>1</v>
      </c>
      <c r="I163" s="91"/>
      <c r="J163" s="91">
        <v>584</v>
      </c>
      <c r="K163" s="91">
        <f t="shared" si="10"/>
        <v>584</v>
      </c>
      <c r="L163" s="91">
        <v>12</v>
      </c>
      <c r="M163" s="91"/>
      <c r="N163" s="93">
        <f>(K163*Table110[[#This Row],[Ühik2]])+M163</f>
        <v>7008</v>
      </c>
      <c r="O163" s="93">
        <f>Table110[[#This Row],[2020. EA ]]*0.338</f>
        <v>2368.7040000000002</v>
      </c>
      <c r="P163" s="91"/>
    </row>
    <row r="164" spans="1:16" x14ac:dyDescent="0.25">
      <c r="A164" s="91" t="str">
        <f t="shared" si="9"/>
        <v>09</v>
      </c>
      <c r="B164" s="92" t="s">
        <v>345</v>
      </c>
      <c r="C164" s="91" t="str">
        <f>VLOOKUP(B164,Table4[],2,FALSE)</f>
        <v xml:space="preserve"> Vinni pajusti Gümnaasium</v>
      </c>
      <c r="D164" s="95" t="str">
        <f>VLOOKUP(Table110[[#This Row],[Tegevusala]],Table4[[Tegevusala kood]:[Tegevusala alanimetus]],4,FALSE)</f>
        <v>Põhihariduse otsekulud</v>
      </c>
      <c r="E164" s="91" t="str">
        <f>VLOOKUP(C164,Table4[[Tegevusala nimetus]:[Tegevusala koondnimetus]],2,FALSE)</f>
        <v>Haridus</v>
      </c>
      <c r="F164" s="91" t="s">
        <v>1449</v>
      </c>
      <c r="G164" s="91" t="s">
        <v>1404</v>
      </c>
      <c r="H164" s="91">
        <v>1</v>
      </c>
      <c r="I164" s="91"/>
      <c r="J164" s="91">
        <v>584</v>
      </c>
      <c r="K164" s="91">
        <f t="shared" si="10"/>
        <v>584</v>
      </c>
      <c r="L164" s="91">
        <v>12</v>
      </c>
      <c r="M164" s="91"/>
      <c r="N164" s="93">
        <f>(K164*Table110[[#This Row],[Ühik2]])+M164</f>
        <v>7008</v>
      </c>
      <c r="O164" s="93">
        <f>Table110[[#This Row],[2020. EA ]]*0.338</f>
        <v>2368.7040000000002</v>
      </c>
      <c r="P164" s="91"/>
    </row>
    <row r="165" spans="1:16" x14ac:dyDescent="0.25">
      <c r="A165" s="14" t="str">
        <f t="shared" si="9"/>
        <v>09</v>
      </c>
      <c r="B165" t="s">
        <v>345</v>
      </c>
      <c r="C165" s="14" t="str">
        <f>VLOOKUP(B165,Table4[],2,FALSE)</f>
        <v xml:space="preserve"> Vinni pajusti Gümnaasium</v>
      </c>
      <c r="D165" s="39" t="str">
        <f>VLOOKUP(Table110[[#This Row],[Tegevusala]],Table4[[Tegevusala kood]:[Tegevusala alanimetus]],4,FALSE)</f>
        <v>Põhihariduse otsekulud</v>
      </c>
      <c r="E165" s="14" t="str">
        <f>VLOOKUP(C165,Table4[[Tegevusala nimetus]:[Tegevusala koondnimetus]],2,FALSE)</f>
        <v>Haridus</v>
      </c>
      <c r="F165" s="14" t="s">
        <v>1449</v>
      </c>
      <c r="G165" s="14" t="s">
        <v>1311</v>
      </c>
      <c r="H165" s="14">
        <v>0.3</v>
      </c>
      <c r="I165" s="14"/>
      <c r="J165" s="14">
        <v>1315</v>
      </c>
      <c r="K165" s="14">
        <f t="shared" si="10"/>
        <v>394.5</v>
      </c>
      <c r="L165" s="14">
        <v>12</v>
      </c>
      <c r="M165" s="14"/>
      <c r="N165" s="44">
        <f>(K165*Table110[[#This Row],[Ühik2]])+M165</f>
        <v>4734</v>
      </c>
      <c r="O165" s="44">
        <f>Table110[[#This Row],[2020. EA ]]*0.338</f>
        <v>1600.0920000000001</v>
      </c>
      <c r="P165" s="14"/>
    </row>
    <row r="166" spans="1:16" x14ac:dyDescent="0.25">
      <c r="A166" s="14" t="str">
        <f t="shared" si="9"/>
        <v>09</v>
      </c>
      <c r="B166" t="s">
        <v>345</v>
      </c>
      <c r="C166" s="14" t="str">
        <f>VLOOKUP(B166,Table4[],2,FALSE)</f>
        <v xml:space="preserve"> Vinni pajusti Gümnaasium</v>
      </c>
      <c r="D166" s="39" t="str">
        <f>VLOOKUP(Table110[[#This Row],[Tegevusala]],Table4[[Tegevusala kood]:[Tegevusala alanimetus]],4,FALSE)</f>
        <v>Põhihariduse otsekulud</v>
      </c>
      <c r="E166" s="14" t="str">
        <f>VLOOKUP(C166,Table4[[Tegevusala nimetus]:[Tegevusala koondnimetus]],2,FALSE)</f>
        <v>Haridus</v>
      </c>
      <c r="F166" s="14" t="s">
        <v>1449</v>
      </c>
      <c r="G166" s="14" t="s">
        <v>1311</v>
      </c>
      <c r="H166" s="14">
        <v>1</v>
      </c>
      <c r="I166" s="14"/>
      <c r="J166" s="14">
        <v>1450</v>
      </c>
      <c r="K166" s="14">
        <f t="shared" si="10"/>
        <v>1450</v>
      </c>
      <c r="L166" s="14">
        <v>12</v>
      </c>
      <c r="M166" s="14"/>
      <c r="N166" s="44">
        <f>(K166*Table110[[#This Row],[Ühik2]])+M166</f>
        <v>17400</v>
      </c>
      <c r="O166" s="44">
        <f>Table110[[#This Row],[2020. EA ]]*0.338</f>
        <v>5881.2000000000007</v>
      </c>
      <c r="P166" s="14"/>
    </row>
    <row r="167" spans="1:16" x14ac:dyDescent="0.25">
      <c r="A167" s="91" t="str">
        <f t="shared" si="9"/>
        <v>09</v>
      </c>
      <c r="B167" s="92" t="s">
        <v>345</v>
      </c>
      <c r="C167" s="91" t="str">
        <f>VLOOKUP(B167,Table4[],2,FALSE)</f>
        <v xml:space="preserve"> Vinni pajusti Gümnaasium</v>
      </c>
      <c r="D167" s="95" t="str">
        <f>VLOOKUP(Table110[[#This Row],[Tegevusala]],Table4[[Tegevusala kood]:[Tegevusala alanimetus]],4,FALSE)</f>
        <v>Põhihariduse otsekulud</v>
      </c>
      <c r="E167" s="91" t="str">
        <f>VLOOKUP(C167,Table4[[Tegevusala nimetus]:[Tegevusala koondnimetus]],2,FALSE)</f>
        <v>Haridus</v>
      </c>
      <c r="F167" s="91" t="s">
        <v>1449</v>
      </c>
      <c r="G167" s="91" t="s">
        <v>479</v>
      </c>
      <c r="H167" s="91">
        <v>0.5</v>
      </c>
      <c r="I167" s="91"/>
      <c r="J167" s="91">
        <v>584</v>
      </c>
      <c r="K167" s="91">
        <f t="shared" si="10"/>
        <v>292</v>
      </c>
      <c r="L167" s="91">
        <v>12</v>
      </c>
      <c r="M167" s="91"/>
      <c r="N167" s="93">
        <f>(K167*Table110[[#This Row],[Ühik2]])+M167</f>
        <v>3504</v>
      </c>
      <c r="O167" s="93">
        <f>Table110[[#This Row],[2020. EA ]]*0.338</f>
        <v>1184.3520000000001</v>
      </c>
      <c r="P167" s="91"/>
    </row>
    <row r="168" spans="1:16" x14ac:dyDescent="0.25">
      <c r="A168" s="91" t="str">
        <f t="shared" si="9"/>
        <v>09</v>
      </c>
      <c r="B168" s="92" t="s">
        <v>345</v>
      </c>
      <c r="C168" s="91" t="str">
        <f>VLOOKUP(B168,Table4[],2,FALSE)</f>
        <v xml:space="preserve"> Vinni pajusti Gümnaasium</v>
      </c>
      <c r="D168" s="95" t="str">
        <f>VLOOKUP(Table110[[#This Row],[Tegevusala]],Table4[[Tegevusala kood]:[Tegevusala alanimetus]],4,FALSE)</f>
        <v>Põhihariduse otsekulud</v>
      </c>
      <c r="E168" s="91" t="str">
        <f>VLOOKUP(C168,Table4[[Tegevusala nimetus]:[Tegevusala koondnimetus]],2,FALSE)</f>
        <v>Haridus</v>
      </c>
      <c r="F168" s="91" t="s">
        <v>1449</v>
      </c>
      <c r="G168" s="91" t="s">
        <v>479</v>
      </c>
      <c r="H168" s="91">
        <v>0.5</v>
      </c>
      <c r="I168" s="91"/>
      <c r="J168" s="91">
        <v>584</v>
      </c>
      <c r="K168" s="91">
        <f t="shared" si="10"/>
        <v>292</v>
      </c>
      <c r="L168" s="91">
        <v>12</v>
      </c>
      <c r="M168" s="91"/>
      <c r="N168" s="93">
        <f>(K168*Table110[[#This Row],[Ühik2]])+M168</f>
        <v>3504</v>
      </c>
      <c r="O168" s="93">
        <f>Table110[[#This Row],[2020. EA ]]*0.338</f>
        <v>1184.3520000000001</v>
      </c>
      <c r="P168" s="91"/>
    </row>
    <row r="169" spans="1:16" x14ac:dyDescent="0.25">
      <c r="A169" s="14" t="str">
        <f t="shared" si="9"/>
        <v>09</v>
      </c>
      <c r="B169" t="s">
        <v>345</v>
      </c>
      <c r="C169" s="14" t="str">
        <f>VLOOKUP(B169,Table4[],2,FALSE)</f>
        <v xml:space="preserve"> Vinni pajusti Gümnaasium</v>
      </c>
      <c r="D169" s="39" t="str">
        <f>VLOOKUP(Table110[[#This Row],[Tegevusala]],Table4[[Tegevusala kood]:[Tegevusala alanimetus]],4,FALSE)</f>
        <v>Põhihariduse otsekulud</v>
      </c>
      <c r="E169" s="14" t="str">
        <f>VLOOKUP(C169,Table4[[Tegevusala nimetus]:[Tegevusala koondnimetus]],2,FALSE)</f>
        <v>Haridus</v>
      </c>
      <c r="F169" s="14" t="s">
        <v>1449</v>
      </c>
      <c r="G169" s="14" t="s">
        <v>1372</v>
      </c>
      <c r="H169" s="14">
        <v>1</v>
      </c>
      <c r="I169" s="14"/>
      <c r="J169" s="14">
        <v>1100</v>
      </c>
      <c r="K169" s="14">
        <f t="shared" si="10"/>
        <v>1100</v>
      </c>
      <c r="L169" s="14">
        <v>12</v>
      </c>
      <c r="M169" s="14"/>
      <c r="N169" s="44">
        <f>(K169*Table110[[#This Row],[Ühik2]])+M169</f>
        <v>13200</v>
      </c>
      <c r="O169" s="44">
        <f>Table110[[#This Row],[2020. EA ]]*0.338</f>
        <v>4461.6000000000004</v>
      </c>
      <c r="P169" s="14"/>
    </row>
    <row r="170" spans="1:16" x14ac:dyDescent="0.25">
      <c r="A170" s="14" t="str">
        <f t="shared" si="9"/>
        <v>09</v>
      </c>
      <c r="B170" t="s">
        <v>345</v>
      </c>
      <c r="C170" s="14" t="str">
        <f>VLOOKUP(B170,Table4[],2,FALSE)</f>
        <v xml:space="preserve"> Vinni pajusti Gümnaasium</v>
      </c>
      <c r="D170" s="39" t="str">
        <f>VLOOKUP(Table110[[#This Row],[Tegevusala]],Table4[[Tegevusala kood]:[Tegevusala alanimetus]],4,FALSE)</f>
        <v>Põhihariduse otsekulud</v>
      </c>
      <c r="E170" s="14" t="str">
        <f>VLOOKUP(C170,Table4[[Tegevusala nimetus]:[Tegevusala koondnimetus]],2,FALSE)</f>
        <v>Haridus</v>
      </c>
      <c r="F170" s="14" t="s">
        <v>1449</v>
      </c>
      <c r="G170" s="14" t="s">
        <v>1405</v>
      </c>
      <c r="H170" s="14">
        <v>0.5</v>
      </c>
      <c r="I170" s="14"/>
      <c r="J170" s="14">
        <v>700</v>
      </c>
      <c r="K170" s="14">
        <f t="shared" si="10"/>
        <v>350</v>
      </c>
      <c r="L170" s="14">
        <v>12</v>
      </c>
      <c r="M170" s="14"/>
      <c r="N170" s="44">
        <f>(K170*Table110[[#This Row],[Ühik2]])+M170</f>
        <v>4200</v>
      </c>
      <c r="O170" s="44">
        <f>Table110[[#This Row],[2020. EA ]]*0.338</f>
        <v>1419.6000000000001</v>
      </c>
      <c r="P170" s="14"/>
    </row>
    <row r="171" spans="1:16" x14ac:dyDescent="0.25">
      <c r="A171" s="14" t="str">
        <f t="shared" si="9"/>
        <v>09</v>
      </c>
      <c r="B171" t="s">
        <v>345</v>
      </c>
      <c r="C171" s="14" t="str">
        <f>VLOOKUP(B171,Table4[],2,FALSE)</f>
        <v xml:space="preserve"> Vinni pajusti Gümnaasium</v>
      </c>
      <c r="D171" s="39" t="str">
        <f>VLOOKUP(Table110[[#This Row],[Tegevusala]],Table4[[Tegevusala kood]:[Tegevusala alanimetus]],4,FALSE)</f>
        <v>Põhihariduse otsekulud</v>
      </c>
      <c r="E171" s="14" t="str">
        <f>VLOOKUP(C171,Table4[[Tegevusala nimetus]:[Tegevusala koondnimetus]],2,FALSE)</f>
        <v>Haridus</v>
      </c>
      <c r="F171" s="14" t="s">
        <v>1449</v>
      </c>
      <c r="G171" s="14" t="s">
        <v>1406</v>
      </c>
      <c r="H171" s="14">
        <v>0.05</v>
      </c>
      <c r="I171" s="14"/>
      <c r="J171" s="14">
        <v>1315</v>
      </c>
      <c r="K171" s="14">
        <f t="shared" si="10"/>
        <v>65.75</v>
      </c>
      <c r="L171" s="14">
        <v>12</v>
      </c>
      <c r="M171" s="14"/>
      <c r="N171" s="44">
        <f>(K171*Table110[[#This Row],[Ühik2]])+M171</f>
        <v>789</v>
      </c>
      <c r="O171" s="44">
        <f>Table110[[#This Row],[2020. EA ]]*0.338</f>
        <v>266.68200000000002</v>
      </c>
      <c r="P171" s="14"/>
    </row>
    <row r="172" spans="1:16" x14ac:dyDescent="0.25">
      <c r="A172" s="14" t="str">
        <f t="shared" si="9"/>
        <v>09</v>
      </c>
      <c r="B172" t="s">
        <v>345</v>
      </c>
      <c r="C172" s="14" t="str">
        <f>VLOOKUP(B172,Table4[],2,FALSE)</f>
        <v xml:space="preserve"> Vinni pajusti Gümnaasium</v>
      </c>
      <c r="D172" s="39" t="str">
        <f>VLOOKUP(Table110[[#This Row],[Tegevusala]],Table4[[Tegevusala kood]:[Tegevusala alanimetus]],4,FALSE)</f>
        <v>Põhihariduse otsekulud</v>
      </c>
      <c r="E172" s="14" t="str">
        <f>VLOOKUP(C172,Table4[[Tegevusala nimetus]:[Tegevusala koondnimetus]],2,FALSE)</f>
        <v>Haridus</v>
      </c>
      <c r="F172" s="14" t="s">
        <v>1449</v>
      </c>
      <c r="G172" s="14" t="s">
        <v>1407</v>
      </c>
      <c r="H172" s="14">
        <v>0.05</v>
      </c>
      <c r="I172" s="14"/>
      <c r="J172" s="14">
        <v>700</v>
      </c>
      <c r="K172" s="14">
        <f t="shared" si="10"/>
        <v>35</v>
      </c>
      <c r="L172" s="37">
        <v>10</v>
      </c>
      <c r="M172" s="14"/>
      <c r="N172" s="44">
        <f>(K172*Table110[[#This Row],[Ühik2]])+M172</f>
        <v>350</v>
      </c>
      <c r="O172" s="44">
        <f>Table110[[#This Row],[2020. EA ]]*0.338</f>
        <v>118.30000000000001</v>
      </c>
      <c r="P172" s="14"/>
    </row>
    <row r="173" spans="1:16" x14ac:dyDescent="0.25">
      <c r="A173" s="14" t="str">
        <f t="shared" si="9"/>
        <v>09</v>
      </c>
      <c r="B173" t="s">
        <v>345</v>
      </c>
      <c r="C173" s="14" t="str">
        <f>VLOOKUP(B173,Table4[],2,FALSE)</f>
        <v xml:space="preserve"> Vinni pajusti Gümnaasium</v>
      </c>
      <c r="D173" s="39" t="str">
        <f>VLOOKUP(Table110[[#This Row],[Tegevusala]],Table4[[Tegevusala kood]:[Tegevusala alanimetus]],4,FALSE)</f>
        <v>Põhihariduse otsekulud</v>
      </c>
      <c r="E173" s="14" t="str">
        <f>VLOOKUP(C173,Table4[[Tegevusala nimetus]:[Tegevusala koondnimetus]],2,FALSE)</f>
        <v>Haridus</v>
      </c>
      <c r="F173" s="14" t="s">
        <v>1449</v>
      </c>
      <c r="G173" s="14" t="s">
        <v>1407</v>
      </c>
      <c r="H173" s="14">
        <v>0.05</v>
      </c>
      <c r="I173" s="14"/>
      <c r="J173" s="14">
        <v>700</v>
      </c>
      <c r="K173" s="14">
        <f t="shared" si="10"/>
        <v>35</v>
      </c>
      <c r="L173" s="37">
        <v>10</v>
      </c>
      <c r="M173" s="14"/>
      <c r="N173" s="44">
        <f>(K173*Table110[[#This Row],[Ühik2]])+M173</f>
        <v>350</v>
      </c>
      <c r="O173" s="44">
        <f>Table110[[#This Row],[2020. EA ]]*0.338</f>
        <v>118.30000000000001</v>
      </c>
      <c r="P173" s="14"/>
    </row>
    <row r="174" spans="1:16" x14ac:dyDescent="0.25">
      <c r="A174" s="14" t="str">
        <f t="shared" si="9"/>
        <v>09</v>
      </c>
      <c r="B174" t="s">
        <v>345</v>
      </c>
      <c r="C174" s="14" t="str">
        <f>VLOOKUP(B174,Table4[],2,FALSE)</f>
        <v xml:space="preserve"> Vinni pajusti Gümnaasium</v>
      </c>
      <c r="D174" s="39" t="str">
        <f>VLOOKUP(Table110[[#This Row],[Tegevusala]],Table4[[Tegevusala kood]:[Tegevusala alanimetus]],4,FALSE)</f>
        <v>Põhihariduse otsekulud</v>
      </c>
      <c r="E174" s="14" t="str">
        <f>VLOOKUP(C174,Table4[[Tegevusala nimetus]:[Tegevusala koondnimetus]],2,FALSE)</f>
        <v>Haridus</v>
      </c>
      <c r="F174" s="14" t="s">
        <v>1449</v>
      </c>
      <c r="G174" s="14" t="s">
        <v>1407</v>
      </c>
      <c r="H174" s="14">
        <v>7.0000000000000007E-2</v>
      </c>
      <c r="I174" s="14"/>
      <c r="J174" s="14">
        <v>700</v>
      </c>
      <c r="K174" s="14">
        <f t="shared" si="10"/>
        <v>49.000000000000007</v>
      </c>
      <c r="L174" s="37">
        <v>10</v>
      </c>
      <c r="M174" s="14"/>
      <c r="N174" s="44">
        <f>(K174*Table110[[#This Row],[Ühik2]])+M174</f>
        <v>490.00000000000006</v>
      </c>
      <c r="O174" s="44">
        <f>Table110[[#This Row],[2020. EA ]]*0.338</f>
        <v>165.62000000000003</v>
      </c>
      <c r="P174" s="14"/>
    </row>
    <row r="175" spans="1:16" x14ac:dyDescent="0.25">
      <c r="A175" s="14" t="str">
        <f t="shared" si="9"/>
        <v>09</v>
      </c>
      <c r="B175" t="s">
        <v>345</v>
      </c>
      <c r="C175" s="14" t="str">
        <f>VLOOKUP(B175,Table4[],2,FALSE)</f>
        <v xml:space="preserve"> Vinni pajusti Gümnaasium</v>
      </c>
      <c r="D175" s="39" t="str">
        <f>VLOOKUP(Table110[[#This Row],[Tegevusala]],Table4[[Tegevusala kood]:[Tegevusala alanimetus]],4,FALSE)</f>
        <v>Põhihariduse otsekulud</v>
      </c>
      <c r="E175" s="14" t="str">
        <f>VLOOKUP(C175,Table4[[Tegevusala nimetus]:[Tegevusala koondnimetus]],2,FALSE)</f>
        <v>Haridus</v>
      </c>
      <c r="F175" s="14" t="s">
        <v>1449</v>
      </c>
      <c r="G175" s="14" t="s">
        <v>1407</v>
      </c>
      <c r="H175" s="14">
        <v>0.09</v>
      </c>
      <c r="I175" s="14"/>
      <c r="J175" s="14">
        <v>700</v>
      </c>
      <c r="K175" s="14">
        <f t="shared" si="10"/>
        <v>63</v>
      </c>
      <c r="L175" s="37">
        <v>10</v>
      </c>
      <c r="M175" s="14"/>
      <c r="N175" s="44">
        <f>(K175*Table110[[#This Row],[Ühik2]])+M175</f>
        <v>630</v>
      </c>
      <c r="O175" s="44">
        <f>Table110[[#This Row],[2020. EA ]]*0.338</f>
        <v>212.94000000000003</v>
      </c>
      <c r="P175" s="14"/>
    </row>
    <row r="176" spans="1:16" x14ac:dyDescent="0.25">
      <c r="A176" s="14" t="str">
        <f t="shared" si="9"/>
        <v>09</v>
      </c>
      <c r="B176" t="s">
        <v>345</v>
      </c>
      <c r="C176" s="14" t="str">
        <f>VLOOKUP(B176,Table4[],2,FALSE)</f>
        <v xml:space="preserve"> Vinni pajusti Gümnaasium</v>
      </c>
      <c r="D176" s="39" t="str">
        <f>VLOOKUP(Table110[[#This Row],[Tegevusala]],Table4[[Tegevusala kood]:[Tegevusala alanimetus]],4,FALSE)</f>
        <v>Põhihariduse otsekulud</v>
      </c>
      <c r="E176" s="14" t="str">
        <f>VLOOKUP(C176,Table4[[Tegevusala nimetus]:[Tegevusala koondnimetus]],2,FALSE)</f>
        <v>Haridus</v>
      </c>
      <c r="F176" s="14" t="s">
        <v>1449</v>
      </c>
      <c r="G176" s="14" t="s">
        <v>1407</v>
      </c>
      <c r="H176" s="14">
        <v>0.09</v>
      </c>
      <c r="I176" s="14"/>
      <c r="J176" s="14">
        <v>700</v>
      </c>
      <c r="K176" s="14">
        <f t="shared" si="10"/>
        <v>63</v>
      </c>
      <c r="L176" s="37">
        <v>10</v>
      </c>
      <c r="M176" s="14"/>
      <c r="N176" s="44">
        <f>(K176*Table110[[#This Row],[Ühik2]])+M176</f>
        <v>630</v>
      </c>
      <c r="O176" s="44">
        <f>Table110[[#This Row],[2020. EA ]]*0.338</f>
        <v>212.94000000000003</v>
      </c>
      <c r="P176" s="14"/>
    </row>
    <row r="177" spans="1:16" x14ac:dyDescent="0.25">
      <c r="A177" s="14" t="str">
        <f t="shared" si="9"/>
        <v>09</v>
      </c>
      <c r="B177" t="s">
        <v>345</v>
      </c>
      <c r="C177" s="14" t="str">
        <f>VLOOKUP(B177,Table4[],2,FALSE)</f>
        <v xml:space="preserve"> Vinni pajusti Gümnaasium</v>
      </c>
      <c r="D177" s="39" t="str">
        <f>VLOOKUP(Table110[[#This Row],[Tegevusala]],Table4[[Tegevusala kood]:[Tegevusala alanimetus]],4,FALSE)</f>
        <v>Põhihariduse otsekulud</v>
      </c>
      <c r="E177" s="14" t="str">
        <f>VLOOKUP(C177,Table4[[Tegevusala nimetus]:[Tegevusala koondnimetus]],2,FALSE)</f>
        <v>Haridus</v>
      </c>
      <c r="F177" s="14" t="s">
        <v>1449</v>
      </c>
      <c r="G177" s="14" t="s">
        <v>1407</v>
      </c>
      <c r="H177" s="14">
        <v>0.09</v>
      </c>
      <c r="I177" s="14"/>
      <c r="J177" s="14">
        <v>700</v>
      </c>
      <c r="K177" s="14">
        <f t="shared" si="10"/>
        <v>63</v>
      </c>
      <c r="L177" s="37">
        <v>10</v>
      </c>
      <c r="M177" s="14"/>
      <c r="N177" s="44">
        <f>(K177*Table110[[#This Row],[Ühik2]])+M177</f>
        <v>630</v>
      </c>
      <c r="O177" s="44">
        <f>Table110[[#This Row],[2020. EA ]]*0.338</f>
        <v>212.94000000000003</v>
      </c>
      <c r="P177" s="14"/>
    </row>
    <row r="178" spans="1:16" x14ac:dyDescent="0.25">
      <c r="A178" s="14" t="str">
        <f t="shared" si="9"/>
        <v>09</v>
      </c>
      <c r="B178" t="s">
        <v>345</v>
      </c>
      <c r="C178" s="14" t="str">
        <f>VLOOKUP(B178,Table4[],2,FALSE)</f>
        <v xml:space="preserve"> Vinni pajusti Gümnaasium</v>
      </c>
      <c r="D178" s="39" t="str">
        <f>VLOOKUP(Table110[[#This Row],[Tegevusala]],Table4[[Tegevusala kood]:[Tegevusala alanimetus]],4,FALSE)</f>
        <v>Põhihariduse otsekulud</v>
      </c>
      <c r="E178" s="14" t="str">
        <f>VLOOKUP(C178,Table4[[Tegevusala nimetus]:[Tegevusala koondnimetus]],2,FALSE)</f>
        <v>Haridus</v>
      </c>
      <c r="F178" s="14" t="s">
        <v>1449</v>
      </c>
      <c r="G178" s="14" t="s">
        <v>1407</v>
      </c>
      <c r="H178" s="14">
        <v>0.11</v>
      </c>
      <c r="I178" s="14"/>
      <c r="J178" s="14">
        <v>700</v>
      </c>
      <c r="K178" s="14">
        <f t="shared" si="10"/>
        <v>77</v>
      </c>
      <c r="L178" s="37">
        <v>10</v>
      </c>
      <c r="M178" s="14"/>
      <c r="N178" s="44">
        <f>(K178*Table110[[#This Row],[Ühik2]])+M178</f>
        <v>770</v>
      </c>
      <c r="O178" s="44">
        <f>Table110[[#This Row],[2020. EA ]]*0.338</f>
        <v>260.26</v>
      </c>
      <c r="P178" s="14"/>
    </row>
    <row r="179" spans="1:16" x14ac:dyDescent="0.25">
      <c r="A179" s="14" t="str">
        <f t="shared" si="9"/>
        <v>09</v>
      </c>
      <c r="B179" t="s">
        <v>345</v>
      </c>
      <c r="C179" s="14" t="str">
        <f>VLOOKUP(B179,Table4[],2,FALSE)</f>
        <v xml:space="preserve"> Vinni pajusti Gümnaasium</v>
      </c>
      <c r="D179" s="39" t="str">
        <f>VLOOKUP(Table110[[#This Row],[Tegevusala]],Table4[[Tegevusala kood]:[Tegevusala alanimetus]],4,FALSE)</f>
        <v>Põhihariduse otsekulud</v>
      </c>
      <c r="E179" s="14" t="str">
        <f>VLOOKUP(C179,Table4[[Tegevusala nimetus]:[Tegevusala koondnimetus]],2,FALSE)</f>
        <v>Haridus</v>
      </c>
      <c r="F179" s="14" t="s">
        <v>1449</v>
      </c>
      <c r="G179" s="14" t="s">
        <v>1407</v>
      </c>
      <c r="H179" s="14">
        <v>0.14000000000000001</v>
      </c>
      <c r="I179" s="14"/>
      <c r="J179" s="14">
        <v>700</v>
      </c>
      <c r="K179" s="14">
        <f t="shared" si="10"/>
        <v>98.000000000000014</v>
      </c>
      <c r="L179" s="37">
        <v>10</v>
      </c>
      <c r="M179" s="14"/>
      <c r="N179" s="44">
        <f>(K179*Table110[[#This Row],[Ühik2]])+M179</f>
        <v>980.00000000000011</v>
      </c>
      <c r="O179" s="44">
        <f>Table110[[#This Row],[2020. EA ]]*0.338</f>
        <v>331.24000000000007</v>
      </c>
      <c r="P179" s="14"/>
    </row>
    <row r="180" spans="1:16" x14ac:dyDescent="0.25">
      <c r="A180" s="14" t="str">
        <f t="shared" si="9"/>
        <v>09</v>
      </c>
      <c r="B180" t="s">
        <v>345</v>
      </c>
      <c r="C180" s="14" t="str">
        <f>VLOOKUP(B180,Table4[],2,FALSE)</f>
        <v xml:space="preserve"> Vinni pajusti Gümnaasium</v>
      </c>
      <c r="D180" s="39" t="str">
        <f>VLOOKUP(Table110[[#This Row],[Tegevusala]],Table4[[Tegevusala kood]:[Tegevusala alanimetus]],4,FALSE)</f>
        <v>Põhihariduse otsekulud</v>
      </c>
      <c r="E180" s="14" t="str">
        <f>VLOOKUP(C180,Table4[[Tegevusala nimetus]:[Tegevusala koondnimetus]],2,FALSE)</f>
        <v>Haridus</v>
      </c>
      <c r="F180" s="14" t="s">
        <v>1449</v>
      </c>
      <c r="G180" s="14" t="s">
        <v>1407</v>
      </c>
      <c r="H180" s="14">
        <v>0.14000000000000001</v>
      </c>
      <c r="I180" s="14"/>
      <c r="J180" s="14">
        <v>700</v>
      </c>
      <c r="K180" s="14">
        <f t="shared" si="10"/>
        <v>98.000000000000014</v>
      </c>
      <c r="L180" s="37">
        <v>10</v>
      </c>
      <c r="M180" s="14"/>
      <c r="N180" s="44">
        <f>(K180*Table110[[#This Row],[Ühik2]])+M180</f>
        <v>980.00000000000011</v>
      </c>
      <c r="O180" s="44">
        <f>Table110[[#This Row],[2020. EA ]]*0.338</f>
        <v>331.24000000000007</v>
      </c>
      <c r="P180" s="14"/>
    </row>
    <row r="181" spans="1:16" x14ac:dyDescent="0.25">
      <c r="A181" s="14" t="str">
        <f t="shared" si="9"/>
        <v>09</v>
      </c>
      <c r="B181" t="s">
        <v>345</v>
      </c>
      <c r="C181" s="14" t="str">
        <f>VLOOKUP(B181,Table4[],2,FALSE)</f>
        <v xml:space="preserve"> Vinni pajusti Gümnaasium</v>
      </c>
      <c r="D181" s="39" t="str">
        <f>VLOOKUP(Table110[[#This Row],[Tegevusala]],Table4[[Tegevusala kood]:[Tegevusala alanimetus]],4,FALSE)</f>
        <v>Põhihariduse otsekulud</v>
      </c>
      <c r="E181" s="14" t="str">
        <f>VLOOKUP(C181,Table4[[Tegevusala nimetus]:[Tegevusala koondnimetus]],2,FALSE)</f>
        <v>Haridus</v>
      </c>
      <c r="F181" s="14" t="s">
        <v>1449</v>
      </c>
      <c r="G181" s="14" t="s">
        <v>1407</v>
      </c>
      <c r="H181" s="14">
        <v>0.14000000000000001</v>
      </c>
      <c r="I181" s="14"/>
      <c r="J181" s="14">
        <v>700</v>
      </c>
      <c r="K181" s="14">
        <f t="shared" si="10"/>
        <v>98.000000000000014</v>
      </c>
      <c r="L181" s="37">
        <v>10</v>
      </c>
      <c r="M181" s="14"/>
      <c r="N181" s="44">
        <f>(K181*Table110[[#This Row],[Ühik2]])+M181</f>
        <v>980.00000000000011</v>
      </c>
      <c r="O181" s="44">
        <f>Table110[[#This Row],[2020. EA ]]*0.338</f>
        <v>331.24000000000007</v>
      </c>
      <c r="P181" s="14"/>
    </row>
    <row r="182" spans="1:16" x14ac:dyDescent="0.25">
      <c r="A182" s="14" t="str">
        <f t="shared" si="9"/>
        <v>09</v>
      </c>
      <c r="B182" t="s">
        <v>345</v>
      </c>
      <c r="C182" s="14" t="str">
        <f>VLOOKUP(B182,Table4[],2,FALSE)</f>
        <v xml:space="preserve"> Vinni pajusti Gümnaasium</v>
      </c>
      <c r="D182" s="39" t="str">
        <f>VLOOKUP(Table110[[#This Row],[Tegevusala]],Table4[[Tegevusala kood]:[Tegevusala alanimetus]],4,FALSE)</f>
        <v>Põhihariduse otsekulud</v>
      </c>
      <c r="E182" s="14" t="str">
        <f>VLOOKUP(C182,Table4[[Tegevusala nimetus]:[Tegevusala koondnimetus]],2,FALSE)</f>
        <v>Haridus</v>
      </c>
      <c r="F182" s="14" t="s">
        <v>1449</v>
      </c>
      <c r="G182" s="14" t="s">
        <v>1407</v>
      </c>
      <c r="H182" s="14">
        <v>0.14000000000000001</v>
      </c>
      <c r="I182" s="14"/>
      <c r="J182" s="14">
        <v>700</v>
      </c>
      <c r="K182" s="14">
        <f t="shared" si="10"/>
        <v>98.000000000000014</v>
      </c>
      <c r="L182" s="37">
        <v>10</v>
      </c>
      <c r="M182" s="14"/>
      <c r="N182" s="44">
        <f>(K182*Table110[[#This Row],[Ühik2]])+M182</f>
        <v>980.00000000000011</v>
      </c>
      <c r="O182" s="44">
        <f>Table110[[#This Row],[2020. EA ]]*0.338</f>
        <v>331.24000000000007</v>
      </c>
      <c r="P182" s="14"/>
    </row>
    <row r="183" spans="1:16" x14ac:dyDescent="0.25">
      <c r="A183" s="14" t="str">
        <f t="shared" si="9"/>
        <v>09</v>
      </c>
      <c r="B183" t="s">
        <v>345</v>
      </c>
      <c r="C183" s="14" t="str">
        <f>VLOOKUP(B183,Table4[],2,FALSE)</f>
        <v xml:space="preserve"> Vinni pajusti Gümnaasium</v>
      </c>
      <c r="D183" s="39" t="str">
        <f>VLOOKUP(Table110[[#This Row],[Tegevusala]],Table4[[Tegevusala kood]:[Tegevusala alanimetus]],4,FALSE)</f>
        <v>Põhihariduse otsekulud</v>
      </c>
      <c r="E183" s="14" t="str">
        <f>VLOOKUP(C183,Table4[[Tegevusala nimetus]:[Tegevusala koondnimetus]],2,FALSE)</f>
        <v>Haridus</v>
      </c>
      <c r="F183" s="14" t="s">
        <v>1449</v>
      </c>
      <c r="G183" s="14" t="s">
        <v>1407</v>
      </c>
      <c r="H183" s="14">
        <v>0.23</v>
      </c>
      <c r="I183" s="14"/>
      <c r="J183" s="14">
        <v>700</v>
      </c>
      <c r="K183" s="14">
        <f t="shared" si="10"/>
        <v>161</v>
      </c>
      <c r="L183" s="37">
        <v>10</v>
      </c>
      <c r="M183" s="14"/>
      <c r="N183" s="44">
        <f>(K183*Table110[[#This Row],[Ühik2]])+M183</f>
        <v>1610</v>
      </c>
      <c r="O183" s="44">
        <f>Table110[[#This Row],[2020. EA ]]*0.338</f>
        <v>544.18000000000006</v>
      </c>
      <c r="P183" s="14"/>
    </row>
    <row r="184" spans="1:16" x14ac:dyDescent="0.25">
      <c r="A184" s="14" t="str">
        <f t="shared" si="9"/>
        <v>09</v>
      </c>
      <c r="B184" t="s">
        <v>345</v>
      </c>
      <c r="C184" s="14" t="str">
        <f>VLOOKUP(B184,Table4[],2,FALSE)</f>
        <v xml:space="preserve"> Vinni pajusti Gümnaasium</v>
      </c>
      <c r="D184" s="39" t="str">
        <f>VLOOKUP(Table110[[#This Row],[Tegevusala]],Table4[[Tegevusala kood]:[Tegevusala alanimetus]],4,FALSE)</f>
        <v>Põhihariduse otsekulud</v>
      </c>
      <c r="E184" s="14" t="str">
        <f>VLOOKUP(C184,Table4[[Tegevusala nimetus]:[Tegevusala koondnimetus]],2,FALSE)</f>
        <v>Haridus</v>
      </c>
      <c r="F184" s="14" t="s">
        <v>1449</v>
      </c>
      <c r="G184" s="14" t="s">
        <v>1407</v>
      </c>
      <c r="H184" s="14">
        <v>0.27</v>
      </c>
      <c r="I184" s="14"/>
      <c r="J184" s="14">
        <v>700</v>
      </c>
      <c r="K184" s="14">
        <f t="shared" si="10"/>
        <v>189</v>
      </c>
      <c r="L184" s="37">
        <v>10</v>
      </c>
      <c r="M184" s="14"/>
      <c r="N184" s="44">
        <f>(K184*Table110[[#This Row],[Ühik2]])+M184</f>
        <v>1890</v>
      </c>
      <c r="O184" s="44">
        <f>Table110[[#This Row],[2020. EA ]]*0.338</f>
        <v>638.82000000000005</v>
      </c>
      <c r="P184" s="14"/>
    </row>
    <row r="185" spans="1:16" x14ac:dyDescent="0.25">
      <c r="A185" s="14" t="str">
        <f t="shared" si="9"/>
        <v>09</v>
      </c>
      <c r="B185" t="s">
        <v>345</v>
      </c>
      <c r="C185" s="14" t="str">
        <f>VLOOKUP(B185,Table4[],2,FALSE)</f>
        <v xml:space="preserve"> Vinni pajusti Gümnaasium</v>
      </c>
      <c r="D185" s="39" t="str">
        <f>VLOOKUP(Table110[[#This Row],[Tegevusala]],Table4[[Tegevusala kood]:[Tegevusala alanimetus]],4,FALSE)</f>
        <v>Põhihariduse otsekulud</v>
      </c>
      <c r="E185" s="14" t="str">
        <f>VLOOKUP(C185,Table4[[Tegevusala nimetus]:[Tegevusala koondnimetus]],2,FALSE)</f>
        <v>Haridus</v>
      </c>
      <c r="F185" s="14" t="s">
        <v>1449</v>
      </c>
      <c r="G185" s="14" t="s">
        <v>1408</v>
      </c>
      <c r="H185" s="14">
        <v>1</v>
      </c>
      <c r="I185" s="14"/>
      <c r="J185" s="14">
        <v>1315</v>
      </c>
      <c r="K185" s="14">
        <f t="shared" si="10"/>
        <v>1315</v>
      </c>
      <c r="L185" s="14">
        <v>12</v>
      </c>
      <c r="M185" s="14"/>
      <c r="N185" s="44">
        <f>(K185*Table110[[#This Row],[Ühik2]])+M185</f>
        <v>15780</v>
      </c>
      <c r="O185" s="44">
        <f>Table110[[#This Row],[2020. EA ]]*0.338</f>
        <v>5333.64</v>
      </c>
      <c r="P185" s="14"/>
    </row>
    <row r="186" spans="1:16" x14ac:dyDescent="0.25">
      <c r="A186" s="14" t="str">
        <f t="shared" si="9"/>
        <v>09</v>
      </c>
      <c r="B186" t="s">
        <v>345</v>
      </c>
      <c r="C186" s="14" t="str">
        <f>VLOOKUP(B186,Table4[],2,FALSE)</f>
        <v xml:space="preserve"> Vinni pajusti Gümnaasium</v>
      </c>
      <c r="D186" s="39" t="str">
        <f>VLOOKUP(Table110[[#This Row],[Tegevusala]],Table4[[Tegevusala kood]:[Tegevusala alanimetus]],4,FALSE)</f>
        <v>Põhihariduse otsekulud</v>
      </c>
      <c r="E186" s="14" t="str">
        <f>VLOOKUP(C186,Table4[[Tegevusala nimetus]:[Tegevusala koondnimetus]],2,FALSE)</f>
        <v>Haridus</v>
      </c>
      <c r="F186" s="14" t="s">
        <v>1449</v>
      </c>
      <c r="G186" s="14" t="s">
        <v>528</v>
      </c>
      <c r="H186" s="14">
        <v>1</v>
      </c>
      <c r="I186" s="14"/>
      <c r="J186" s="14">
        <v>700</v>
      </c>
      <c r="K186" s="14">
        <f t="shared" si="10"/>
        <v>700</v>
      </c>
      <c r="L186" s="14">
        <v>12</v>
      </c>
      <c r="M186" s="14"/>
      <c r="N186" s="44">
        <f>(K186*Table110[[#This Row],[Ühik2]])+M186</f>
        <v>8400</v>
      </c>
      <c r="O186" s="44">
        <f>Table110[[#This Row],[2020. EA ]]*0.338</f>
        <v>2839.2000000000003</v>
      </c>
      <c r="P186" s="14"/>
    </row>
    <row r="187" spans="1:16" x14ac:dyDescent="0.25">
      <c r="A187" s="91" t="str">
        <f t="shared" si="9"/>
        <v>09</v>
      </c>
      <c r="B187" s="92" t="s">
        <v>345</v>
      </c>
      <c r="C187" s="91" t="str">
        <f>VLOOKUP(B187,Table4[],2,FALSE)</f>
        <v xml:space="preserve"> Vinni pajusti Gümnaasium</v>
      </c>
      <c r="D187" s="95" t="str">
        <f>VLOOKUP(Table110[[#This Row],[Tegevusala]],Table4[[Tegevusala kood]:[Tegevusala alanimetus]],4,FALSE)</f>
        <v>Põhihariduse otsekulud</v>
      </c>
      <c r="E187" s="91" t="str">
        <f>VLOOKUP(C187,Table4[[Tegevusala nimetus]:[Tegevusala koondnimetus]],2,FALSE)</f>
        <v>Haridus</v>
      </c>
      <c r="F187" s="91" t="s">
        <v>1449</v>
      </c>
      <c r="G187" s="91" t="s">
        <v>481</v>
      </c>
      <c r="H187" s="91">
        <v>1</v>
      </c>
      <c r="I187" s="91"/>
      <c r="J187" s="91">
        <v>584</v>
      </c>
      <c r="K187" s="91">
        <f t="shared" si="10"/>
        <v>584</v>
      </c>
      <c r="L187" s="91">
        <v>12</v>
      </c>
      <c r="M187" s="91"/>
      <c r="N187" s="93">
        <f>(K187*Table110[[#This Row],[Ühik2]])+M187</f>
        <v>7008</v>
      </c>
      <c r="O187" s="93">
        <f>Table110[[#This Row],[2020. EA ]]*0.338</f>
        <v>2368.7040000000002</v>
      </c>
      <c r="P187" s="91"/>
    </row>
    <row r="188" spans="1:16" x14ac:dyDescent="0.25">
      <c r="A188" s="14" t="str">
        <f t="shared" si="9"/>
        <v>09</v>
      </c>
      <c r="B188" t="s">
        <v>345</v>
      </c>
      <c r="C188" s="14" t="str">
        <f>VLOOKUP(B188,Table4[],2,FALSE)</f>
        <v xml:space="preserve"> Vinni pajusti Gümnaasium</v>
      </c>
      <c r="D188" s="39" t="str">
        <f>VLOOKUP(Table110[[#This Row],[Tegevusala]],Table4[[Tegevusala kood]:[Tegevusala alanimetus]],4,FALSE)</f>
        <v>Põhihariduse otsekulud</v>
      </c>
      <c r="E188" s="14" t="str">
        <f>VLOOKUP(C188,Table4[[Tegevusala nimetus]:[Tegevusala koondnimetus]],2,FALSE)</f>
        <v>Haridus</v>
      </c>
      <c r="F188" s="14" t="s">
        <v>1449</v>
      </c>
      <c r="G188" s="14" t="s">
        <v>1409</v>
      </c>
      <c r="H188" s="14">
        <v>0.09</v>
      </c>
      <c r="I188" s="14"/>
      <c r="J188" s="14">
        <v>700</v>
      </c>
      <c r="K188" s="14">
        <f t="shared" si="10"/>
        <v>63</v>
      </c>
      <c r="L188" s="37">
        <v>10</v>
      </c>
      <c r="M188" s="14"/>
      <c r="N188" s="44">
        <f>(K188*Table110[[#This Row],[Ühik2]])+M188</f>
        <v>630</v>
      </c>
      <c r="O188" s="44">
        <f>Table110[[#This Row],[2020. EA ]]*0.338</f>
        <v>212.94000000000003</v>
      </c>
      <c r="P188" s="14"/>
    </row>
    <row r="189" spans="1:16" x14ac:dyDescent="0.25">
      <c r="A189" s="14" t="str">
        <f t="shared" si="9"/>
        <v>09</v>
      </c>
      <c r="B189" t="s">
        <v>345</v>
      </c>
      <c r="C189" s="14" t="str">
        <f>VLOOKUP(B189,Table4[],2,FALSE)</f>
        <v xml:space="preserve"> Vinni pajusti Gümnaasium</v>
      </c>
      <c r="D189" s="39" t="str">
        <f>VLOOKUP(Table110[[#This Row],[Tegevusala]],Table4[[Tegevusala kood]:[Tegevusala alanimetus]],4,FALSE)</f>
        <v>Põhihariduse otsekulud</v>
      </c>
      <c r="E189" s="14" t="str">
        <f>VLOOKUP(C189,Table4[[Tegevusala nimetus]:[Tegevusala koondnimetus]],2,FALSE)</f>
        <v>Haridus</v>
      </c>
      <c r="F189" s="14" t="s">
        <v>1449</v>
      </c>
      <c r="G189" s="14" t="s">
        <v>1410</v>
      </c>
      <c r="H189" s="14">
        <v>0.27</v>
      </c>
      <c r="I189" s="14"/>
      <c r="J189" s="14">
        <v>700</v>
      </c>
      <c r="K189" s="14">
        <f t="shared" si="10"/>
        <v>189</v>
      </c>
      <c r="L189" s="37">
        <v>10</v>
      </c>
      <c r="M189" s="14"/>
      <c r="N189" s="44">
        <f>(K189*Table110[[#This Row],[Ühik2]])+M189</f>
        <v>1890</v>
      </c>
      <c r="O189" s="44">
        <f>Table110[[#This Row],[2020. EA ]]*0.338</f>
        <v>638.82000000000005</v>
      </c>
      <c r="P189" s="14"/>
    </row>
    <row r="190" spans="1:16" x14ac:dyDescent="0.25">
      <c r="A190" s="14" t="str">
        <f t="shared" si="9"/>
        <v>09</v>
      </c>
      <c r="B190" t="s">
        <v>345</v>
      </c>
      <c r="C190" s="14" t="str">
        <f>VLOOKUP(B190,Table4[],2,FALSE)</f>
        <v xml:space="preserve"> Vinni pajusti Gümnaasium</v>
      </c>
      <c r="D190" s="39" t="str">
        <f>VLOOKUP(Table110[[#This Row],[Tegevusala]],Table4[[Tegevusala kood]:[Tegevusala alanimetus]],4,FALSE)</f>
        <v>Põhihariduse otsekulud</v>
      </c>
      <c r="E190" s="14" t="str">
        <f>VLOOKUP(C190,Table4[[Tegevusala nimetus]:[Tegevusala koondnimetus]],2,FALSE)</f>
        <v>Haridus</v>
      </c>
      <c r="F190" s="14" t="s">
        <v>1449</v>
      </c>
      <c r="G190" s="14" t="s">
        <v>1411</v>
      </c>
      <c r="H190" s="14">
        <v>0.27</v>
      </c>
      <c r="I190" s="14"/>
      <c r="J190" s="14">
        <v>700</v>
      </c>
      <c r="K190" s="14">
        <f t="shared" si="10"/>
        <v>189</v>
      </c>
      <c r="L190" s="37">
        <v>10</v>
      </c>
      <c r="M190" s="14"/>
      <c r="N190" s="44">
        <f>(K190*Table110[[#This Row],[Ühik2]])+M190</f>
        <v>1890</v>
      </c>
      <c r="O190" s="44">
        <f>Table110[[#This Row],[2020. EA ]]*0.338</f>
        <v>638.82000000000005</v>
      </c>
      <c r="P190" s="14"/>
    </row>
    <row r="191" spans="1:16" x14ac:dyDescent="0.25">
      <c r="A191" s="14" t="str">
        <f t="shared" si="9"/>
        <v>09</v>
      </c>
      <c r="B191" t="s">
        <v>345</v>
      </c>
      <c r="C191" s="14" t="str">
        <f>VLOOKUP(B191,Table4[],2,FALSE)</f>
        <v xml:space="preserve"> Vinni pajusti Gümnaasium</v>
      </c>
      <c r="D191" s="39" t="str">
        <f>VLOOKUP(Table110[[#This Row],[Tegevusala]],Table4[[Tegevusala kood]:[Tegevusala alanimetus]],4,FALSE)</f>
        <v>Põhihariduse otsekulud</v>
      </c>
      <c r="E191" s="14" t="str">
        <f>VLOOKUP(C191,Table4[[Tegevusala nimetus]:[Tegevusala koondnimetus]],2,FALSE)</f>
        <v>Haridus</v>
      </c>
      <c r="F191" s="14" t="s">
        <v>1449</v>
      </c>
      <c r="G191" s="14" t="s">
        <v>1412</v>
      </c>
      <c r="H191" s="14">
        <v>0.09</v>
      </c>
      <c r="I191" s="14"/>
      <c r="J191" s="14">
        <v>700</v>
      </c>
      <c r="K191" s="14">
        <f t="shared" si="10"/>
        <v>63</v>
      </c>
      <c r="L191" s="37">
        <v>10</v>
      </c>
      <c r="M191" s="14"/>
      <c r="N191" s="44">
        <f>(K191*Table110[[#This Row],[Ühik2]])+M191</f>
        <v>630</v>
      </c>
      <c r="O191" s="44">
        <f>Table110[[#This Row],[2020. EA ]]*0.338</f>
        <v>212.94000000000003</v>
      </c>
      <c r="P191" s="14"/>
    </row>
    <row r="192" spans="1:16" x14ac:dyDescent="0.25">
      <c r="A192" s="14" t="str">
        <f t="shared" ref="A192:A254" si="11">LEFT(B192,2)</f>
        <v>09</v>
      </c>
      <c r="B192" t="s">
        <v>345</v>
      </c>
      <c r="C192" s="14" t="str">
        <f>VLOOKUP(B192,Table4[],2,FALSE)</f>
        <v xml:space="preserve"> Vinni pajusti Gümnaasium</v>
      </c>
      <c r="D192" s="39" t="str">
        <f>VLOOKUP(Table110[[#This Row],[Tegevusala]],Table4[[Tegevusala kood]:[Tegevusala alanimetus]],4,FALSE)</f>
        <v>Põhihariduse otsekulud</v>
      </c>
      <c r="E192" s="14" t="str">
        <f>VLOOKUP(C192,Table4[[Tegevusala nimetus]:[Tegevusala koondnimetus]],2,FALSE)</f>
        <v>Haridus</v>
      </c>
      <c r="F192" s="14" t="s">
        <v>1449</v>
      </c>
      <c r="G192" s="14" t="s">
        <v>1413</v>
      </c>
      <c r="H192" s="14">
        <v>1</v>
      </c>
      <c r="I192" s="14"/>
      <c r="J192" s="14">
        <v>700</v>
      </c>
      <c r="K192" s="14">
        <f t="shared" si="10"/>
        <v>700</v>
      </c>
      <c r="L192" s="37">
        <v>10</v>
      </c>
      <c r="M192" s="14"/>
      <c r="N192" s="44">
        <f>(K192*Table110[[#This Row],[Ühik2]])+M192</f>
        <v>7000</v>
      </c>
      <c r="O192" s="44">
        <f>Table110[[#This Row],[2020. EA ]]*0.338</f>
        <v>2366</v>
      </c>
      <c r="P192" s="14"/>
    </row>
    <row r="193" spans="1:16" x14ac:dyDescent="0.25">
      <c r="A193" s="14" t="str">
        <f t="shared" si="11"/>
        <v>09</v>
      </c>
      <c r="B193" t="s">
        <v>345</v>
      </c>
      <c r="C193" s="14" t="str">
        <f>VLOOKUP(B193,Table4[],2,FALSE)</f>
        <v xml:space="preserve"> Vinni pajusti Gümnaasium</v>
      </c>
      <c r="D193" s="39" t="str">
        <f>VLOOKUP(Table110[[#This Row],[Tegevusala]],Table4[[Tegevusala kood]:[Tegevusala alanimetus]],4,FALSE)</f>
        <v>Põhihariduse otsekulud</v>
      </c>
      <c r="E193" s="14" t="str">
        <f>VLOOKUP(C193,Table4[[Tegevusala nimetus]:[Tegevusala koondnimetus]],2,FALSE)</f>
        <v>Haridus</v>
      </c>
      <c r="F193" s="14" t="s">
        <v>1449</v>
      </c>
      <c r="G193" s="14" t="s">
        <v>1413</v>
      </c>
      <c r="H193" s="14">
        <v>0.45</v>
      </c>
      <c r="I193" s="14"/>
      <c r="J193" s="14">
        <v>700</v>
      </c>
      <c r="K193" s="14">
        <f t="shared" si="10"/>
        <v>315</v>
      </c>
      <c r="L193" s="37">
        <v>10</v>
      </c>
      <c r="M193" s="14"/>
      <c r="N193" s="44">
        <f>(K193*Table110[[#This Row],[Ühik2]])+M193</f>
        <v>3150</v>
      </c>
      <c r="O193" s="44">
        <f>Table110[[#This Row],[2020. EA ]]*0.338</f>
        <v>1064.7</v>
      </c>
      <c r="P193" s="14"/>
    </row>
    <row r="194" spans="1:16" x14ac:dyDescent="0.25">
      <c r="A194" s="14" t="str">
        <f t="shared" si="11"/>
        <v>09</v>
      </c>
      <c r="B194" t="s">
        <v>345</v>
      </c>
      <c r="C194" s="14" t="str">
        <f>VLOOKUP(B194,Table4[],2,FALSE)</f>
        <v xml:space="preserve"> Vinni pajusti Gümnaasium</v>
      </c>
      <c r="D194" s="39" t="str">
        <f>VLOOKUP(Table110[[#This Row],[Tegevusala]],Table4[[Tegevusala kood]:[Tegevusala alanimetus]],4,FALSE)</f>
        <v>Põhihariduse otsekulud</v>
      </c>
      <c r="E194" s="14" t="str">
        <f>VLOOKUP(C194,Table4[[Tegevusala nimetus]:[Tegevusala koondnimetus]],2,FALSE)</f>
        <v>Haridus</v>
      </c>
      <c r="F194" s="14" t="s">
        <v>1449</v>
      </c>
      <c r="G194" s="14" t="s">
        <v>1414</v>
      </c>
      <c r="H194" s="14">
        <v>0.5</v>
      </c>
      <c r="I194" s="14"/>
      <c r="J194" s="14">
        <v>700</v>
      </c>
      <c r="K194" s="14">
        <f t="shared" ref="K194:K257" si="12">H194*J194</f>
        <v>350</v>
      </c>
      <c r="L194" s="37">
        <v>10</v>
      </c>
      <c r="M194" s="14"/>
      <c r="N194" s="44">
        <f>(K194*Table110[[#This Row],[Ühik2]])+M194</f>
        <v>3500</v>
      </c>
      <c r="O194" s="44">
        <f>Table110[[#This Row],[2020. EA ]]*0.338</f>
        <v>1183</v>
      </c>
      <c r="P194" s="14" t="s">
        <v>2215</v>
      </c>
    </row>
    <row r="195" spans="1:16" x14ac:dyDescent="0.25">
      <c r="A195" s="14" t="str">
        <f t="shared" si="11"/>
        <v>09</v>
      </c>
      <c r="B195" t="s">
        <v>345</v>
      </c>
      <c r="C195" s="14" t="str">
        <f>VLOOKUP(B195,Table4[],2,FALSE)</f>
        <v xml:space="preserve"> Vinni pajusti Gümnaasium</v>
      </c>
      <c r="D195" s="39" t="str">
        <f>VLOOKUP(Table110[[#This Row],[Tegevusala]],Table4[[Tegevusala kood]:[Tegevusala alanimetus]],4,FALSE)</f>
        <v>Põhihariduse otsekulud</v>
      </c>
      <c r="E195" s="14" t="str">
        <f>VLOOKUP(C195,Table4[[Tegevusala nimetus]:[Tegevusala koondnimetus]],2,FALSE)</f>
        <v>Haridus</v>
      </c>
      <c r="F195" s="14" t="s">
        <v>1449</v>
      </c>
      <c r="G195" s="14" t="s">
        <v>1415</v>
      </c>
      <c r="H195" s="14">
        <v>0.09</v>
      </c>
      <c r="I195" s="14"/>
      <c r="J195" s="14">
        <v>700</v>
      </c>
      <c r="K195" s="14">
        <f t="shared" si="12"/>
        <v>63</v>
      </c>
      <c r="L195" s="37">
        <v>10</v>
      </c>
      <c r="M195" s="14"/>
      <c r="N195" s="44">
        <f>(K195*Table110[[#This Row],[Ühik2]])+M195</f>
        <v>630</v>
      </c>
      <c r="O195" s="44">
        <f>Table110[[#This Row],[2020. EA ]]*0.338</f>
        <v>212.94000000000003</v>
      </c>
      <c r="P195" s="14"/>
    </row>
    <row r="196" spans="1:16" x14ac:dyDescent="0.25">
      <c r="A196" s="14" t="str">
        <f t="shared" si="11"/>
        <v>09</v>
      </c>
      <c r="B196" t="s">
        <v>345</v>
      </c>
      <c r="C196" s="14" t="str">
        <f>VLOOKUP(B196,Table4[],2,FALSE)</f>
        <v xml:space="preserve"> Vinni pajusti Gümnaasium</v>
      </c>
      <c r="D196" s="39" t="str">
        <f>VLOOKUP(Table110[[#This Row],[Tegevusala]],Table4[[Tegevusala kood]:[Tegevusala alanimetus]],4,FALSE)</f>
        <v>Põhihariduse otsekulud</v>
      </c>
      <c r="E196" s="14" t="str">
        <f>VLOOKUP(C196,Table4[[Tegevusala nimetus]:[Tegevusala koondnimetus]],2,FALSE)</f>
        <v>Haridus</v>
      </c>
      <c r="F196" s="14" t="s">
        <v>1449</v>
      </c>
      <c r="G196" s="14" t="s">
        <v>1416</v>
      </c>
      <c r="H196" s="14">
        <v>0.05</v>
      </c>
      <c r="I196" s="14"/>
      <c r="J196" s="14">
        <v>700</v>
      </c>
      <c r="K196" s="14">
        <f t="shared" si="12"/>
        <v>35</v>
      </c>
      <c r="L196" s="37">
        <v>10</v>
      </c>
      <c r="M196" s="14"/>
      <c r="N196" s="44">
        <f>(K196*Table110[[#This Row],[Ühik2]])+M196</f>
        <v>350</v>
      </c>
      <c r="O196" s="44">
        <f>Table110[[#This Row],[2020. EA ]]*0.338</f>
        <v>118.30000000000001</v>
      </c>
      <c r="P196" s="14"/>
    </row>
    <row r="197" spans="1:16" x14ac:dyDescent="0.25">
      <c r="A197" s="14" t="str">
        <f t="shared" si="11"/>
        <v>09</v>
      </c>
      <c r="B197" t="s">
        <v>345</v>
      </c>
      <c r="C197" s="14" t="str">
        <f>VLOOKUP(B197,Table4[],2,FALSE)</f>
        <v xml:space="preserve"> Vinni pajusti Gümnaasium</v>
      </c>
      <c r="D197" s="39" t="str">
        <f>VLOOKUP(Table110[[#This Row],[Tegevusala]],Table4[[Tegevusala kood]:[Tegevusala alanimetus]],4,FALSE)</f>
        <v>Põhihariduse otsekulud</v>
      </c>
      <c r="E197" s="14" t="str">
        <f>VLOOKUP(C197,Table4[[Tegevusala nimetus]:[Tegevusala koondnimetus]],2,FALSE)</f>
        <v>Haridus</v>
      </c>
      <c r="F197" s="14" t="s">
        <v>1449</v>
      </c>
      <c r="G197" s="14" t="s">
        <v>1417</v>
      </c>
      <c r="H197" s="14">
        <v>0.09</v>
      </c>
      <c r="I197" s="14"/>
      <c r="J197" s="14">
        <v>700</v>
      </c>
      <c r="K197" s="14">
        <f t="shared" si="12"/>
        <v>63</v>
      </c>
      <c r="L197" s="37">
        <v>10</v>
      </c>
      <c r="M197" s="14"/>
      <c r="N197" s="44">
        <f>(K197*Table110[[#This Row],[Ühik2]])+M197</f>
        <v>630</v>
      </c>
      <c r="O197" s="44">
        <f>Table110[[#This Row],[2020. EA ]]*0.338</f>
        <v>212.94000000000003</v>
      </c>
      <c r="P197" s="14"/>
    </row>
    <row r="198" spans="1:16" x14ac:dyDescent="0.25">
      <c r="A198" s="14" t="str">
        <f t="shared" si="11"/>
        <v>09</v>
      </c>
      <c r="B198" t="s">
        <v>345</v>
      </c>
      <c r="C198" s="14" t="str">
        <f>VLOOKUP(B198,Table4[],2,FALSE)</f>
        <v xml:space="preserve"> Vinni pajusti Gümnaasium</v>
      </c>
      <c r="D198" s="39" t="str">
        <f>VLOOKUP(Table110[[#This Row],[Tegevusala]],Table4[[Tegevusala kood]:[Tegevusala alanimetus]],4,FALSE)</f>
        <v>Põhihariduse otsekulud</v>
      </c>
      <c r="E198" s="14" t="str">
        <f>VLOOKUP(C198,Table4[[Tegevusala nimetus]:[Tegevusala koondnimetus]],2,FALSE)</f>
        <v>Haridus</v>
      </c>
      <c r="F198" s="14" t="s">
        <v>1449</v>
      </c>
      <c r="G198" s="14" t="s">
        <v>1418</v>
      </c>
      <c r="H198" s="14">
        <v>0.09</v>
      </c>
      <c r="I198" s="14"/>
      <c r="J198" s="14">
        <v>700</v>
      </c>
      <c r="K198" s="14">
        <f t="shared" si="12"/>
        <v>63</v>
      </c>
      <c r="L198" s="37">
        <v>4</v>
      </c>
      <c r="M198" s="14"/>
      <c r="N198" s="44">
        <f>(K198*Table110[[#This Row],[Ühik2]])+M198</f>
        <v>252</v>
      </c>
      <c r="O198" s="44">
        <f>Table110[[#This Row],[2020. EA ]]*0.338</f>
        <v>85.176000000000002</v>
      </c>
      <c r="P198" s="14" t="s">
        <v>2214</v>
      </c>
    </row>
    <row r="199" spans="1:16" x14ac:dyDescent="0.25">
      <c r="A199" s="14" t="str">
        <f t="shared" si="11"/>
        <v>09</v>
      </c>
      <c r="B199" t="s">
        <v>345</v>
      </c>
      <c r="C199" s="14" t="str">
        <f>VLOOKUP(B199,Table4[],2,FALSE)</f>
        <v xml:space="preserve"> Vinni pajusti Gümnaasium</v>
      </c>
      <c r="D199" s="39" t="str">
        <f>VLOOKUP(Table110[[#This Row],[Tegevusala]],Table4[[Tegevusala kood]:[Tegevusala alanimetus]],4,FALSE)</f>
        <v>Põhihariduse otsekulud</v>
      </c>
      <c r="E199" s="14" t="str">
        <f>VLOOKUP(C199,Table4[[Tegevusala nimetus]:[Tegevusala koondnimetus]],2,FALSE)</f>
        <v>Haridus</v>
      </c>
      <c r="F199" s="14" t="s">
        <v>1449</v>
      </c>
      <c r="G199" s="14" t="s">
        <v>1419</v>
      </c>
      <c r="H199" s="14">
        <v>0.14000000000000001</v>
      </c>
      <c r="I199" s="14"/>
      <c r="J199" s="14">
        <v>700</v>
      </c>
      <c r="K199" s="14">
        <f t="shared" si="12"/>
        <v>98.000000000000014</v>
      </c>
      <c r="L199" s="37">
        <v>4</v>
      </c>
      <c r="M199" s="14"/>
      <c r="N199" s="44">
        <f>(K199*Table110[[#This Row],[Ühik2]])+M199</f>
        <v>392.00000000000006</v>
      </c>
      <c r="O199" s="44">
        <f>Table110[[#This Row],[2020. EA ]]*0.338</f>
        <v>132.49600000000004</v>
      </c>
      <c r="P199" s="14" t="s">
        <v>2214</v>
      </c>
    </row>
    <row r="200" spans="1:16" x14ac:dyDescent="0.25">
      <c r="A200" s="14" t="str">
        <f t="shared" si="11"/>
        <v>09</v>
      </c>
      <c r="B200" t="s">
        <v>345</v>
      </c>
      <c r="C200" s="14" t="str">
        <f>VLOOKUP(B200,Table4[],2,FALSE)</f>
        <v xml:space="preserve"> Vinni pajusti Gümnaasium</v>
      </c>
      <c r="D200" s="39" t="str">
        <f>VLOOKUP(Table110[[#This Row],[Tegevusala]],Table4[[Tegevusala kood]:[Tegevusala alanimetus]],4,FALSE)</f>
        <v>Põhihariduse otsekulud</v>
      </c>
      <c r="E200" s="14" t="str">
        <f>VLOOKUP(C200,Table4[[Tegevusala nimetus]:[Tegevusala koondnimetus]],2,FALSE)</f>
        <v>Haridus</v>
      </c>
      <c r="F200" s="14" t="s">
        <v>1449</v>
      </c>
      <c r="G200" s="14" t="s">
        <v>1419</v>
      </c>
      <c r="H200" s="14">
        <v>0.32</v>
      </c>
      <c r="I200" s="14"/>
      <c r="J200" s="14">
        <v>700</v>
      </c>
      <c r="K200" s="14">
        <f t="shared" si="12"/>
        <v>224</v>
      </c>
      <c r="L200" s="37">
        <v>4</v>
      </c>
      <c r="M200" s="14"/>
      <c r="N200" s="44">
        <f>(K200*Table110[[#This Row],[Ühik2]])+M200</f>
        <v>896</v>
      </c>
      <c r="O200" s="44">
        <f>Table110[[#This Row],[2020. EA ]]*0.338</f>
        <v>302.84800000000001</v>
      </c>
      <c r="P200" s="14" t="s">
        <v>2214</v>
      </c>
    </row>
    <row r="201" spans="1:16" x14ac:dyDescent="0.25">
      <c r="A201" s="14" t="str">
        <f t="shared" si="11"/>
        <v>09</v>
      </c>
      <c r="B201" t="s">
        <v>345</v>
      </c>
      <c r="C201" s="14" t="str">
        <f>VLOOKUP(B201,Table4[],2,FALSE)</f>
        <v xml:space="preserve"> Vinni pajusti Gümnaasium</v>
      </c>
      <c r="D201" s="39" t="str">
        <f>VLOOKUP(Table110[[#This Row],[Tegevusala]],Table4[[Tegevusala kood]:[Tegevusala alanimetus]],4,FALSE)</f>
        <v>Põhihariduse otsekulud</v>
      </c>
      <c r="E201" s="14" t="str">
        <f>VLOOKUP(C201,Table4[[Tegevusala nimetus]:[Tegevusala koondnimetus]],2,FALSE)</f>
        <v>Haridus</v>
      </c>
      <c r="F201" s="14" t="s">
        <v>1449</v>
      </c>
      <c r="G201" s="14" t="s">
        <v>1420</v>
      </c>
      <c r="H201" s="14">
        <v>0.36</v>
      </c>
      <c r="I201" s="14"/>
      <c r="J201" s="14">
        <v>700</v>
      </c>
      <c r="K201" s="14">
        <f t="shared" si="12"/>
        <v>252</v>
      </c>
      <c r="L201" s="37">
        <v>10</v>
      </c>
      <c r="M201" s="14"/>
      <c r="N201" s="44">
        <f>(K201*Table110[[#This Row],[Ühik2]])+M201</f>
        <v>2520</v>
      </c>
      <c r="O201" s="44">
        <f>Table110[[#This Row],[2020. EA ]]*0.338</f>
        <v>851.7600000000001</v>
      </c>
      <c r="P201" s="14"/>
    </row>
    <row r="202" spans="1:16" x14ac:dyDescent="0.25">
      <c r="A202" s="14" t="str">
        <f t="shared" si="11"/>
        <v>09</v>
      </c>
      <c r="B202" t="s">
        <v>345</v>
      </c>
      <c r="C202" s="14" t="str">
        <f>VLOOKUP(B202,Table4[],2,FALSE)</f>
        <v xml:space="preserve"> Vinni pajusti Gümnaasium</v>
      </c>
      <c r="D202" s="39" t="str">
        <f>VLOOKUP(Table110[[#This Row],[Tegevusala]],Table4[[Tegevusala kood]:[Tegevusala alanimetus]],4,FALSE)</f>
        <v>Põhihariduse otsekulud</v>
      </c>
      <c r="E202" s="14" t="str">
        <f>VLOOKUP(C202,Table4[[Tegevusala nimetus]:[Tegevusala koondnimetus]],2,FALSE)</f>
        <v>Haridus</v>
      </c>
      <c r="F202" s="14" t="s">
        <v>1449</v>
      </c>
      <c r="G202" s="14" t="s">
        <v>1421</v>
      </c>
      <c r="H202" s="14">
        <v>0.09</v>
      </c>
      <c r="I202" s="14"/>
      <c r="J202" s="14">
        <v>700</v>
      </c>
      <c r="K202" s="14">
        <f t="shared" si="12"/>
        <v>63</v>
      </c>
      <c r="L202" s="37">
        <v>10</v>
      </c>
      <c r="M202" s="14"/>
      <c r="N202" s="44">
        <f>(K202*Table110[[#This Row],[Ühik2]])+M202</f>
        <v>630</v>
      </c>
      <c r="O202" s="44">
        <f>Table110[[#This Row],[2020. EA ]]*0.338</f>
        <v>212.94000000000003</v>
      </c>
      <c r="P202" s="14" t="s">
        <v>2216</v>
      </c>
    </row>
    <row r="203" spans="1:16" x14ac:dyDescent="0.25">
      <c r="A203" s="14" t="str">
        <f t="shared" si="11"/>
        <v>09</v>
      </c>
      <c r="B203" t="s">
        <v>345</v>
      </c>
      <c r="C203" s="14" t="str">
        <f>VLOOKUP(B203,Table4[],2,FALSE)</f>
        <v xml:space="preserve"> Vinni pajusti Gümnaasium</v>
      </c>
      <c r="D203" s="39" t="str">
        <f>VLOOKUP(Table110[[#This Row],[Tegevusala]],Table4[[Tegevusala kood]:[Tegevusala alanimetus]],4,FALSE)</f>
        <v>Põhihariduse otsekulud</v>
      </c>
      <c r="E203" s="14" t="str">
        <f>VLOOKUP(C203,Table4[[Tegevusala nimetus]:[Tegevusala koondnimetus]],2,FALSE)</f>
        <v>Haridus</v>
      </c>
      <c r="F203" s="14" t="s">
        <v>1449</v>
      </c>
      <c r="G203" s="14" t="s">
        <v>1422</v>
      </c>
      <c r="H203" s="14">
        <v>0.36</v>
      </c>
      <c r="I203" s="14"/>
      <c r="J203" s="14">
        <v>700</v>
      </c>
      <c r="K203" s="14">
        <f t="shared" si="12"/>
        <v>252</v>
      </c>
      <c r="L203" s="37">
        <v>10</v>
      </c>
      <c r="M203" s="14"/>
      <c r="N203" s="44">
        <f>(K203*Table110[[#This Row],[Ühik2]])+M203</f>
        <v>2520</v>
      </c>
      <c r="O203" s="44">
        <f>Table110[[#This Row],[2020. EA ]]*0.338</f>
        <v>851.7600000000001</v>
      </c>
      <c r="P203" s="14"/>
    </row>
    <row r="204" spans="1:16" x14ac:dyDescent="0.25">
      <c r="A204" s="14" t="str">
        <f t="shared" si="11"/>
        <v>09</v>
      </c>
      <c r="B204" t="s">
        <v>345</v>
      </c>
      <c r="C204" s="14" t="str">
        <f>VLOOKUP(B204,Table4[],2,FALSE)</f>
        <v xml:space="preserve"> Vinni pajusti Gümnaasium</v>
      </c>
      <c r="D204" s="39" t="str">
        <f>VLOOKUP(Table110[[#This Row],[Tegevusala]],Table4[[Tegevusala kood]:[Tegevusala alanimetus]],4,FALSE)</f>
        <v>Põhihariduse otsekulud</v>
      </c>
      <c r="E204" s="14" t="str">
        <f>VLOOKUP(C204,Table4[[Tegevusala nimetus]:[Tegevusala koondnimetus]],2,FALSE)</f>
        <v>Haridus</v>
      </c>
      <c r="F204" s="14" t="s">
        <v>1449</v>
      </c>
      <c r="G204" s="14" t="s">
        <v>1423</v>
      </c>
      <c r="H204" s="14">
        <v>0.09</v>
      </c>
      <c r="I204" s="14"/>
      <c r="J204" s="14">
        <v>700</v>
      </c>
      <c r="K204" s="14">
        <f t="shared" si="12"/>
        <v>63</v>
      </c>
      <c r="L204" s="37">
        <v>10</v>
      </c>
      <c r="M204" s="14"/>
      <c r="N204" s="44">
        <f>(K204*Table110[[#This Row],[Ühik2]])+M204</f>
        <v>630</v>
      </c>
      <c r="O204" s="44">
        <f>Table110[[#This Row],[2020. EA ]]*0.338</f>
        <v>212.94000000000003</v>
      </c>
      <c r="P204" s="14" t="s">
        <v>2217</v>
      </c>
    </row>
    <row r="205" spans="1:16" x14ac:dyDescent="0.25">
      <c r="A205" s="14" t="str">
        <f t="shared" si="11"/>
        <v>09</v>
      </c>
      <c r="B205" t="s">
        <v>345</v>
      </c>
      <c r="C205" s="14" t="str">
        <f>VLOOKUP(B205,Table4[],2,FALSE)</f>
        <v xml:space="preserve"> Vinni pajusti Gümnaasium</v>
      </c>
      <c r="D205" s="39" t="str">
        <f>VLOOKUP(Table110[[#This Row],[Tegevusala]],Table4[[Tegevusala kood]:[Tegevusala alanimetus]],4,FALSE)</f>
        <v>Põhihariduse otsekulud</v>
      </c>
      <c r="E205" s="14" t="str">
        <f>VLOOKUP(C205,Table4[[Tegevusala nimetus]:[Tegevusala koondnimetus]],2,FALSE)</f>
        <v>Haridus</v>
      </c>
      <c r="F205" s="14" t="s">
        <v>1449</v>
      </c>
      <c r="G205" s="14" t="s">
        <v>1423</v>
      </c>
      <c r="H205" s="14">
        <v>0.09</v>
      </c>
      <c r="I205" s="14"/>
      <c r="J205" s="14">
        <v>700</v>
      </c>
      <c r="K205" s="14">
        <f t="shared" si="12"/>
        <v>63</v>
      </c>
      <c r="L205" s="37">
        <v>10</v>
      </c>
      <c r="M205" s="14"/>
      <c r="N205" s="44">
        <f>(K205*Table110[[#This Row],[Ühik2]])+M205</f>
        <v>630</v>
      </c>
      <c r="O205" s="44">
        <f>Table110[[#This Row],[2020. EA ]]*0.338</f>
        <v>212.94000000000003</v>
      </c>
      <c r="P205" s="14" t="s">
        <v>2217</v>
      </c>
    </row>
    <row r="206" spans="1:16" x14ac:dyDescent="0.25">
      <c r="A206" s="14" t="str">
        <f t="shared" si="11"/>
        <v>09</v>
      </c>
      <c r="B206" t="s">
        <v>345</v>
      </c>
      <c r="C206" s="14" t="str">
        <f>VLOOKUP(B206,Table4[],2,FALSE)</f>
        <v xml:space="preserve"> Vinni pajusti Gümnaasium</v>
      </c>
      <c r="D206" s="39" t="str">
        <f>VLOOKUP(Table110[[#This Row],[Tegevusala]],Table4[[Tegevusala kood]:[Tegevusala alanimetus]],4,FALSE)</f>
        <v>Põhihariduse otsekulud</v>
      </c>
      <c r="E206" s="14" t="str">
        <f>VLOOKUP(C206,Table4[[Tegevusala nimetus]:[Tegevusala koondnimetus]],2,FALSE)</f>
        <v>Haridus</v>
      </c>
      <c r="F206" s="14" t="s">
        <v>1449</v>
      </c>
      <c r="G206" s="14" t="s">
        <v>1424</v>
      </c>
      <c r="H206" s="14">
        <v>0.09</v>
      </c>
      <c r="I206" s="14"/>
      <c r="J206" s="14">
        <v>700</v>
      </c>
      <c r="K206" s="14">
        <f t="shared" si="12"/>
        <v>63</v>
      </c>
      <c r="L206" s="37">
        <v>4</v>
      </c>
      <c r="M206" s="14"/>
      <c r="N206" s="44">
        <f>(K206*Table110[[#This Row],[Ühik2]])+M206</f>
        <v>252</v>
      </c>
      <c r="O206" s="44">
        <f>Table110[[#This Row],[2020. EA ]]*0.338</f>
        <v>85.176000000000002</v>
      </c>
      <c r="P206" s="14" t="s">
        <v>2214</v>
      </c>
    </row>
    <row r="207" spans="1:16" x14ac:dyDescent="0.25">
      <c r="A207" s="14" t="str">
        <f t="shared" si="11"/>
        <v>09</v>
      </c>
      <c r="B207" t="s">
        <v>345</v>
      </c>
      <c r="C207" s="14" t="str">
        <f>VLOOKUP(B207,Table4[],2,FALSE)</f>
        <v xml:space="preserve"> Vinni pajusti Gümnaasium</v>
      </c>
      <c r="D207" s="39" t="str">
        <f>VLOOKUP(Table110[[#This Row],[Tegevusala]],Table4[[Tegevusala kood]:[Tegevusala alanimetus]],4,FALSE)</f>
        <v>Põhihariduse otsekulud</v>
      </c>
      <c r="E207" s="14" t="str">
        <f>VLOOKUP(C207,Table4[[Tegevusala nimetus]:[Tegevusala koondnimetus]],2,FALSE)</f>
        <v>Haridus</v>
      </c>
      <c r="F207" s="14" t="s">
        <v>1449</v>
      </c>
      <c r="G207" s="14" t="s">
        <v>1425</v>
      </c>
      <c r="H207" s="14">
        <v>0.18</v>
      </c>
      <c r="I207" s="14"/>
      <c r="J207" s="14">
        <v>700</v>
      </c>
      <c r="K207" s="14">
        <f t="shared" si="12"/>
        <v>126</v>
      </c>
      <c r="L207" s="37">
        <v>10</v>
      </c>
      <c r="M207" s="14"/>
      <c r="N207" s="44">
        <f>(K207*Table110[[#This Row],[Ühik2]])+M207</f>
        <v>1260</v>
      </c>
      <c r="O207" s="44">
        <f>Table110[[#This Row],[2020. EA ]]*0.338</f>
        <v>425.88000000000005</v>
      </c>
      <c r="P207" s="14"/>
    </row>
    <row r="208" spans="1:16" x14ac:dyDescent="0.25">
      <c r="A208" s="14" t="str">
        <f t="shared" si="11"/>
        <v>09</v>
      </c>
      <c r="B208" t="s">
        <v>345</v>
      </c>
      <c r="C208" s="14" t="str">
        <f>VLOOKUP(B208,Table4[],2,FALSE)</f>
        <v xml:space="preserve"> Vinni pajusti Gümnaasium</v>
      </c>
      <c r="D208" s="39" t="str">
        <f>VLOOKUP(Table110[[#This Row],[Tegevusala]],Table4[[Tegevusala kood]:[Tegevusala alanimetus]],4,FALSE)</f>
        <v>Põhihariduse otsekulud</v>
      </c>
      <c r="E208" s="14" t="str">
        <f>VLOOKUP(C208,Table4[[Tegevusala nimetus]:[Tegevusala koondnimetus]],2,FALSE)</f>
        <v>Haridus</v>
      </c>
      <c r="F208" s="14" t="s">
        <v>1449</v>
      </c>
      <c r="G208" s="14" t="s">
        <v>1426</v>
      </c>
      <c r="H208" s="14">
        <v>0.09</v>
      </c>
      <c r="I208" s="14"/>
      <c r="J208" s="14">
        <v>700</v>
      </c>
      <c r="K208" s="14">
        <f t="shared" si="12"/>
        <v>63</v>
      </c>
      <c r="L208" s="37">
        <v>4</v>
      </c>
      <c r="M208" s="14"/>
      <c r="N208" s="44">
        <f>(K208*Table110[[#This Row],[Ühik2]])+M208</f>
        <v>252</v>
      </c>
      <c r="O208" s="44">
        <f>Table110[[#This Row],[2020. EA ]]*0.338</f>
        <v>85.176000000000002</v>
      </c>
      <c r="P208" s="14" t="s">
        <v>2214</v>
      </c>
    </row>
    <row r="209" spans="1:16" x14ac:dyDescent="0.25">
      <c r="A209" s="14" t="str">
        <f t="shared" si="11"/>
        <v>09</v>
      </c>
      <c r="B209" t="s">
        <v>345</v>
      </c>
      <c r="C209" s="14" t="str">
        <f>VLOOKUP(B209,Table4[],2,FALSE)</f>
        <v xml:space="preserve"> Vinni pajusti Gümnaasium</v>
      </c>
      <c r="D209" s="39" t="str">
        <f>VLOOKUP(Table110[[#This Row],[Tegevusala]],Table4[[Tegevusala kood]:[Tegevusala alanimetus]],4,FALSE)</f>
        <v>Põhihariduse otsekulud</v>
      </c>
      <c r="E209" s="14" t="str">
        <f>VLOOKUP(C209,Table4[[Tegevusala nimetus]:[Tegevusala koondnimetus]],2,FALSE)</f>
        <v>Haridus</v>
      </c>
      <c r="F209" s="14" t="s">
        <v>1449</v>
      </c>
      <c r="G209" s="14" t="s">
        <v>1426</v>
      </c>
      <c r="H209" s="14">
        <v>0.45</v>
      </c>
      <c r="I209" s="14"/>
      <c r="J209" s="14">
        <v>700</v>
      </c>
      <c r="K209" s="14">
        <f t="shared" si="12"/>
        <v>315</v>
      </c>
      <c r="L209" s="37">
        <v>10</v>
      </c>
      <c r="M209" s="14"/>
      <c r="N209" s="44">
        <f>(K209*Table110[[#This Row],[Ühik2]])+M209</f>
        <v>3150</v>
      </c>
      <c r="O209" s="44">
        <f>Table110[[#This Row],[2020. EA ]]*0.338</f>
        <v>1064.7</v>
      </c>
      <c r="P209" s="14"/>
    </row>
    <row r="210" spans="1:16" x14ac:dyDescent="0.25">
      <c r="A210" s="14" t="str">
        <f t="shared" si="11"/>
        <v>09</v>
      </c>
      <c r="B210" t="s">
        <v>345</v>
      </c>
      <c r="C210" s="14" t="str">
        <f>VLOOKUP(B210,Table4[],2,FALSE)</f>
        <v xml:space="preserve"> Vinni pajusti Gümnaasium</v>
      </c>
      <c r="D210" s="39" t="str">
        <f>VLOOKUP(Table110[[#This Row],[Tegevusala]],Table4[[Tegevusala kood]:[Tegevusala alanimetus]],4,FALSE)</f>
        <v>Põhihariduse otsekulud</v>
      </c>
      <c r="E210" s="14" t="str">
        <f>VLOOKUP(C210,Table4[[Tegevusala nimetus]:[Tegevusala koondnimetus]],2,FALSE)</f>
        <v>Haridus</v>
      </c>
      <c r="F210" s="14" t="s">
        <v>1449</v>
      </c>
      <c r="G210" s="14" t="s">
        <v>1427</v>
      </c>
      <c r="H210" s="14">
        <v>0.18</v>
      </c>
      <c r="I210" s="14"/>
      <c r="J210" s="14">
        <v>700</v>
      </c>
      <c r="K210" s="14">
        <f t="shared" si="12"/>
        <v>126</v>
      </c>
      <c r="L210" s="37">
        <v>10</v>
      </c>
      <c r="M210" s="14"/>
      <c r="N210" s="44">
        <f>(K210*Table110[[#This Row],[Ühik2]])+M210</f>
        <v>1260</v>
      </c>
      <c r="O210" s="44">
        <f>Table110[[#This Row],[2020. EA ]]*0.338</f>
        <v>425.88000000000005</v>
      </c>
      <c r="P210" s="14"/>
    </row>
    <row r="211" spans="1:16" x14ac:dyDescent="0.25">
      <c r="A211" s="14" t="str">
        <f t="shared" si="11"/>
        <v>09</v>
      </c>
      <c r="B211" t="s">
        <v>345</v>
      </c>
      <c r="C211" s="14" t="str">
        <f>VLOOKUP(B211,Table4[],2,FALSE)</f>
        <v xml:space="preserve"> Vinni pajusti Gümnaasium</v>
      </c>
      <c r="D211" s="39" t="str">
        <f>VLOOKUP(Table110[[#This Row],[Tegevusala]],Table4[[Tegevusala kood]:[Tegevusala alanimetus]],4,FALSE)</f>
        <v>Põhihariduse otsekulud</v>
      </c>
      <c r="E211" s="14" t="str">
        <f>VLOOKUP(C211,Table4[[Tegevusala nimetus]:[Tegevusala koondnimetus]],2,FALSE)</f>
        <v>Haridus</v>
      </c>
      <c r="F211" s="14" t="s">
        <v>1449</v>
      </c>
      <c r="G211" s="14" t="s">
        <v>1428</v>
      </c>
      <c r="H211" s="14">
        <v>0.05</v>
      </c>
      <c r="I211" s="14"/>
      <c r="J211" s="14">
        <v>700</v>
      </c>
      <c r="K211" s="14">
        <f t="shared" si="12"/>
        <v>35</v>
      </c>
      <c r="L211" s="37">
        <v>10</v>
      </c>
      <c r="M211" s="14"/>
      <c r="N211" s="44">
        <f>(K211*Table110[[#This Row],[Ühik2]])+M211</f>
        <v>350</v>
      </c>
      <c r="O211" s="44">
        <f>Table110[[#This Row],[2020. EA ]]*0.338</f>
        <v>118.30000000000001</v>
      </c>
      <c r="P211" s="14" t="s">
        <v>2216</v>
      </c>
    </row>
    <row r="212" spans="1:16" x14ac:dyDescent="0.25">
      <c r="A212" s="14" t="str">
        <f t="shared" si="11"/>
        <v>09</v>
      </c>
      <c r="B212" t="s">
        <v>345</v>
      </c>
      <c r="C212" s="14" t="str">
        <f>VLOOKUP(B212,Table4[],2,FALSE)</f>
        <v xml:space="preserve"> Vinni pajusti Gümnaasium</v>
      </c>
      <c r="D212" s="39" t="str">
        <f>VLOOKUP(Table110[[#This Row],[Tegevusala]],Table4[[Tegevusala kood]:[Tegevusala alanimetus]],4,FALSE)</f>
        <v>Põhihariduse otsekulud</v>
      </c>
      <c r="E212" s="14" t="str">
        <f>VLOOKUP(C212,Table4[[Tegevusala nimetus]:[Tegevusala koondnimetus]],2,FALSE)</f>
        <v>Haridus</v>
      </c>
      <c r="F212" s="14" t="s">
        <v>1449</v>
      </c>
      <c r="G212" s="14" t="s">
        <v>1429</v>
      </c>
      <c r="H212" s="14">
        <v>0.05</v>
      </c>
      <c r="I212" s="14"/>
      <c r="J212" s="14">
        <v>700</v>
      </c>
      <c r="K212" s="14">
        <f t="shared" si="12"/>
        <v>35</v>
      </c>
      <c r="L212" s="37">
        <v>10</v>
      </c>
      <c r="M212" s="14"/>
      <c r="N212" s="44">
        <f>(K212*Table110[[#This Row],[Ühik2]])+M212</f>
        <v>350</v>
      </c>
      <c r="O212" s="44">
        <f>Table110[[#This Row],[2020. EA ]]*0.338</f>
        <v>118.30000000000001</v>
      </c>
      <c r="P212" s="14"/>
    </row>
    <row r="213" spans="1:16" x14ac:dyDescent="0.25">
      <c r="A213" s="14" t="str">
        <f t="shared" si="11"/>
        <v>09</v>
      </c>
      <c r="B213" t="s">
        <v>345</v>
      </c>
      <c r="C213" s="14" t="str">
        <f>VLOOKUP(B213,Table4[],2,FALSE)</f>
        <v xml:space="preserve"> Vinni pajusti Gümnaasium</v>
      </c>
      <c r="D213" s="39" t="str">
        <f>VLOOKUP(Table110[[#This Row],[Tegevusala]],Table4[[Tegevusala kood]:[Tegevusala alanimetus]],4,FALSE)</f>
        <v>Põhihariduse otsekulud</v>
      </c>
      <c r="E213" s="14" t="str">
        <f>VLOOKUP(C213,Table4[[Tegevusala nimetus]:[Tegevusala koondnimetus]],2,FALSE)</f>
        <v>Haridus</v>
      </c>
      <c r="F213" s="14" t="s">
        <v>1449</v>
      </c>
      <c r="G213" s="14" t="s">
        <v>1429</v>
      </c>
      <c r="H213" s="14">
        <v>0.09</v>
      </c>
      <c r="I213" s="14"/>
      <c r="J213" s="14">
        <v>700</v>
      </c>
      <c r="K213" s="14">
        <f t="shared" si="12"/>
        <v>63</v>
      </c>
      <c r="L213" s="37">
        <v>10</v>
      </c>
      <c r="M213" s="14"/>
      <c r="N213" s="44">
        <f>(K213*Table110[[#This Row],[Ühik2]])+M213</f>
        <v>630</v>
      </c>
      <c r="O213" s="44">
        <f>Table110[[#This Row],[2020. EA ]]*0.338</f>
        <v>212.94000000000003</v>
      </c>
      <c r="P213" s="14"/>
    </row>
    <row r="214" spans="1:16" x14ac:dyDescent="0.25">
      <c r="A214" s="14" t="str">
        <f t="shared" si="11"/>
        <v>09</v>
      </c>
      <c r="B214" t="s">
        <v>345</v>
      </c>
      <c r="C214" s="14" t="str">
        <f>VLOOKUP(B214,Table4[],2,FALSE)</f>
        <v xml:space="preserve"> Vinni pajusti Gümnaasium</v>
      </c>
      <c r="D214" s="39" t="str">
        <f>VLOOKUP(Table110[[#This Row],[Tegevusala]],Table4[[Tegevusala kood]:[Tegevusala alanimetus]],4,FALSE)</f>
        <v>Põhihariduse otsekulud</v>
      </c>
      <c r="E214" s="14" t="str">
        <f>VLOOKUP(C214,Table4[[Tegevusala nimetus]:[Tegevusala koondnimetus]],2,FALSE)</f>
        <v>Haridus</v>
      </c>
      <c r="F214" s="14" t="s">
        <v>1449</v>
      </c>
      <c r="G214" s="14" t="s">
        <v>1430</v>
      </c>
      <c r="H214" s="14">
        <v>0.09</v>
      </c>
      <c r="I214" s="14"/>
      <c r="J214" s="14">
        <v>700</v>
      </c>
      <c r="K214" s="14">
        <f t="shared" si="12"/>
        <v>63</v>
      </c>
      <c r="L214" s="37">
        <v>10</v>
      </c>
      <c r="M214" s="14"/>
      <c r="N214" s="44">
        <f>(K214*Table110[[#This Row],[Ühik2]])+M214</f>
        <v>630</v>
      </c>
      <c r="O214" s="44">
        <f>Table110[[#This Row],[2020. EA ]]*0.338</f>
        <v>212.94000000000003</v>
      </c>
      <c r="P214" s="14"/>
    </row>
    <row r="215" spans="1:16" x14ac:dyDescent="0.25">
      <c r="A215" s="14" t="str">
        <f t="shared" si="11"/>
        <v>09</v>
      </c>
      <c r="B215" t="s">
        <v>345</v>
      </c>
      <c r="C215" s="14" t="str">
        <f>VLOOKUP(B215,Table4[],2,FALSE)</f>
        <v xml:space="preserve"> Vinni pajusti Gümnaasium</v>
      </c>
      <c r="D215" s="39" t="str">
        <f>VLOOKUP(Table110[[#This Row],[Tegevusala]],Table4[[Tegevusala kood]:[Tegevusala alanimetus]],4,FALSE)</f>
        <v>Põhihariduse otsekulud</v>
      </c>
      <c r="E215" s="14" t="str">
        <f>VLOOKUP(C215,Table4[[Tegevusala nimetus]:[Tegevusala koondnimetus]],2,FALSE)</f>
        <v>Haridus</v>
      </c>
      <c r="F215" s="14" t="s">
        <v>1449</v>
      </c>
      <c r="G215" s="14" t="s">
        <v>1431</v>
      </c>
      <c r="H215" s="14">
        <v>0.18</v>
      </c>
      <c r="I215" s="14"/>
      <c r="J215" s="14">
        <v>700</v>
      </c>
      <c r="K215" s="14">
        <f t="shared" si="12"/>
        <v>126</v>
      </c>
      <c r="L215" s="37">
        <v>4</v>
      </c>
      <c r="M215" s="14"/>
      <c r="N215" s="44">
        <f>(K215*Table110[[#This Row],[Ühik2]])+M215</f>
        <v>504</v>
      </c>
      <c r="O215" s="44">
        <f>Table110[[#This Row],[2020. EA ]]*0.338</f>
        <v>170.352</v>
      </c>
      <c r="P215" s="14" t="s">
        <v>2214</v>
      </c>
    </row>
    <row r="216" spans="1:16" x14ac:dyDescent="0.25">
      <c r="A216" s="14" t="str">
        <f t="shared" si="11"/>
        <v>09</v>
      </c>
      <c r="B216" t="s">
        <v>345</v>
      </c>
      <c r="C216" s="14" t="str">
        <f>VLOOKUP(B216,Table4[],2,FALSE)</f>
        <v xml:space="preserve"> Vinni pajusti Gümnaasium</v>
      </c>
      <c r="D216" s="39" t="str">
        <f>VLOOKUP(Table110[[#This Row],[Tegevusala]],Table4[[Tegevusala kood]:[Tegevusala alanimetus]],4,FALSE)</f>
        <v>Põhihariduse otsekulud</v>
      </c>
      <c r="E216" s="14" t="str">
        <f>VLOOKUP(C216,Table4[[Tegevusala nimetus]:[Tegevusala koondnimetus]],2,FALSE)</f>
        <v>Haridus</v>
      </c>
      <c r="F216" s="14" t="s">
        <v>1449</v>
      </c>
      <c r="G216" s="14" t="s">
        <v>1432</v>
      </c>
      <c r="H216" s="14">
        <v>0.36</v>
      </c>
      <c r="I216" s="14"/>
      <c r="J216" s="14">
        <v>700</v>
      </c>
      <c r="K216" s="14">
        <f t="shared" si="12"/>
        <v>252</v>
      </c>
      <c r="L216" s="37">
        <v>10</v>
      </c>
      <c r="M216" s="14"/>
      <c r="N216" s="44">
        <f>(K216*Table110[[#This Row],[Ühik2]])+M216</f>
        <v>2520</v>
      </c>
      <c r="O216" s="44">
        <f>Table110[[#This Row],[2020. EA ]]*0.338</f>
        <v>851.7600000000001</v>
      </c>
      <c r="P216" s="14"/>
    </row>
    <row r="217" spans="1:16" x14ac:dyDescent="0.25">
      <c r="A217" s="14" t="str">
        <f t="shared" si="11"/>
        <v>09</v>
      </c>
      <c r="B217" t="s">
        <v>345</v>
      </c>
      <c r="C217" s="14" t="str">
        <f>VLOOKUP(B217,Table4[],2,FALSE)</f>
        <v xml:space="preserve"> Vinni pajusti Gümnaasium</v>
      </c>
      <c r="D217" s="39" t="str">
        <f>VLOOKUP(Table110[[#This Row],[Tegevusala]],Table4[[Tegevusala kood]:[Tegevusala alanimetus]],4,FALSE)</f>
        <v>Põhihariduse otsekulud</v>
      </c>
      <c r="E217" s="14" t="str">
        <f>VLOOKUP(C217,Table4[[Tegevusala nimetus]:[Tegevusala koondnimetus]],2,FALSE)</f>
        <v>Haridus</v>
      </c>
      <c r="F217" s="14" t="s">
        <v>1449</v>
      </c>
      <c r="G217" s="14" t="s">
        <v>1433</v>
      </c>
      <c r="H217" s="14">
        <v>0.09</v>
      </c>
      <c r="I217" s="14"/>
      <c r="J217" s="14">
        <v>700</v>
      </c>
      <c r="K217" s="14">
        <f t="shared" si="12"/>
        <v>63</v>
      </c>
      <c r="L217" s="37">
        <v>10</v>
      </c>
      <c r="M217" s="14"/>
      <c r="N217" s="44">
        <f>(K217*Table110[[#This Row],[Ühik2]])+M217</f>
        <v>630</v>
      </c>
      <c r="O217" s="44">
        <f>Table110[[#This Row],[2020. EA ]]*0.338</f>
        <v>212.94000000000003</v>
      </c>
      <c r="P217" s="14" t="s">
        <v>2216</v>
      </c>
    </row>
    <row r="218" spans="1:16" x14ac:dyDescent="0.25">
      <c r="A218" s="14" t="str">
        <f t="shared" si="11"/>
        <v>09</v>
      </c>
      <c r="B218" t="s">
        <v>345</v>
      </c>
      <c r="C218" s="14" t="str">
        <f>VLOOKUP(B218,Table4[],2,FALSE)</f>
        <v xml:space="preserve"> Vinni pajusti Gümnaasium</v>
      </c>
      <c r="D218" s="39" t="str">
        <f>VLOOKUP(Table110[[#This Row],[Tegevusala]],Table4[[Tegevusala kood]:[Tegevusala alanimetus]],4,FALSE)</f>
        <v>Põhihariduse otsekulud</v>
      </c>
      <c r="E218" s="14" t="str">
        <f>VLOOKUP(C218,Table4[[Tegevusala nimetus]:[Tegevusala koondnimetus]],2,FALSE)</f>
        <v>Haridus</v>
      </c>
      <c r="F218" s="14" t="s">
        <v>1449</v>
      </c>
      <c r="G218" s="14" t="s">
        <v>1434</v>
      </c>
      <c r="H218" s="14">
        <v>0.45</v>
      </c>
      <c r="I218" s="14"/>
      <c r="J218" s="14">
        <v>700</v>
      </c>
      <c r="K218" s="14">
        <f t="shared" si="12"/>
        <v>315</v>
      </c>
      <c r="L218" s="37">
        <v>10</v>
      </c>
      <c r="M218" s="14"/>
      <c r="N218" s="44">
        <f>(K218*Table110[[#This Row],[Ühik2]])+M218</f>
        <v>3150</v>
      </c>
      <c r="O218" s="44">
        <f>Table110[[#This Row],[2020. EA ]]*0.338</f>
        <v>1064.7</v>
      </c>
      <c r="P218" s="14"/>
    </row>
    <row r="219" spans="1:16" x14ac:dyDescent="0.25">
      <c r="A219" s="14" t="str">
        <f t="shared" si="11"/>
        <v>09</v>
      </c>
      <c r="B219" t="s">
        <v>345</v>
      </c>
      <c r="C219" s="14" t="str">
        <f>VLOOKUP(B219,Table4[],2,FALSE)</f>
        <v xml:space="preserve"> Vinni pajusti Gümnaasium</v>
      </c>
      <c r="D219" s="39" t="str">
        <f>VLOOKUP(Table110[[#This Row],[Tegevusala]],Table4[[Tegevusala kood]:[Tegevusala alanimetus]],4,FALSE)</f>
        <v>Põhihariduse otsekulud</v>
      </c>
      <c r="E219" s="14" t="str">
        <f>VLOOKUP(C219,Table4[[Tegevusala nimetus]:[Tegevusala koondnimetus]],2,FALSE)</f>
        <v>Haridus</v>
      </c>
      <c r="F219" s="14" t="s">
        <v>1449</v>
      </c>
      <c r="G219" s="14" t="s">
        <v>1435</v>
      </c>
      <c r="H219" s="14">
        <v>0.09</v>
      </c>
      <c r="I219" s="14"/>
      <c r="J219" s="14">
        <v>700</v>
      </c>
      <c r="K219" s="14">
        <f t="shared" si="12"/>
        <v>63</v>
      </c>
      <c r="L219" s="37">
        <v>10</v>
      </c>
      <c r="M219" s="14"/>
      <c r="N219" s="44">
        <f>(K219*Table110[[#This Row],[Ühik2]])+M219</f>
        <v>630</v>
      </c>
      <c r="O219" s="44">
        <f>Table110[[#This Row],[2020. EA ]]*0.338</f>
        <v>212.94000000000003</v>
      </c>
      <c r="P219" s="14" t="s">
        <v>2216</v>
      </c>
    </row>
    <row r="220" spans="1:16" x14ac:dyDescent="0.25">
      <c r="A220" s="14" t="str">
        <f t="shared" si="11"/>
        <v>09</v>
      </c>
      <c r="B220" t="s">
        <v>345</v>
      </c>
      <c r="C220" s="14" t="str">
        <f>VLOOKUP(B220,Table4[],2,FALSE)</f>
        <v xml:space="preserve"> Vinni pajusti Gümnaasium</v>
      </c>
      <c r="D220" s="39" t="str">
        <f>VLOOKUP(Table110[[#This Row],[Tegevusala]],Table4[[Tegevusala kood]:[Tegevusala alanimetus]],4,FALSE)</f>
        <v>Põhihariduse otsekulud</v>
      </c>
      <c r="E220" s="14" t="str">
        <f>VLOOKUP(C220,Table4[[Tegevusala nimetus]:[Tegevusala koondnimetus]],2,FALSE)</f>
        <v>Haridus</v>
      </c>
      <c r="F220" s="14" t="s">
        <v>1449</v>
      </c>
      <c r="G220" s="14" t="s">
        <v>1436</v>
      </c>
      <c r="H220" s="14">
        <v>0.18</v>
      </c>
      <c r="I220" s="14"/>
      <c r="J220" s="14">
        <v>700</v>
      </c>
      <c r="K220" s="14">
        <f t="shared" si="12"/>
        <v>126</v>
      </c>
      <c r="L220" s="37">
        <v>4</v>
      </c>
      <c r="M220" s="14"/>
      <c r="N220" s="44">
        <f>(K220*Table110[[#This Row],[Ühik2]])+M220</f>
        <v>504</v>
      </c>
      <c r="O220" s="44">
        <f>Table110[[#This Row],[2020. EA ]]*0.338</f>
        <v>170.352</v>
      </c>
      <c r="P220" s="14" t="s">
        <v>2214</v>
      </c>
    </row>
    <row r="221" spans="1:16" x14ac:dyDescent="0.25">
      <c r="A221" s="14" t="str">
        <f t="shared" si="11"/>
        <v>09</v>
      </c>
      <c r="B221" t="s">
        <v>345</v>
      </c>
      <c r="C221" s="14" t="str">
        <f>VLOOKUP(B221,Table4[],2,FALSE)</f>
        <v xml:space="preserve"> Vinni pajusti Gümnaasium</v>
      </c>
      <c r="D221" s="39" t="str">
        <f>VLOOKUP(Table110[[#This Row],[Tegevusala]],Table4[[Tegevusala kood]:[Tegevusala alanimetus]],4,FALSE)</f>
        <v>Põhihariduse otsekulud</v>
      </c>
      <c r="E221" s="14" t="str">
        <f>VLOOKUP(C221,Table4[[Tegevusala nimetus]:[Tegevusala koondnimetus]],2,FALSE)</f>
        <v>Haridus</v>
      </c>
      <c r="F221" s="14" t="s">
        <v>1449</v>
      </c>
      <c r="G221" s="14" t="s">
        <v>1437</v>
      </c>
      <c r="H221" s="14">
        <v>0.25</v>
      </c>
      <c r="I221" s="14"/>
      <c r="J221" s="14">
        <v>700</v>
      </c>
      <c r="K221" s="14">
        <f t="shared" si="12"/>
        <v>175</v>
      </c>
      <c r="L221" s="37">
        <v>10</v>
      </c>
      <c r="M221" s="14"/>
      <c r="N221" s="44">
        <f>(K221*Table110[[#This Row],[Ühik2]])+M221</f>
        <v>1750</v>
      </c>
      <c r="O221" s="44">
        <f>Table110[[#This Row],[2020. EA ]]*0.338</f>
        <v>591.5</v>
      </c>
      <c r="P221" s="14" t="s">
        <v>2216</v>
      </c>
    </row>
    <row r="222" spans="1:16" x14ac:dyDescent="0.25">
      <c r="A222" s="14" t="str">
        <f t="shared" si="11"/>
        <v>09</v>
      </c>
      <c r="B222" t="s">
        <v>345</v>
      </c>
      <c r="C222" s="14" t="str">
        <f>VLOOKUP(B222,Table4[],2,FALSE)</f>
        <v xml:space="preserve"> Vinni pajusti Gümnaasium</v>
      </c>
      <c r="D222" s="39" t="str">
        <f>VLOOKUP(Table110[[#This Row],[Tegevusala]],Table4[[Tegevusala kood]:[Tegevusala alanimetus]],4,FALSE)</f>
        <v>Põhihariduse otsekulud</v>
      </c>
      <c r="E222" s="14" t="str">
        <f>VLOOKUP(C222,Table4[[Tegevusala nimetus]:[Tegevusala koondnimetus]],2,FALSE)</f>
        <v>Haridus</v>
      </c>
      <c r="F222" s="14" t="s">
        <v>1449</v>
      </c>
      <c r="G222" s="14" t="s">
        <v>1438</v>
      </c>
      <c r="H222" s="14">
        <v>0.09</v>
      </c>
      <c r="I222" s="14"/>
      <c r="J222" s="14">
        <v>700</v>
      </c>
      <c r="K222" s="14">
        <f t="shared" si="12"/>
        <v>63</v>
      </c>
      <c r="L222" s="37">
        <v>10</v>
      </c>
      <c r="M222" s="14"/>
      <c r="N222" s="44">
        <f>(K222*Table110[[#This Row],[Ühik2]])+M222</f>
        <v>630</v>
      </c>
      <c r="O222" s="44">
        <f>Table110[[#This Row],[2020. EA ]]*0.338</f>
        <v>212.94000000000003</v>
      </c>
      <c r="P222" s="14"/>
    </row>
    <row r="223" spans="1:16" x14ac:dyDescent="0.25">
      <c r="A223" s="14" t="str">
        <f t="shared" si="11"/>
        <v>09</v>
      </c>
      <c r="B223" t="s">
        <v>345</v>
      </c>
      <c r="C223" s="14" t="str">
        <f>VLOOKUP(B223,Table4[],2,FALSE)</f>
        <v xml:space="preserve"> Vinni pajusti Gümnaasium</v>
      </c>
      <c r="D223" s="39" t="str">
        <f>VLOOKUP(Table110[[#This Row],[Tegevusala]],Table4[[Tegevusala kood]:[Tegevusala alanimetus]],4,FALSE)</f>
        <v>Põhihariduse otsekulud</v>
      </c>
      <c r="E223" s="14" t="str">
        <f>VLOOKUP(C223,Table4[[Tegevusala nimetus]:[Tegevusala koondnimetus]],2,FALSE)</f>
        <v>Haridus</v>
      </c>
      <c r="F223" s="14" t="s">
        <v>1449</v>
      </c>
      <c r="G223" s="14" t="s">
        <v>1439</v>
      </c>
      <c r="H223" s="14">
        <v>0.09</v>
      </c>
      <c r="I223" s="14"/>
      <c r="J223" s="14">
        <v>700</v>
      </c>
      <c r="K223" s="14">
        <f t="shared" si="12"/>
        <v>63</v>
      </c>
      <c r="L223" s="37">
        <v>10</v>
      </c>
      <c r="M223" s="14"/>
      <c r="N223" s="44">
        <f>(K223*Table110[[#This Row],[Ühik2]])+M223</f>
        <v>630</v>
      </c>
      <c r="O223" s="44">
        <f>Table110[[#This Row],[2020. EA ]]*0.338</f>
        <v>212.94000000000003</v>
      </c>
      <c r="P223" s="14" t="s">
        <v>2216</v>
      </c>
    </row>
    <row r="224" spans="1:16" x14ac:dyDescent="0.25">
      <c r="A224" s="14" t="str">
        <f t="shared" si="11"/>
        <v>09</v>
      </c>
      <c r="B224" t="s">
        <v>345</v>
      </c>
      <c r="C224" s="14" t="str">
        <f>VLOOKUP(B224,Table4[],2,FALSE)</f>
        <v xml:space="preserve"> Vinni pajusti Gümnaasium</v>
      </c>
      <c r="D224" s="39" t="str">
        <f>VLOOKUP(Table110[[#This Row],[Tegevusala]],Table4[[Tegevusala kood]:[Tegevusala alanimetus]],4,FALSE)</f>
        <v>Põhihariduse otsekulud</v>
      </c>
      <c r="E224" s="14" t="str">
        <f>VLOOKUP(C224,Table4[[Tegevusala nimetus]:[Tegevusala koondnimetus]],2,FALSE)</f>
        <v>Haridus</v>
      </c>
      <c r="F224" s="14" t="s">
        <v>1449</v>
      </c>
      <c r="G224" s="14" t="s">
        <v>1440</v>
      </c>
      <c r="H224" s="14">
        <v>0.14000000000000001</v>
      </c>
      <c r="I224" s="14"/>
      <c r="J224" s="14">
        <v>700</v>
      </c>
      <c r="K224" s="14">
        <f t="shared" si="12"/>
        <v>98.000000000000014</v>
      </c>
      <c r="L224" s="37">
        <v>10</v>
      </c>
      <c r="M224" s="14"/>
      <c r="N224" s="44">
        <f>(K224*Table110[[#This Row],[Ühik2]])+M224</f>
        <v>980.00000000000011</v>
      </c>
      <c r="O224" s="44">
        <f>Table110[[#This Row],[2020. EA ]]*0.338</f>
        <v>331.24000000000007</v>
      </c>
      <c r="P224" s="14" t="s">
        <v>2216</v>
      </c>
    </row>
    <row r="225" spans="1:16" x14ac:dyDescent="0.25">
      <c r="A225" s="14" t="str">
        <f t="shared" si="11"/>
        <v>09</v>
      </c>
      <c r="B225" t="s">
        <v>345</v>
      </c>
      <c r="C225" s="14" t="str">
        <f>VLOOKUP(B225,Table4[],2,FALSE)</f>
        <v xml:space="preserve"> Vinni pajusti Gümnaasium</v>
      </c>
      <c r="D225" s="39" t="str">
        <f>VLOOKUP(Table110[[#This Row],[Tegevusala]],Table4[[Tegevusala kood]:[Tegevusala alanimetus]],4,FALSE)</f>
        <v>Põhihariduse otsekulud</v>
      </c>
      <c r="E225" s="14" t="str">
        <f>VLOOKUP(C225,Table4[[Tegevusala nimetus]:[Tegevusala koondnimetus]],2,FALSE)</f>
        <v>Haridus</v>
      </c>
      <c r="F225" s="14" t="s">
        <v>1449</v>
      </c>
      <c r="G225" s="14" t="s">
        <v>1441</v>
      </c>
      <c r="H225" s="14">
        <v>0.09</v>
      </c>
      <c r="I225" s="14"/>
      <c r="J225" s="14">
        <v>700</v>
      </c>
      <c r="K225" s="14">
        <f t="shared" si="12"/>
        <v>63</v>
      </c>
      <c r="L225" s="37">
        <v>10</v>
      </c>
      <c r="M225" s="14"/>
      <c r="N225" s="44">
        <f>(K225*Table110[[#This Row],[Ühik2]])+M225</f>
        <v>630</v>
      </c>
      <c r="O225" s="44">
        <f>Table110[[#This Row],[2020. EA ]]*0.338</f>
        <v>212.94000000000003</v>
      </c>
      <c r="P225" s="14"/>
    </row>
    <row r="226" spans="1:16" x14ac:dyDescent="0.25">
      <c r="A226" s="14" t="str">
        <f t="shared" si="11"/>
        <v>09</v>
      </c>
      <c r="B226" t="s">
        <v>345</v>
      </c>
      <c r="C226" s="14" t="str">
        <f>VLOOKUP(B226,Table4[],2,FALSE)</f>
        <v xml:space="preserve"> Vinni pajusti Gümnaasium</v>
      </c>
      <c r="D226" s="39" t="str">
        <f>VLOOKUP(Table110[[#This Row],[Tegevusala]],Table4[[Tegevusala kood]:[Tegevusala alanimetus]],4,FALSE)</f>
        <v>Põhihariduse otsekulud</v>
      </c>
      <c r="E226" s="14" t="str">
        <f>VLOOKUP(C226,Table4[[Tegevusala nimetus]:[Tegevusala koondnimetus]],2,FALSE)</f>
        <v>Haridus</v>
      </c>
      <c r="F226" s="14" t="s">
        <v>1449</v>
      </c>
      <c r="G226" s="14" t="s">
        <v>1442</v>
      </c>
      <c r="H226" s="14">
        <v>0.27</v>
      </c>
      <c r="I226" s="14"/>
      <c r="J226" s="14">
        <v>700</v>
      </c>
      <c r="K226" s="14">
        <f t="shared" si="12"/>
        <v>189</v>
      </c>
      <c r="L226" s="37">
        <v>10</v>
      </c>
      <c r="M226" s="14"/>
      <c r="N226" s="44">
        <f>(K226*Table110[[#This Row],[Ühik2]])+M226</f>
        <v>1890</v>
      </c>
      <c r="O226" s="44">
        <f>Table110[[#This Row],[2020. EA ]]*0.338</f>
        <v>638.82000000000005</v>
      </c>
      <c r="P226" s="14"/>
    </row>
    <row r="227" spans="1:16" x14ac:dyDescent="0.25">
      <c r="A227" s="14" t="str">
        <f t="shared" si="11"/>
        <v>09</v>
      </c>
      <c r="B227" t="s">
        <v>345</v>
      </c>
      <c r="C227" s="14" t="str">
        <f>VLOOKUP(B227,Table4[],2,FALSE)</f>
        <v xml:space="preserve"> Vinni pajusti Gümnaasium</v>
      </c>
      <c r="D227" s="39" t="str">
        <f>VLOOKUP(Table110[[#This Row],[Tegevusala]],Table4[[Tegevusala kood]:[Tegevusala alanimetus]],4,FALSE)</f>
        <v>Põhihariduse otsekulud</v>
      </c>
      <c r="E227" s="14" t="str">
        <f>VLOOKUP(C227,Table4[[Tegevusala nimetus]:[Tegevusala koondnimetus]],2,FALSE)</f>
        <v>Haridus</v>
      </c>
      <c r="F227" s="14" t="s">
        <v>1449</v>
      </c>
      <c r="G227" s="14" t="s">
        <v>1443</v>
      </c>
      <c r="H227" s="14">
        <v>1</v>
      </c>
      <c r="I227" s="14"/>
      <c r="J227" s="14">
        <v>700</v>
      </c>
      <c r="K227" s="14">
        <f t="shared" si="12"/>
        <v>700</v>
      </c>
      <c r="L227" s="14">
        <v>12</v>
      </c>
      <c r="M227" s="14"/>
      <c r="N227" s="44">
        <f>(K227*Table110[[#This Row],[Ühik2]])+M227</f>
        <v>8400</v>
      </c>
      <c r="O227" s="44">
        <f>Table110[[#This Row],[2020. EA ]]*0.338</f>
        <v>2839.2000000000003</v>
      </c>
      <c r="P227" s="14" t="s">
        <v>2209</v>
      </c>
    </row>
    <row r="228" spans="1:16" x14ac:dyDescent="0.25">
      <c r="A228" s="14" t="str">
        <f t="shared" si="11"/>
        <v>09</v>
      </c>
      <c r="B228" t="s">
        <v>345</v>
      </c>
      <c r="C228" s="14" t="str">
        <f>VLOOKUP(B228,Table4[],2,FALSE)</f>
        <v xml:space="preserve"> Vinni pajusti Gümnaasium</v>
      </c>
      <c r="D228" s="39" t="str">
        <f>VLOOKUP(Table110[[#This Row],[Tegevusala]],Table4[[Tegevusala kood]:[Tegevusala alanimetus]],4,FALSE)</f>
        <v>Põhihariduse otsekulud</v>
      </c>
      <c r="E228" s="14" t="str">
        <f>VLOOKUP(C228,Table4[[Tegevusala nimetus]:[Tegevusala koondnimetus]],2,FALSE)</f>
        <v>Haridus</v>
      </c>
      <c r="F228" s="14" t="s">
        <v>1449</v>
      </c>
      <c r="G228" s="14" t="s">
        <v>1444</v>
      </c>
      <c r="H228" s="14">
        <v>1</v>
      </c>
      <c r="I228" s="14"/>
      <c r="J228" s="14">
        <v>1315</v>
      </c>
      <c r="K228" s="14">
        <f t="shared" si="12"/>
        <v>1315</v>
      </c>
      <c r="L228" s="14">
        <v>12</v>
      </c>
      <c r="M228" s="14"/>
      <c r="N228" s="44">
        <f>(K228*Table110[[#This Row],[Ühik2]])+M228</f>
        <v>15780</v>
      </c>
      <c r="O228" s="44">
        <f>Table110[[#This Row],[2020. EA ]]*0.338</f>
        <v>5333.64</v>
      </c>
      <c r="P228" s="14"/>
    </row>
    <row r="229" spans="1:16" x14ac:dyDescent="0.25">
      <c r="A229" s="14" t="str">
        <f t="shared" si="11"/>
        <v>09</v>
      </c>
      <c r="B229" t="s">
        <v>345</v>
      </c>
      <c r="C229" s="14" t="str">
        <f>VLOOKUP(B229,Table4[],2,FALSE)</f>
        <v xml:space="preserve"> Vinni pajusti Gümnaasium</v>
      </c>
      <c r="D229" s="39" t="str">
        <f>VLOOKUP(Table110[[#This Row],[Tegevusala]],Table4[[Tegevusala kood]:[Tegevusala alanimetus]],4,FALSE)</f>
        <v>Põhihariduse otsekulud</v>
      </c>
      <c r="E229" s="14" t="str">
        <f>VLOOKUP(C229,Table4[[Tegevusala nimetus]:[Tegevusala koondnimetus]],2,FALSE)</f>
        <v>Haridus</v>
      </c>
      <c r="F229" s="14" t="s">
        <v>1449</v>
      </c>
      <c r="G229" s="14" t="s">
        <v>1445</v>
      </c>
      <c r="H229" s="14">
        <v>1</v>
      </c>
      <c r="I229" s="14"/>
      <c r="J229" s="14">
        <v>940</v>
      </c>
      <c r="K229" s="14">
        <f t="shared" si="12"/>
        <v>940</v>
      </c>
      <c r="L229" s="14">
        <v>12</v>
      </c>
      <c r="M229" s="14"/>
      <c r="N229" s="44">
        <f>(K229*Table110[[#This Row],[Ühik2]])+M229</f>
        <v>11280</v>
      </c>
      <c r="O229" s="44">
        <f>Table110[[#This Row],[2020. EA ]]*0.338</f>
        <v>3812.6400000000003</v>
      </c>
      <c r="P229" s="14"/>
    </row>
    <row r="230" spans="1:16" x14ac:dyDescent="0.25">
      <c r="A230" s="91" t="str">
        <f t="shared" si="11"/>
        <v>09</v>
      </c>
      <c r="B230" s="92" t="s">
        <v>345</v>
      </c>
      <c r="C230" s="91" t="str">
        <f>VLOOKUP(B230,Table4[],2,FALSE)</f>
        <v xml:space="preserve"> Vinni pajusti Gümnaasium</v>
      </c>
      <c r="D230" s="95" t="str">
        <f>VLOOKUP(Table110[[#This Row],[Tegevusala]],Table4[[Tegevusala kood]:[Tegevusala alanimetus]],4,FALSE)</f>
        <v>Põhihariduse otsekulud</v>
      </c>
      <c r="E230" s="91" t="str">
        <f>VLOOKUP(C230,Table4[[Tegevusala nimetus]:[Tegevusala koondnimetus]],2,FALSE)</f>
        <v>Haridus</v>
      </c>
      <c r="F230" s="91" t="s">
        <v>1449</v>
      </c>
      <c r="G230" s="91" t="s">
        <v>1446</v>
      </c>
      <c r="H230" s="91">
        <v>1</v>
      </c>
      <c r="I230" s="91"/>
      <c r="J230" s="91">
        <v>584</v>
      </c>
      <c r="K230" s="91">
        <f t="shared" si="12"/>
        <v>584</v>
      </c>
      <c r="L230" s="91">
        <v>12</v>
      </c>
      <c r="M230" s="91"/>
      <c r="N230" s="93">
        <f>(K230*Table110[[#This Row],[Ühik2]])+M230</f>
        <v>7008</v>
      </c>
      <c r="O230" s="93">
        <f>Table110[[#This Row],[2020. EA ]]*0.338</f>
        <v>2368.7040000000002</v>
      </c>
      <c r="P230" s="91"/>
    </row>
    <row r="231" spans="1:16" x14ac:dyDescent="0.25">
      <c r="A231" s="14" t="str">
        <f t="shared" si="11"/>
        <v>09</v>
      </c>
      <c r="B231" t="s">
        <v>345</v>
      </c>
      <c r="C231" s="14" t="str">
        <f>VLOOKUP(B231,Table4[],2,FALSE)</f>
        <v xml:space="preserve"> Vinni pajusti Gümnaasium</v>
      </c>
      <c r="D231" s="39" t="str">
        <f>VLOOKUP(Table110[[#This Row],[Tegevusala]],Table4[[Tegevusala kood]:[Tegevusala alanimetus]],4,FALSE)</f>
        <v>Põhihariduse otsekulud</v>
      </c>
      <c r="E231" s="14" t="str">
        <f>VLOOKUP(C231,Table4[[Tegevusala nimetus]:[Tegevusala koondnimetus]],2,FALSE)</f>
        <v>Haridus</v>
      </c>
      <c r="F231" s="14" t="s">
        <v>1449</v>
      </c>
      <c r="G231" s="14" t="s">
        <v>1270</v>
      </c>
      <c r="H231" s="14">
        <v>1</v>
      </c>
      <c r="I231" s="14"/>
      <c r="J231" s="14">
        <v>700</v>
      </c>
      <c r="K231" s="14">
        <f t="shared" si="12"/>
        <v>700</v>
      </c>
      <c r="L231" s="14">
        <v>12</v>
      </c>
      <c r="M231" s="14"/>
      <c r="N231" s="44">
        <f>(K231*Table110[[#This Row],[Ühik2]])+M231</f>
        <v>8400</v>
      </c>
      <c r="O231" s="44">
        <f>Table110[[#This Row],[2020. EA ]]*0.338</f>
        <v>2839.2000000000003</v>
      </c>
      <c r="P231" s="14"/>
    </row>
    <row r="232" spans="1:16" x14ac:dyDescent="0.25">
      <c r="A232" s="14" t="str">
        <f t="shared" si="11"/>
        <v>09</v>
      </c>
      <c r="B232" t="s">
        <v>345</v>
      </c>
      <c r="C232" s="14" t="str">
        <f>VLOOKUP(B232,Table4[],2,FALSE)</f>
        <v xml:space="preserve"> Vinni pajusti Gümnaasium</v>
      </c>
      <c r="D232" s="39" t="str">
        <f>VLOOKUP(Table110[[#This Row],[Tegevusala]],Table4[[Tegevusala kood]:[Tegevusala alanimetus]],4,FALSE)</f>
        <v>Põhihariduse otsekulud</v>
      </c>
      <c r="E232" s="14" t="str">
        <f>VLOOKUP(C232,Table4[[Tegevusala nimetus]:[Tegevusala koondnimetus]],2,FALSE)</f>
        <v>Haridus</v>
      </c>
      <c r="F232" s="14" t="s">
        <v>1449</v>
      </c>
      <c r="G232" s="14" t="s">
        <v>1447</v>
      </c>
      <c r="H232" s="14">
        <v>1</v>
      </c>
      <c r="I232" s="14"/>
      <c r="J232" s="14">
        <v>1315</v>
      </c>
      <c r="K232" s="14">
        <f t="shared" si="12"/>
        <v>1315</v>
      </c>
      <c r="L232" s="14">
        <v>12</v>
      </c>
      <c r="M232" s="14"/>
      <c r="N232" s="44">
        <f>(K232*Table110[[#This Row],[Ühik2]])+M232</f>
        <v>15780</v>
      </c>
      <c r="O232" s="44">
        <f>Table110[[#This Row],[2020. EA ]]*0.338</f>
        <v>5333.64</v>
      </c>
      <c r="P232" s="14"/>
    </row>
    <row r="233" spans="1:16" x14ac:dyDescent="0.25">
      <c r="A233" s="14" t="str">
        <f t="shared" si="11"/>
        <v>09</v>
      </c>
      <c r="B233" t="s">
        <v>345</v>
      </c>
      <c r="C233" s="14" t="str">
        <f>VLOOKUP(B233,Table4[],2,FALSE)</f>
        <v xml:space="preserve"> Vinni pajusti Gümnaasium</v>
      </c>
      <c r="D233" s="39" t="str">
        <f>VLOOKUP(Table110[[#This Row],[Tegevusala]],Table4[[Tegevusala kood]:[Tegevusala alanimetus]],4,FALSE)</f>
        <v>Põhihariduse otsekulud</v>
      </c>
      <c r="E233" s="14" t="str">
        <f>VLOOKUP(C233,Table4[[Tegevusala nimetus]:[Tegevusala koondnimetus]],2,FALSE)</f>
        <v>Haridus</v>
      </c>
      <c r="F233" s="14" t="s">
        <v>1449</v>
      </c>
      <c r="G233" s="14" t="s">
        <v>1448</v>
      </c>
      <c r="H233" s="14">
        <v>1</v>
      </c>
      <c r="I233" s="14"/>
      <c r="J233" s="14">
        <v>1200</v>
      </c>
      <c r="K233" s="14">
        <f t="shared" si="12"/>
        <v>1200</v>
      </c>
      <c r="L233" s="14">
        <v>4</v>
      </c>
      <c r="M233" s="14"/>
      <c r="N233" s="44">
        <f>(K233*Table110[[#This Row],[Ühik2]])+M233</f>
        <v>4800</v>
      </c>
      <c r="O233" s="44">
        <f>Table110[[#This Row],[2020. EA ]]*0.338</f>
        <v>1622.4</v>
      </c>
      <c r="P233" s="14" t="s">
        <v>2214</v>
      </c>
    </row>
    <row r="234" spans="1:16" x14ac:dyDescent="0.25">
      <c r="A234" s="14" t="str">
        <f t="shared" si="11"/>
        <v>09</v>
      </c>
      <c r="B234" t="s">
        <v>348</v>
      </c>
      <c r="C234" s="14" t="str">
        <f>VLOOKUP(B234,Table4[],2,FALSE)</f>
        <v xml:space="preserve"> Põlula kool</v>
      </c>
      <c r="D234" s="39" t="str">
        <f>VLOOKUP(Table110[[#This Row],[Tegevusala]],Table4[[Tegevusala kood]:[Tegevusala alanimetus]],4,FALSE)</f>
        <v>Põhihariduse otsekulud</v>
      </c>
      <c r="E234" s="14" t="str">
        <f>VLOOKUP(C234,Table4[[Tegevusala nimetus]:[Tegevusala koondnimetus]],2,FALSE)</f>
        <v>Haridus</v>
      </c>
      <c r="F234" s="14" t="s">
        <v>1518</v>
      </c>
      <c r="G234" s="14" t="s">
        <v>2204</v>
      </c>
      <c r="H234" s="14">
        <v>1</v>
      </c>
      <c r="I234" s="14" t="s">
        <v>241</v>
      </c>
      <c r="J234" s="14">
        <v>57469.357000000004</v>
      </c>
      <c r="K234" s="14">
        <f t="shared" si="12"/>
        <v>57469.357000000004</v>
      </c>
      <c r="L234" s="14">
        <v>1</v>
      </c>
      <c r="M234" s="14"/>
      <c r="N234" s="44">
        <f>(K234*Table110[[#This Row],[Ühik2]])+M234</f>
        <v>57469.357000000004</v>
      </c>
      <c r="O234" s="44">
        <f>Table110[[#This Row],[2020. EA ]]*0.338</f>
        <v>19424.642666000003</v>
      </c>
      <c r="P234" s="14"/>
    </row>
    <row r="235" spans="1:16" x14ac:dyDescent="0.25">
      <c r="A235" s="14" t="str">
        <f t="shared" si="11"/>
        <v>09</v>
      </c>
      <c r="B235" t="s">
        <v>348</v>
      </c>
      <c r="C235" s="14" t="str">
        <f>VLOOKUP(B235,Table4[],2,FALSE)</f>
        <v xml:space="preserve"> Põlula kool</v>
      </c>
      <c r="D235" s="39" t="str">
        <f>VLOOKUP(Table110[[#This Row],[Tegevusala]],Table4[[Tegevusala kood]:[Tegevusala alanimetus]],4,FALSE)</f>
        <v>Põhihariduse otsekulud</v>
      </c>
      <c r="E235" s="14" t="str">
        <f>VLOOKUP(C235,Table4[[Tegevusala nimetus]:[Tegevusala koondnimetus]],2,FALSE)</f>
        <v>Haridus</v>
      </c>
      <c r="F235" s="14" t="s">
        <v>1518</v>
      </c>
      <c r="G235" s="14" t="s">
        <v>2198</v>
      </c>
      <c r="H235" s="14">
        <v>1</v>
      </c>
      <c r="I235" s="14"/>
      <c r="J235" s="14">
        <v>5399.85</v>
      </c>
      <c r="K235" s="14">
        <f t="shared" si="12"/>
        <v>5399.85</v>
      </c>
      <c r="L235" s="14">
        <v>1</v>
      </c>
      <c r="M235" s="14"/>
      <c r="N235" s="44">
        <f>(K235*Table110[[#This Row],[Ühik2]])+M235</f>
        <v>5399.85</v>
      </c>
      <c r="O235" s="44">
        <f>Table110[[#This Row],[2020. EA ]]*0.338</f>
        <v>1825.1493000000003</v>
      </c>
      <c r="P235" s="14"/>
    </row>
    <row r="236" spans="1:16" x14ac:dyDescent="0.25">
      <c r="A236" s="14" t="str">
        <f t="shared" si="11"/>
        <v>09</v>
      </c>
      <c r="B236" t="s">
        <v>348</v>
      </c>
      <c r="C236" s="14" t="str">
        <f>VLOOKUP(B236,Table4[],2,FALSE)</f>
        <v xml:space="preserve"> Põlula kool</v>
      </c>
      <c r="D236" s="39" t="str">
        <f>VLOOKUP(Table110[[#This Row],[Tegevusala]],Table4[[Tegevusala kood]:[Tegevusala alanimetus]],4,FALSE)</f>
        <v>Põhihariduse otsekulud</v>
      </c>
      <c r="E236" s="14" t="str">
        <f>VLOOKUP(C236,Table4[[Tegevusala nimetus]:[Tegevusala koondnimetus]],2,FALSE)</f>
        <v>Haridus</v>
      </c>
      <c r="F236" s="14" t="s">
        <v>1518</v>
      </c>
      <c r="G236" s="14" t="s">
        <v>1443</v>
      </c>
      <c r="H236" s="14">
        <v>0.3</v>
      </c>
      <c r="I236" s="14"/>
      <c r="J236" s="14">
        <v>666.7</v>
      </c>
      <c r="K236" s="14">
        <f t="shared" si="12"/>
        <v>200.01000000000002</v>
      </c>
      <c r="L236" s="14">
        <v>12</v>
      </c>
      <c r="M236" s="14"/>
      <c r="N236" s="44">
        <f>(K236*Table110[[#This Row],[Ühik2]])+M236</f>
        <v>2400.1200000000003</v>
      </c>
      <c r="O236" s="44">
        <f>Table110[[#This Row],[2020. EA ]]*0.338</f>
        <v>811.24056000000019</v>
      </c>
      <c r="P236" s="14"/>
    </row>
    <row r="237" spans="1:16" x14ac:dyDescent="0.25">
      <c r="A237" s="14" t="str">
        <f t="shared" si="11"/>
        <v>09</v>
      </c>
      <c r="B237" t="s">
        <v>348</v>
      </c>
      <c r="C237" s="14" t="str">
        <f>VLOOKUP(B237,Table4[],2,FALSE)</f>
        <v xml:space="preserve"> Põlula kool</v>
      </c>
      <c r="D237" s="39" t="str">
        <f>VLOOKUP(Table110[[#This Row],[Tegevusala]],Table4[[Tegevusala kood]:[Tegevusala alanimetus]],4,FALSE)</f>
        <v>Põhihariduse otsekulud</v>
      </c>
      <c r="E237" s="14" t="str">
        <f>VLOOKUP(C237,Table4[[Tegevusala nimetus]:[Tegevusala koondnimetus]],2,FALSE)</f>
        <v>Haridus</v>
      </c>
      <c r="F237" s="14" t="s">
        <v>1518</v>
      </c>
      <c r="G237" s="14" t="s">
        <v>528</v>
      </c>
      <c r="H237" s="14">
        <v>0.25</v>
      </c>
      <c r="I237" s="14"/>
      <c r="J237" s="14">
        <v>616</v>
      </c>
      <c r="K237" s="14">
        <f t="shared" si="12"/>
        <v>154</v>
      </c>
      <c r="L237" s="14">
        <v>12</v>
      </c>
      <c r="M237" s="14"/>
      <c r="N237" s="44">
        <f>(K237*Table110[[#This Row],[Ühik2]])+M237</f>
        <v>1848</v>
      </c>
      <c r="O237" s="44">
        <f>Table110[[#This Row],[2020. EA ]]*0.338</f>
        <v>624.62400000000002</v>
      </c>
      <c r="P237" s="14"/>
    </row>
    <row r="238" spans="1:16" x14ac:dyDescent="0.25">
      <c r="A238" s="14" t="str">
        <f t="shared" si="11"/>
        <v>09</v>
      </c>
      <c r="B238" t="s">
        <v>348</v>
      </c>
      <c r="C238" s="14" t="str">
        <f>VLOOKUP(B238,Table4[],2,FALSE)</f>
        <v xml:space="preserve"> Põlula kool</v>
      </c>
      <c r="D238" s="39" t="str">
        <f>VLOOKUP(Table110[[#This Row],[Tegevusala]],Table4[[Tegevusala kood]:[Tegevusala alanimetus]],4,FALSE)</f>
        <v>Põhihariduse otsekulud</v>
      </c>
      <c r="E238" s="14" t="str">
        <f>VLOOKUP(C238,Table4[[Tegevusala nimetus]:[Tegevusala koondnimetus]],2,FALSE)</f>
        <v>Haridus</v>
      </c>
      <c r="F238" s="14" t="s">
        <v>1518</v>
      </c>
      <c r="G238" s="14" t="s">
        <v>1517</v>
      </c>
      <c r="H238" s="14">
        <v>0.56999999999999995</v>
      </c>
      <c r="I238" s="14"/>
      <c r="J238" s="14">
        <v>991.23</v>
      </c>
      <c r="K238" s="14">
        <f t="shared" si="12"/>
        <v>565.00109999999995</v>
      </c>
      <c r="L238" s="14">
        <v>12</v>
      </c>
      <c r="M238" s="14"/>
      <c r="N238" s="44">
        <f>(K238*Table110[[#This Row],[Ühik2]])+M238</f>
        <v>6780.0131999999994</v>
      </c>
      <c r="O238" s="44">
        <f>Table110[[#This Row],[2020. EA ]]*0.338</f>
        <v>2291.6444615999999</v>
      </c>
      <c r="P238" s="14"/>
    </row>
    <row r="239" spans="1:16" x14ac:dyDescent="0.25">
      <c r="A239" s="91" t="str">
        <f t="shared" si="11"/>
        <v>09</v>
      </c>
      <c r="B239" s="92" t="s">
        <v>348</v>
      </c>
      <c r="C239" s="91" t="str">
        <f>VLOOKUP(B239,Table4[],2,FALSE)</f>
        <v xml:space="preserve"> Põlula kool</v>
      </c>
      <c r="D239" s="95" t="str">
        <f>VLOOKUP(Table110[[#This Row],[Tegevusala]],Table4[[Tegevusala kood]:[Tegevusala alanimetus]],4,FALSE)</f>
        <v>Põhihariduse otsekulud</v>
      </c>
      <c r="E239" s="91" t="str">
        <f>VLOOKUP(C239,Table4[[Tegevusala nimetus]:[Tegevusala koondnimetus]],2,FALSE)</f>
        <v>Haridus</v>
      </c>
      <c r="F239" s="91" t="s">
        <v>1518</v>
      </c>
      <c r="G239" s="91" t="s">
        <v>1402</v>
      </c>
      <c r="H239" s="91">
        <v>1</v>
      </c>
      <c r="I239" s="91"/>
      <c r="J239" s="91">
        <v>584</v>
      </c>
      <c r="K239" s="91">
        <f t="shared" si="12"/>
        <v>584</v>
      </c>
      <c r="L239" s="91">
        <v>12</v>
      </c>
      <c r="M239" s="91"/>
      <c r="N239" s="93">
        <f>(K239*Table110[[#This Row],[Ühik2]])+M239</f>
        <v>7008</v>
      </c>
      <c r="O239" s="93">
        <f>Table110[[#This Row],[2020. EA ]]*0.338</f>
        <v>2368.7040000000002</v>
      </c>
      <c r="P239" s="91"/>
    </row>
    <row r="240" spans="1:16" x14ac:dyDescent="0.25">
      <c r="A240" s="91" t="str">
        <f t="shared" si="11"/>
        <v>09</v>
      </c>
      <c r="B240" s="92" t="s">
        <v>348</v>
      </c>
      <c r="C240" s="91" t="str">
        <f>VLOOKUP(B240,Table4[],2,FALSE)</f>
        <v xml:space="preserve"> Põlula kool</v>
      </c>
      <c r="D240" s="95" t="str">
        <f>VLOOKUP(Table110[[#This Row],[Tegevusala]],Table4[[Tegevusala kood]:[Tegevusala alanimetus]],4,FALSE)</f>
        <v>Põhihariduse otsekulud</v>
      </c>
      <c r="E240" s="91" t="str">
        <f>VLOOKUP(C240,Table4[[Tegevusala nimetus]:[Tegevusala koondnimetus]],2,FALSE)</f>
        <v>Haridus</v>
      </c>
      <c r="F240" s="91" t="s">
        <v>1518</v>
      </c>
      <c r="G240" s="91" t="s">
        <v>479</v>
      </c>
      <c r="H240" s="91">
        <v>1</v>
      </c>
      <c r="I240" s="91"/>
      <c r="J240" s="91">
        <v>584</v>
      </c>
      <c r="K240" s="91">
        <f t="shared" si="12"/>
        <v>584</v>
      </c>
      <c r="L240" s="91">
        <v>12</v>
      </c>
      <c r="M240" s="91"/>
      <c r="N240" s="93">
        <f>(K240*Table110[[#This Row],[Ühik2]])+M240</f>
        <v>7008</v>
      </c>
      <c r="O240" s="93">
        <f>Table110[[#This Row],[2020. EA ]]*0.338</f>
        <v>2368.7040000000002</v>
      </c>
      <c r="P240" s="91"/>
    </row>
    <row r="241" spans="1:16" x14ac:dyDescent="0.25">
      <c r="A241" s="14" t="str">
        <f t="shared" si="11"/>
        <v>09</v>
      </c>
      <c r="B241" t="s">
        <v>348</v>
      </c>
      <c r="C241" s="14" t="str">
        <f>VLOOKUP(B241,Table4[],2,FALSE)</f>
        <v xml:space="preserve"> Põlula kool</v>
      </c>
      <c r="D241" s="39" t="str">
        <f>VLOOKUP(Table110[[#This Row],[Tegevusala]],Table4[[Tegevusala kood]:[Tegevusala alanimetus]],4,FALSE)</f>
        <v>Põhihariduse otsekulud</v>
      </c>
      <c r="E241" s="14" t="str">
        <f>VLOOKUP(C241,Table4[[Tegevusala nimetus]:[Tegevusala koondnimetus]],2,FALSE)</f>
        <v>Haridus</v>
      </c>
      <c r="F241" s="14" t="s">
        <v>1518</v>
      </c>
      <c r="G241" s="14" t="s">
        <v>484</v>
      </c>
      <c r="H241" s="14">
        <v>1</v>
      </c>
      <c r="I241" s="14"/>
      <c r="J241" s="14">
        <v>750</v>
      </c>
      <c r="K241" s="14">
        <f t="shared" si="12"/>
        <v>750</v>
      </c>
      <c r="L241" s="14">
        <v>12</v>
      </c>
      <c r="M241" s="14"/>
      <c r="N241" s="44">
        <f>(K241*Table110[[#This Row],[Ühik2]])+M241</f>
        <v>9000</v>
      </c>
      <c r="O241" s="44">
        <f>Table110[[#This Row],[2020. EA ]]*0.338</f>
        <v>3042</v>
      </c>
      <c r="P241" s="14"/>
    </row>
    <row r="242" spans="1:16" x14ac:dyDescent="0.25">
      <c r="A242" s="14" t="str">
        <f t="shared" si="11"/>
        <v>09</v>
      </c>
      <c r="B242" t="s">
        <v>348</v>
      </c>
      <c r="C242" s="14" t="str">
        <f>VLOOKUP(B242,Table4[],2,FALSE)</f>
        <v xml:space="preserve"> Põlula kool</v>
      </c>
      <c r="D242" s="39" t="str">
        <f>VLOOKUP(Table110[[#This Row],[Tegevusala]],Table4[[Tegevusala kood]:[Tegevusala alanimetus]],4,FALSE)</f>
        <v>Põhihariduse otsekulud</v>
      </c>
      <c r="E242" s="14" t="str">
        <f>VLOOKUP(C242,Table4[[Tegevusala nimetus]:[Tegevusala koondnimetus]],2,FALSE)</f>
        <v>Haridus</v>
      </c>
      <c r="F242" s="14" t="s">
        <v>1518</v>
      </c>
      <c r="G242" s="14" t="s">
        <v>1311</v>
      </c>
      <c r="H242" s="14">
        <v>0.6</v>
      </c>
      <c r="I242" s="14"/>
      <c r="J242" s="14">
        <v>983.35</v>
      </c>
      <c r="K242" s="14">
        <f t="shared" si="12"/>
        <v>590.01</v>
      </c>
      <c r="L242" s="14">
        <v>12</v>
      </c>
      <c r="M242" s="14"/>
      <c r="N242" s="44">
        <f>(K242*Table110[[#This Row],[Ühik2]])+M242</f>
        <v>7080.12</v>
      </c>
      <c r="O242" s="44">
        <f>Table110[[#This Row],[2020. EA ]]*0.338</f>
        <v>2393.0805600000003</v>
      </c>
      <c r="P242" s="14"/>
    </row>
    <row r="243" spans="1:16" x14ac:dyDescent="0.25">
      <c r="A243" s="14" t="str">
        <f t="shared" si="11"/>
        <v>09</v>
      </c>
      <c r="B243" t="s">
        <v>348</v>
      </c>
      <c r="C243" s="14" t="str">
        <f>VLOOKUP(B243,Table4[],2,FALSE)</f>
        <v xml:space="preserve"> Põlula kool</v>
      </c>
      <c r="D243" s="39" t="str">
        <f>VLOOKUP(Table110[[#This Row],[Tegevusala]],Table4[[Tegevusala kood]:[Tegevusala alanimetus]],4,FALSE)</f>
        <v>Põhihariduse otsekulud</v>
      </c>
      <c r="E243" s="14" t="str">
        <f>VLOOKUP(C243,Table4[[Tegevusala nimetus]:[Tegevusala koondnimetus]],2,FALSE)</f>
        <v>Haridus</v>
      </c>
      <c r="F243" s="14" t="s">
        <v>1518</v>
      </c>
      <c r="G243" s="14" t="s">
        <v>1519</v>
      </c>
      <c r="H243" s="14">
        <v>1</v>
      </c>
      <c r="I243" s="14" t="s">
        <v>241</v>
      </c>
      <c r="J243" s="14">
        <v>100</v>
      </c>
      <c r="K243" s="14">
        <f t="shared" si="12"/>
        <v>100</v>
      </c>
      <c r="L243" s="14">
        <v>12</v>
      </c>
      <c r="M243" s="14"/>
      <c r="N243" s="44">
        <f>(K243*Table110[[#This Row],[Ühik2]])+M243</f>
        <v>1200</v>
      </c>
      <c r="O243" s="44">
        <f>Table110[[#This Row],[2020. EA ]]*0.338</f>
        <v>405.6</v>
      </c>
      <c r="P243" s="14"/>
    </row>
    <row r="244" spans="1:16" x14ac:dyDescent="0.25">
      <c r="A244" s="14" t="str">
        <f t="shared" si="11"/>
        <v>09</v>
      </c>
      <c r="B244" t="s">
        <v>359</v>
      </c>
      <c r="C244" s="14" t="str">
        <f>VLOOKUP(B244,Table4[],2,FALSE)</f>
        <v xml:space="preserve"> Haldus</v>
      </c>
      <c r="D244" s="39" t="str">
        <f>VLOOKUP(Table110[[#This Row],[Tegevusala]],Table4[[Tegevusala kood]:[Tegevusala alanimetus]],4,FALSE)</f>
        <v>Muu haridus, sh hariduse haldus</v>
      </c>
      <c r="E244" s="14" t="str">
        <f>VLOOKUP(C244,Table4[[Tegevusala nimetus]:[Tegevusala koondnimetus]],2,FALSE)</f>
        <v>Haridus</v>
      </c>
      <c r="F244" s="14" t="s">
        <v>1540</v>
      </c>
      <c r="G244" s="14" t="s">
        <v>1540</v>
      </c>
      <c r="H244" s="14">
        <v>1</v>
      </c>
      <c r="I244" s="14"/>
      <c r="J244" s="14">
        <v>1560</v>
      </c>
      <c r="K244" s="14">
        <f t="shared" si="12"/>
        <v>1560</v>
      </c>
      <c r="L244" s="14">
        <v>12</v>
      </c>
      <c r="M244" s="14"/>
      <c r="N244" s="44">
        <f>(K244*Table110[[#This Row],[Ühik2]])+M244</f>
        <v>18720</v>
      </c>
      <c r="O244" s="44">
        <f>Table110[[#This Row],[2020. EA ]]*0.338</f>
        <v>6327.3600000000006</v>
      </c>
      <c r="P244" s="14"/>
    </row>
    <row r="245" spans="1:16" x14ac:dyDescent="0.25">
      <c r="A245" s="14" t="str">
        <f t="shared" si="11"/>
        <v>09</v>
      </c>
      <c r="B245" t="s">
        <v>359</v>
      </c>
      <c r="C245" s="14" t="str">
        <f>VLOOKUP(B245,Table4[],2,FALSE)</f>
        <v xml:space="preserve"> Haldus</v>
      </c>
      <c r="D245" s="39" t="str">
        <f>VLOOKUP(Table110[[#This Row],[Tegevusala]],Table4[[Tegevusala kood]:[Tegevusala alanimetus]],4,FALSE)</f>
        <v>Muu haridus, sh hariduse haldus</v>
      </c>
      <c r="E245" s="14" t="str">
        <f>VLOOKUP(C245,Table4[[Tegevusala nimetus]:[Tegevusala koondnimetus]],2,FALSE)</f>
        <v>Haridus</v>
      </c>
      <c r="F245" s="14" t="s">
        <v>1540</v>
      </c>
      <c r="G245" s="14" t="s">
        <v>1541</v>
      </c>
      <c r="H245" s="14">
        <v>1</v>
      </c>
      <c r="I245" s="14"/>
      <c r="J245" s="14">
        <v>1450</v>
      </c>
      <c r="K245" s="14">
        <f t="shared" si="12"/>
        <v>1450</v>
      </c>
      <c r="L245" s="14">
        <v>12</v>
      </c>
      <c r="M245" s="14"/>
      <c r="N245" s="44">
        <f>(K245*Table110[[#This Row],[Ühik2]])+M245</f>
        <v>17400</v>
      </c>
      <c r="O245" s="44">
        <f>Table110[[#This Row],[2020. EA ]]*0.338</f>
        <v>5881.2000000000007</v>
      </c>
      <c r="P245" s="14"/>
    </row>
    <row r="246" spans="1:16" x14ac:dyDescent="0.25">
      <c r="A246" s="14" t="str">
        <f t="shared" si="11"/>
        <v>09</v>
      </c>
      <c r="B246" t="s">
        <v>359</v>
      </c>
      <c r="C246" s="14" t="str">
        <f>VLOOKUP(B246,Table4[],2,FALSE)</f>
        <v xml:space="preserve"> Haldus</v>
      </c>
      <c r="D246" s="39" t="str">
        <f>VLOOKUP(Table110[[#This Row],[Tegevusala]],Table4[[Tegevusala kood]:[Tegevusala alanimetus]],4,FALSE)</f>
        <v>Muu haridus, sh hariduse haldus</v>
      </c>
      <c r="E246" s="14" t="str">
        <f>VLOOKUP(C246,Table4[[Tegevusala nimetus]:[Tegevusala koondnimetus]],2,FALSE)</f>
        <v>Haridus</v>
      </c>
      <c r="F246" s="14" t="s">
        <v>1540</v>
      </c>
      <c r="G246" s="14" t="s">
        <v>1542</v>
      </c>
      <c r="H246" s="14">
        <v>1</v>
      </c>
      <c r="I246" s="14"/>
      <c r="J246" s="14">
        <v>1450</v>
      </c>
      <c r="K246" s="14">
        <f t="shared" si="12"/>
        <v>1450</v>
      </c>
      <c r="L246" s="14">
        <v>12</v>
      </c>
      <c r="M246" s="14"/>
      <c r="N246" s="44">
        <f>(K246*Table110[[#This Row],[Ühik2]])+M246</f>
        <v>17400</v>
      </c>
      <c r="O246" s="44">
        <f>Table110[[#This Row],[2020. EA ]]*0.338</f>
        <v>5881.2000000000007</v>
      </c>
      <c r="P246" s="14"/>
    </row>
    <row r="247" spans="1:16" x14ac:dyDescent="0.25">
      <c r="A247" s="14" t="str">
        <f t="shared" si="11"/>
        <v>09</v>
      </c>
      <c r="B247" t="s">
        <v>51</v>
      </c>
      <c r="C247" s="14" t="str">
        <f>VLOOKUP(B247,Table4[],2,FALSE)</f>
        <v xml:space="preserve"> Noorte huviharidus ja huvitegevus</v>
      </c>
      <c r="D247" s="39" t="str">
        <f>VLOOKUP(Table110[[#This Row],[Tegevusala]],Table4[[Tegevusala kood]:[Tegevusala alanimetus]],4,FALSE)</f>
        <v>Noorte huviharidus ja huvitegevus</v>
      </c>
      <c r="E247" s="14" t="str">
        <f>VLOOKUP(C247,Table4[[Tegevusala nimetus]:[Tegevusala koondnimetus]],2,FALSE)</f>
        <v>Haridus</v>
      </c>
      <c r="F247" s="14" t="s">
        <v>1540</v>
      </c>
      <c r="G247" s="14" t="s">
        <v>1560</v>
      </c>
      <c r="H247" s="14">
        <v>1</v>
      </c>
      <c r="I247" s="14"/>
      <c r="J247" s="14">
        <v>108370.7</v>
      </c>
      <c r="K247" s="14">
        <f t="shared" si="12"/>
        <v>108370.7</v>
      </c>
      <c r="L247" s="14">
        <v>1</v>
      </c>
      <c r="M247" s="14"/>
      <c r="N247" s="44">
        <f>(K247*Table110[[#This Row],[Ühik2]])+M247</f>
        <v>108370.7</v>
      </c>
      <c r="O247" s="44">
        <f>Table110[[#This Row],[2020. EA ]]*0.338</f>
        <v>36629.296600000001</v>
      </c>
      <c r="P247" s="14"/>
    </row>
    <row r="248" spans="1:16" x14ac:dyDescent="0.25">
      <c r="A248" s="14" t="str">
        <f t="shared" si="11"/>
        <v>08</v>
      </c>
      <c r="B248" t="s">
        <v>321</v>
      </c>
      <c r="C248" s="14" t="str">
        <f>VLOOKUP(B248,Table4[],2,FALSE)</f>
        <v xml:space="preserve"> Venevere Seltsimaja</v>
      </c>
      <c r="D248" s="39" t="str">
        <f>VLOOKUP(Table110[[#This Row],[Tegevusala]],Table4[[Tegevusala kood]:[Tegevusala alanimetus]],4,FALSE)</f>
        <v>Rahvakultuur</v>
      </c>
      <c r="E248" s="14" t="str">
        <f>VLOOKUP(C248,Table4[[Tegevusala nimetus]:[Tegevusala koondnimetus]],2,FALSE)</f>
        <v>Vabaaeg, kultuur ja religioon</v>
      </c>
      <c r="F248" s="14" t="s">
        <v>1585</v>
      </c>
      <c r="G248" s="14" t="s">
        <v>489</v>
      </c>
      <c r="H248" s="14">
        <v>1</v>
      </c>
      <c r="I248" s="14"/>
      <c r="J248" s="14">
        <v>690</v>
      </c>
      <c r="K248" s="14">
        <f t="shared" si="12"/>
        <v>690</v>
      </c>
      <c r="L248" s="14">
        <v>12</v>
      </c>
      <c r="M248" s="14"/>
      <c r="N248" s="44">
        <f>(K248*Table110[[#This Row],[Ühik2]])+M248</f>
        <v>8280</v>
      </c>
      <c r="O248" s="44">
        <f>Table110[[#This Row],[2020. EA ]]*0.338</f>
        <v>2798.6400000000003</v>
      </c>
      <c r="P248" s="14"/>
    </row>
    <row r="249" spans="1:16" x14ac:dyDescent="0.25">
      <c r="A249" s="14" t="str">
        <f t="shared" si="11"/>
        <v>08</v>
      </c>
      <c r="B249" t="s">
        <v>321</v>
      </c>
      <c r="C249" s="14" t="str">
        <f>VLOOKUP(B249,Table4[],2,FALSE)</f>
        <v xml:space="preserve"> Venevere Seltsimaja</v>
      </c>
      <c r="D249" s="39" t="str">
        <f>VLOOKUP(Table110[[#This Row],[Tegevusala]],Table4[[Tegevusala kood]:[Tegevusala alanimetus]],4,FALSE)</f>
        <v>Rahvakultuur</v>
      </c>
      <c r="E249" s="14" t="str">
        <f>VLOOKUP(C249,Table4[[Tegevusala nimetus]:[Tegevusala koondnimetus]],2,FALSE)</f>
        <v>Vabaaeg, kultuur ja religioon</v>
      </c>
      <c r="F249" s="14" t="s">
        <v>1585</v>
      </c>
      <c r="G249" s="14" t="s">
        <v>935</v>
      </c>
      <c r="H249" s="14">
        <v>1</v>
      </c>
      <c r="I249" s="14"/>
      <c r="J249" s="14"/>
      <c r="K249" s="14">
        <f t="shared" si="12"/>
        <v>0</v>
      </c>
      <c r="L249" s="14"/>
      <c r="M249" s="14">
        <v>650</v>
      </c>
      <c r="N249" s="44">
        <f>(K249*Table110[[#This Row],[Ühik2]])+M249</f>
        <v>650</v>
      </c>
      <c r="O249" s="44">
        <f>Table110[[#This Row],[2020. EA ]]*0.338</f>
        <v>219.70000000000002</v>
      </c>
      <c r="P249" s="14"/>
    </row>
    <row r="250" spans="1:16" x14ac:dyDescent="0.25">
      <c r="A250" s="14" t="str">
        <f t="shared" si="11"/>
        <v>10</v>
      </c>
      <c r="B250" t="s">
        <v>372</v>
      </c>
      <c r="C250" s="14" t="str">
        <f>VLOOKUP(B250,Table4[],2,FALSE)</f>
        <v xml:space="preserve"> Tammiku Kodu</v>
      </c>
      <c r="D250" s="39" t="str">
        <f>VLOOKUP(Table110[[#This Row],[Tegevusala]],Table4[[Tegevusala kood]:[Tegevusala alanimetus]],4,FALSE)</f>
        <v>Eakate sotsiaalhoolekande asutused</v>
      </c>
      <c r="E250" s="14" t="str">
        <f>VLOOKUP(C250,Table4[[Tegevusala nimetus]:[Tegevusala koondnimetus]],2,FALSE)</f>
        <v>Sotsiaalne kaitse</v>
      </c>
      <c r="F250" s="14" t="s">
        <v>1594</v>
      </c>
      <c r="G250" s="14" t="s">
        <v>1593</v>
      </c>
      <c r="H250" s="14">
        <v>6</v>
      </c>
      <c r="I250" s="14"/>
      <c r="J250" s="37">
        <v>748</v>
      </c>
      <c r="K250" s="14">
        <f t="shared" si="12"/>
        <v>4488</v>
      </c>
      <c r="L250" s="14">
        <v>12</v>
      </c>
      <c r="M250" s="14"/>
      <c r="N250" s="44">
        <f>(K250*Table110[[#This Row],[Ühik2]])+M250</f>
        <v>53856</v>
      </c>
      <c r="O250" s="44">
        <f>Table110[[#This Row],[2020. EA ]]*0.338</f>
        <v>18203.328000000001</v>
      </c>
      <c r="P250" s="14" t="s">
        <v>2146</v>
      </c>
    </row>
    <row r="251" spans="1:16" x14ac:dyDescent="0.25">
      <c r="A251" s="14" t="str">
        <f t="shared" si="11"/>
        <v>10</v>
      </c>
      <c r="B251" t="s">
        <v>372</v>
      </c>
      <c r="C251" s="14" t="str">
        <f>VLOOKUP(B251,Table4[],2,FALSE)</f>
        <v xml:space="preserve"> Tammiku Kodu</v>
      </c>
      <c r="D251" s="39" t="str">
        <f>VLOOKUP(Table110[[#This Row],[Tegevusala]],Table4[[Tegevusala kood]:[Tegevusala alanimetus]],4,FALSE)</f>
        <v>Eakate sotsiaalhoolekande asutused</v>
      </c>
      <c r="E251" s="14" t="str">
        <f>VLOOKUP(C251,Table4[[Tegevusala nimetus]:[Tegevusala koondnimetus]],2,FALSE)</f>
        <v>Sotsiaalne kaitse</v>
      </c>
      <c r="F251" s="14" t="s">
        <v>1594</v>
      </c>
      <c r="G251" s="14" t="s">
        <v>484</v>
      </c>
      <c r="H251" s="14">
        <v>1</v>
      </c>
      <c r="I251" s="14"/>
      <c r="J251" s="37">
        <v>660</v>
      </c>
      <c r="K251" s="14">
        <f t="shared" si="12"/>
        <v>660</v>
      </c>
      <c r="L251" s="14">
        <v>12</v>
      </c>
      <c r="M251" s="14"/>
      <c r="N251" s="44">
        <f>(K251*Table110[[#This Row],[Ühik2]])+M251</f>
        <v>7920</v>
      </c>
      <c r="O251" s="44">
        <f>Table110[[#This Row],[2020. EA ]]*0.338</f>
        <v>2676.96</v>
      </c>
      <c r="P251" s="14" t="s">
        <v>2146</v>
      </c>
    </row>
    <row r="252" spans="1:16" x14ac:dyDescent="0.25">
      <c r="A252" s="37" t="str">
        <f t="shared" si="11"/>
        <v>10</v>
      </c>
      <c r="B252" s="8" t="s">
        <v>372</v>
      </c>
      <c r="C252" s="37" t="str">
        <f>VLOOKUP(B252,Table4[],2,FALSE)</f>
        <v xml:space="preserve"> Tammiku Kodu</v>
      </c>
      <c r="D252" s="48" t="str">
        <f>VLOOKUP(Table110[[#This Row],[Tegevusala]],Table4[[Tegevusala kood]:[Tegevusala alanimetus]],4,FALSE)</f>
        <v>Eakate sotsiaalhoolekande asutused</v>
      </c>
      <c r="E252" s="37" t="str">
        <f>VLOOKUP(C252,Table4[[Tegevusala nimetus]:[Tegevusala koondnimetus]],2,FALSE)</f>
        <v>Sotsiaalne kaitse</v>
      </c>
      <c r="F252" s="37" t="s">
        <v>1594</v>
      </c>
      <c r="G252" s="37" t="s">
        <v>484</v>
      </c>
      <c r="H252" s="37">
        <v>1</v>
      </c>
      <c r="I252" s="37"/>
      <c r="J252" s="37">
        <v>584</v>
      </c>
      <c r="K252" s="37">
        <f t="shared" si="12"/>
        <v>584</v>
      </c>
      <c r="L252" s="37">
        <v>12</v>
      </c>
      <c r="M252" s="37"/>
      <c r="N252" s="46">
        <f>(K252*Table110[[#This Row],[Ühik2]])+M252</f>
        <v>7008</v>
      </c>
      <c r="O252" s="46">
        <f>Table110[[#This Row],[2020. EA ]]*0.338</f>
        <v>2368.7040000000002</v>
      </c>
      <c r="P252" s="37" t="s">
        <v>2146</v>
      </c>
    </row>
    <row r="253" spans="1:16" x14ac:dyDescent="0.25">
      <c r="A253" s="37" t="str">
        <f t="shared" si="11"/>
        <v>10</v>
      </c>
      <c r="B253" s="8" t="s">
        <v>372</v>
      </c>
      <c r="C253" s="37" t="str">
        <f>VLOOKUP(B253,Table4[],2,FALSE)</f>
        <v xml:space="preserve"> Tammiku Kodu</v>
      </c>
      <c r="D253" s="48" t="str">
        <f>VLOOKUP(Table110[[#This Row],[Tegevusala]],Table4[[Tegevusala kood]:[Tegevusala alanimetus]],4,FALSE)</f>
        <v>Eakate sotsiaalhoolekande asutused</v>
      </c>
      <c r="E253" s="37" t="str">
        <f>VLOOKUP(C253,Table4[[Tegevusala nimetus]:[Tegevusala koondnimetus]],2,FALSE)</f>
        <v>Sotsiaalne kaitse</v>
      </c>
      <c r="F253" s="37" t="s">
        <v>1594</v>
      </c>
      <c r="G253" s="37" t="s">
        <v>479</v>
      </c>
      <c r="H253" s="37">
        <v>0.5</v>
      </c>
      <c r="I253" s="37"/>
      <c r="J253" s="37">
        <v>584</v>
      </c>
      <c r="K253" s="37">
        <f t="shared" si="12"/>
        <v>292</v>
      </c>
      <c r="L253" s="37">
        <v>12</v>
      </c>
      <c r="M253" s="37"/>
      <c r="N253" s="46">
        <f>(K253*Table110[[#This Row],[Ühik2]])+M253</f>
        <v>3504</v>
      </c>
      <c r="O253" s="46">
        <f>Table110[[#This Row],[2020. EA ]]*0.338</f>
        <v>1184.3520000000001</v>
      </c>
      <c r="P253" s="37" t="s">
        <v>2146</v>
      </c>
    </row>
    <row r="254" spans="1:16" x14ac:dyDescent="0.25">
      <c r="A254" s="14" t="str">
        <f t="shared" si="11"/>
        <v>10</v>
      </c>
      <c r="B254" t="s">
        <v>372</v>
      </c>
      <c r="C254" s="14" t="str">
        <f>VLOOKUP(B254,Table4[],2,FALSE)</f>
        <v xml:space="preserve"> Tammiku Kodu</v>
      </c>
      <c r="D254" s="39" t="str">
        <f>VLOOKUP(Table110[[#This Row],[Tegevusala]],Table4[[Tegevusala kood]:[Tegevusala alanimetus]],4,FALSE)</f>
        <v>Eakate sotsiaalhoolekande asutused</v>
      </c>
      <c r="E254" s="14" t="str">
        <f>VLOOKUP(C254,Table4[[Tegevusala nimetus]:[Tegevusala koondnimetus]],2,FALSE)</f>
        <v>Sotsiaalne kaitse</v>
      </c>
      <c r="F254" s="14" t="s">
        <v>1594</v>
      </c>
      <c r="G254" s="14" t="s">
        <v>489</v>
      </c>
      <c r="H254" s="14">
        <v>1</v>
      </c>
      <c r="I254" s="14"/>
      <c r="J254" s="37">
        <v>1060</v>
      </c>
      <c r="K254" s="14">
        <f t="shared" si="12"/>
        <v>1060</v>
      </c>
      <c r="L254" s="14">
        <v>12</v>
      </c>
      <c r="M254" s="14"/>
      <c r="N254" s="44">
        <f>(K254*Table110[[#This Row],[Ühik2]])+M254</f>
        <v>12720</v>
      </c>
      <c r="O254" s="44">
        <f>Table110[[#This Row],[2020. EA ]]*0.338</f>
        <v>4299.3600000000006</v>
      </c>
      <c r="P254" s="14" t="s">
        <v>2146</v>
      </c>
    </row>
    <row r="255" spans="1:16" x14ac:dyDescent="0.25">
      <c r="A255" s="14" t="str">
        <f>LEFT(B255,2)</f>
        <v>10</v>
      </c>
      <c r="B255" t="s">
        <v>372</v>
      </c>
      <c r="C255" s="14" t="str">
        <f>VLOOKUP(B255,Table4[],2,FALSE)</f>
        <v xml:space="preserve"> Tammiku Kodu</v>
      </c>
      <c r="D255" s="39" t="str">
        <f>VLOOKUP(Table110[[#This Row],[Tegevusala]],Table4[[Tegevusala kood]:[Tegevusala alanimetus]],4,FALSE)</f>
        <v>Eakate sotsiaalhoolekande asutused</v>
      </c>
      <c r="E255" s="14" t="str">
        <f>VLOOKUP(C255,Table4[[Tegevusala nimetus]:[Tegevusala koondnimetus]],2,FALSE)</f>
        <v>Sotsiaalne kaitse</v>
      </c>
      <c r="F255" s="14" t="s">
        <v>1594</v>
      </c>
      <c r="G255" s="14" t="s">
        <v>1519</v>
      </c>
      <c r="H255" s="14">
        <v>1</v>
      </c>
      <c r="I255" s="14"/>
      <c r="J255" s="14"/>
      <c r="K255" s="14">
        <f t="shared" si="12"/>
        <v>0</v>
      </c>
      <c r="L255" s="14"/>
      <c r="M255" s="14">
        <v>7842</v>
      </c>
      <c r="N255" s="44">
        <f>(K255*Table110[[#This Row],[Ühik2]])+M255</f>
        <v>7842</v>
      </c>
      <c r="O255" s="44">
        <f>Table110[[#This Row],[2020. EA ]]*0.338</f>
        <v>2650.596</v>
      </c>
      <c r="P255" s="14"/>
    </row>
    <row r="256" spans="1:16" x14ac:dyDescent="0.25">
      <c r="A256" s="14" t="str">
        <f t="shared" ref="A256:A261" si="13">LEFT(B256,2)</f>
        <v>10</v>
      </c>
      <c r="B256" s="3" t="s">
        <v>374</v>
      </c>
      <c r="C256" s="14" t="str">
        <f>VLOOKUP(B256,Table4[],2,FALSE)</f>
        <v xml:space="preserve"> Ulvi Hooldekodu</v>
      </c>
      <c r="D256" s="39" t="str">
        <f>VLOOKUP(Table110[[#This Row],[Tegevusala]],Table4[[Tegevusala kood]:[Tegevusala alanimetus]],4,FALSE)</f>
        <v>Eakate sotsiaalhoolekande asutused</v>
      </c>
      <c r="E256" s="14" t="str">
        <f>VLOOKUP(C256,Table4[[Tegevusala nimetus]:[Tegevusala koondnimetus]],2,FALSE)</f>
        <v>Sotsiaalne kaitse</v>
      </c>
      <c r="F256" s="14" t="s">
        <v>1641</v>
      </c>
      <c r="G256" s="14" t="s">
        <v>489</v>
      </c>
      <c r="H256" s="14">
        <v>1</v>
      </c>
      <c r="I256" s="14"/>
      <c r="J256" s="14">
        <v>1435</v>
      </c>
      <c r="K256" s="14">
        <f t="shared" si="12"/>
        <v>1435</v>
      </c>
      <c r="L256" s="14">
        <v>12</v>
      </c>
      <c r="M256" s="14"/>
      <c r="N256" s="44">
        <f>(K256*Table110[[#This Row],[Ühik2]])+M256</f>
        <v>17220</v>
      </c>
      <c r="O256" s="44">
        <f>Table110[[#This Row],[2020. EA ]]*0.338</f>
        <v>5820.3600000000006</v>
      </c>
      <c r="P256" s="14"/>
    </row>
    <row r="257" spans="1:16" x14ac:dyDescent="0.25">
      <c r="A257" s="14" t="str">
        <f t="shared" si="13"/>
        <v>10</v>
      </c>
      <c r="B257" s="3" t="s">
        <v>374</v>
      </c>
      <c r="C257" s="14" t="str">
        <f>VLOOKUP(B257,Table4[],2,FALSE)</f>
        <v xml:space="preserve"> Ulvi Hooldekodu</v>
      </c>
      <c r="D257" s="39" t="str">
        <f>VLOOKUP(Table110[[#This Row],[Tegevusala]],Table4[[Tegevusala kood]:[Tegevusala alanimetus]],4,FALSE)</f>
        <v>Eakate sotsiaalhoolekande asutused</v>
      </c>
      <c r="E257" s="14" t="str">
        <f>VLOOKUP(C257,Table4[[Tegevusala nimetus]:[Tegevusala koondnimetus]],2,FALSE)</f>
        <v>Sotsiaalne kaitse</v>
      </c>
      <c r="F257" s="14" t="s">
        <v>1641</v>
      </c>
      <c r="G257" s="14" t="s">
        <v>1212</v>
      </c>
      <c r="H257" s="14">
        <v>2</v>
      </c>
      <c r="I257" s="14"/>
      <c r="J257" s="14">
        <v>891</v>
      </c>
      <c r="K257" s="14">
        <f t="shared" si="12"/>
        <v>1782</v>
      </c>
      <c r="L257" s="14">
        <v>12</v>
      </c>
      <c r="M257" s="14"/>
      <c r="N257" s="44">
        <f>(K257*Table110[[#This Row],[Ühik2]])+M257</f>
        <v>21384</v>
      </c>
      <c r="O257" s="44">
        <f>Table110[[#This Row],[2020. EA ]]*0.338</f>
        <v>7227.7920000000004</v>
      </c>
      <c r="P257" s="14"/>
    </row>
    <row r="258" spans="1:16" x14ac:dyDescent="0.25">
      <c r="A258" s="14" t="str">
        <f t="shared" si="13"/>
        <v>10</v>
      </c>
      <c r="B258" s="3" t="s">
        <v>374</v>
      </c>
      <c r="C258" s="14" t="str">
        <f>VLOOKUP(B258,Table4[],2,FALSE)</f>
        <v xml:space="preserve"> Ulvi Hooldekodu</v>
      </c>
      <c r="D258" s="39" t="str">
        <f>VLOOKUP(Table110[[#This Row],[Tegevusala]],Table4[[Tegevusala kood]:[Tegevusala alanimetus]],4,FALSE)</f>
        <v>Eakate sotsiaalhoolekande asutused</v>
      </c>
      <c r="E258" s="14" t="str">
        <f>VLOOKUP(C258,Table4[[Tegevusala nimetus]:[Tegevusala koondnimetus]],2,FALSE)</f>
        <v>Sotsiaalne kaitse</v>
      </c>
      <c r="F258" s="14" t="s">
        <v>1641</v>
      </c>
      <c r="G258" s="14" t="s">
        <v>1372</v>
      </c>
      <c r="H258" s="14">
        <v>1</v>
      </c>
      <c r="I258" s="14"/>
      <c r="J258" s="14">
        <v>880</v>
      </c>
      <c r="K258" s="14">
        <f t="shared" ref="K258:K321" si="14">H258*J258</f>
        <v>880</v>
      </c>
      <c r="L258" s="14">
        <v>12</v>
      </c>
      <c r="M258" s="14"/>
      <c r="N258" s="44">
        <f>(K258*Table110[[#This Row],[Ühik2]])+M258</f>
        <v>10560</v>
      </c>
      <c r="O258" s="44">
        <f>Table110[[#This Row],[2020. EA ]]*0.338</f>
        <v>3569.28</v>
      </c>
      <c r="P258" s="14"/>
    </row>
    <row r="259" spans="1:16" x14ac:dyDescent="0.25">
      <c r="A259" s="14" t="str">
        <f t="shared" si="13"/>
        <v>10</v>
      </c>
      <c r="B259" s="3" t="s">
        <v>374</v>
      </c>
      <c r="C259" s="14" t="str">
        <f>VLOOKUP(B259,Table4[],2,FALSE)</f>
        <v xml:space="preserve"> Ulvi Hooldekodu</v>
      </c>
      <c r="D259" s="39" t="str">
        <f>VLOOKUP(Table110[[#This Row],[Tegevusala]],Table4[[Tegevusala kood]:[Tegevusala alanimetus]],4,FALSE)</f>
        <v>Eakate sotsiaalhoolekande asutused</v>
      </c>
      <c r="E259" s="14" t="str">
        <f>VLOOKUP(C259,Table4[[Tegevusala nimetus]:[Tegevusala koondnimetus]],2,FALSE)</f>
        <v>Sotsiaalne kaitse</v>
      </c>
      <c r="F259" s="14" t="s">
        <v>1641</v>
      </c>
      <c r="G259" s="14" t="s">
        <v>1402</v>
      </c>
      <c r="H259" s="14">
        <v>1</v>
      </c>
      <c r="I259" s="14"/>
      <c r="J259" s="14">
        <v>770</v>
      </c>
      <c r="K259" s="14">
        <f t="shared" si="14"/>
        <v>770</v>
      </c>
      <c r="L259" s="14">
        <v>12</v>
      </c>
      <c r="M259" s="14"/>
      <c r="N259" s="44">
        <f>(K259*Table110[[#This Row],[Ühik2]])+M259</f>
        <v>9240</v>
      </c>
      <c r="O259" s="44">
        <f>Table110[[#This Row],[2020. EA ]]*0.338</f>
        <v>3123.1200000000003</v>
      </c>
      <c r="P259" s="14"/>
    </row>
    <row r="260" spans="1:16" x14ac:dyDescent="0.25">
      <c r="A260" s="91" t="str">
        <f t="shared" si="13"/>
        <v>10</v>
      </c>
      <c r="B260" s="96" t="s">
        <v>374</v>
      </c>
      <c r="C260" s="91" t="str">
        <f>VLOOKUP(B260,Table4[],2,FALSE)</f>
        <v xml:space="preserve"> Ulvi Hooldekodu</v>
      </c>
      <c r="D260" s="95" t="str">
        <f>VLOOKUP(Table110[[#This Row],[Tegevusala]],Table4[[Tegevusala kood]:[Tegevusala alanimetus]],4,FALSE)</f>
        <v>Eakate sotsiaalhoolekande asutused</v>
      </c>
      <c r="E260" s="91" t="str">
        <f>VLOOKUP(C260,Table4[[Tegevusala nimetus]:[Tegevusala koondnimetus]],2,FALSE)</f>
        <v>Sotsiaalne kaitse</v>
      </c>
      <c r="F260" s="91" t="s">
        <v>1641</v>
      </c>
      <c r="G260" s="91" t="s">
        <v>479</v>
      </c>
      <c r="H260" s="91">
        <v>1</v>
      </c>
      <c r="I260" s="91"/>
      <c r="J260" s="91">
        <v>292</v>
      </c>
      <c r="K260" s="91">
        <f t="shared" si="14"/>
        <v>292</v>
      </c>
      <c r="L260" s="91">
        <v>12</v>
      </c>
      <c r="M260" s="91"/>
      <c r="N260" s="93">
        <f>(K260*Table110[[#This Row],[Ühik2]])+M260</f>
        <v>3504</v>
      </c>
      <c r="O260" s="93">
        <f>Table110[[#This Row],[2020. EA ]]*0.338</f>
        <v>1184.3520000000001</v>
      </c>
      <c r="P260" s="91"/>
    </row>
    <row r="261" spans="1:16" x14ac:dyDescent="0.25">
      <c r="A261" s="14" t="str">
        <f t="shared" si="13"/>
        <v>10</v>
      </c>
      <c r="B261" s="3" t="s">
        <v>374</v>
      </c>
      <c r="C261" s="14" t="str">
        <f>VLOOKUP(B261,Table4[],2,FALSE)</f>
        <v xml:space="preserve"> Ulvi Hooldekodu</v>
      </c>
      <c r="D261" s="39" t="str">
        <f>VLOOKUP(Table110[[#This Row],[Tegevusala]],Table4[[Tegevusala kood]:[Tegevusala alanimetus]],4,FALSE)</f>
        <v>Eakate sotsiaalhoolekande asutused</v>
      </c>
      <c r="E261" s="14" t="str">
        <f>VLOOKUP(C261,Table4[[Tegevusala nimetus]:[Tegevusala koondnimetus]],2,FALSE)</f>
        <v>Sotsiaalne kaitse</v>
      </c>
      <c r="F261" s="14" t="s">
        <v>1641</v>
      </c>
      <c r="G261" s="14" t="s">
        <v>1642</v>
      </c>
      <c r="H261" s="14">
        <v>6.5</v>
      </c>
      <c r="I261" s="14"/>
      <c r="J261" s="14">
        <v>948.61540000000002</v>
      </c>
      <c r="K261" s="14">
        <f t="shared" si="14"/>
        <v>6166.0001000000002</v>
      </c>
      <c r="L261" s="14">
        <v>12</v>
      </c>
      <c r="M261" s="14"/>
      <c r="N261" s="44">
        <f>(K261*Table110[[#This Row],[Ühik2]])+M261</f>
        <v>73992.001199999999</v>
      </c>
      <c r="O261" s="44">
        <f>Table110[[#This Row],[2020. EA ]]*0.338</f>
        <v>25009.296405600002</v>
      </c>
      <c r="P261" s="14"/>
    </row>
    <row r="262" spans="1:16" x14ac:dyDescent="0.25">
      <c r="A262" s="14" t="str">
        <f>LEFT(B262,2)</f>
        <v>10</v>
      </c>
      <c r="B262" s="3" t="s">
        <v>374</v>
      </c>
      <c r="C262" s="14" t="str">
        <f>VLOOKUP(B262,Table4[],2,FALSE)</f>
        <v xml:space="preserve"> Ulvi Hooldekodu</v>
      </c>
      <c r="D262" s="39" t="str">
        <f>VLOOKUP(Table110[[#This Row],[Tegevusala]],Table4[[Tegevusala kood]:[Tegevusala alanimetus]],4,FALSE)</f>
        <v>Eakate sotsiaalhoolekande asutused</v>
      </c>
      <c r="E262" s="14" t="str">
        <f>VLOOKUP(C262,Table4[[Tegevusala nimetus]:[Tegevusala koondnimetus]],2,FALSE)</f>
        <v>Sotsiaalne kaitse</v>
      </c>
      <c r="F262" s="14" t="s">
        <v>1641</v>
      </c>
      <c r="G262" s="14" t="s">
        <v>935</v>
      </c>
      <c r="H262" s="14">
        <v>1</v>
      </c>
      <c r="I262" s="14"/>
      <c r="J262" s="14"/>
      <c r="K262" s="14">
        <f t="shared" si="14"/>
        <v>0</v>
      </c>
      <c r="L262" s="14"/>
      <c r="M262" s="14">
        <v>1600</v>
      </c>
      <c r="N262" s="44">
        <f>(K262*Table110[[#This Row],[Ühik2]])+M262</f>
        <v>1600</v>
      </c>
      <c r="O262" s="44">
        <f>Table110[[#This Row],[2020. EA ]]*0.338</f>
        <v>540.80000000000007</v>
      </c>
      <c r="P262" s="14"/>
    </row>
    <row r="263" spans="1:16" x14ac:dyDescent="0.25">
      <c r="A263" s="14" t="str">
        <f>LEFT(B263,2)</f>
        <v>08</v>
      </c>
      <c r="B263" t="s">
        <v>302</v>
      </c>
      <c r="C263" s="14" t="str">
        <f>VLOOKUP(B263,Table4[],2,FALSE)</f>
        <v xml:space="preserve"> Tudu Raamatukogu</v>
      </c>
      <c r="D263" s="39" t="str">
        <f>VLOOKUP(Table110[[#This Row],[Tegevusala]],Table4[[Tegevusala kood]:[Tegevusala alanimetus]],4,FALSE)</f>
        <v>Raamatukogud</v>
      </c>
      <c r="E263" s="14" t="str">
        <f>VLOOKUP(C263,Table4[[Tegevusala nimetus]:[Tegevusala koondnimetus]],2,FALSE)</f>
        <v>Vabaaeg, kultuur ja religioon</v>
      </c>
      <c r="F263" s="14" t="s">
        <v>1672</v>
      </c>
      <c r="G263" s="14" t="s">
        <v>489</v>
      </c>
      <c r="H263" s="14">
        <v>1</v>
      </c>
      <c r="I263" s="14"/>
      <c r="J263" s="14">
        <v>591</v>
      </c>
      <c r="K263" s="14">
        <f t="shared" si="14"/>
        <v>591</v>
      </c>
      <c r="L263" s="14">
        <v>12</v>
      </c>
      <c r="M263" s="14"/>
      <c r="N263" s="44">
        <f>(K263*Table110[[#This Row],[Ühik2]])+M263</f>
        <v>7092</v>
      </c>
      <c r="O263" s="44">
        <f>Table110[[#This Row],[2020. EA ]]*0.338</f>
        <v>2397.096</v>
      </c>
      <c r="P263" s="14"/>
    </row>
    <row r="264" spans="1:16" x14ac:dyDescent="0.25">
      <c r="A264" s="14" t="str">
        <f t="shared" ref="A264:A301" si="15">LEFT(B264,2)</f>
        <v>10</v>
      </c>
      <c r="B264" s="3" t="s">
        <v>384</v>
      </c>
      <c r="C264" s="14" t="str">
        <f>VLOOKUP(B264,Table4[],2,FALSE)</f>
        <v xml:space="preserve"> Vinni Perekodu</v>
      </c>
      <c r="D264" s="39" t="str">
        <f>VLOOKUP(Table110[[#This Row],[Tegevusala]],Table4[[Tegevusala kood]:[Tegevusala alanimetus]],4,FALSE)</f>
        <v>Laste ja noorte sotsiaalhoolekande asutused</v>
      </c>
      <c r="E264" s="14" t="str">
        <f>VLOOKUP(C264,Table4[[Tegevusala nimetus]:[Tegevusala koondnimetus]],2,FALSE)</f>
        <v>Sotsiaalne kaitse</v>
      </c>
      <c r="F264" s="14" t="s">
        <v>1679</v>
      </c>
      <c r="G264" s="14" t="s">
        <v>489</v>
      </c>
      <c r="H264" s="14">
        <v>1</v>
      </c>
      <c r="I264" s="14"/>
      <c r="J264" s="14">
        <v>1800</v>
      </c>
      <c r="K264" s="14">
        <f t="shared" si="14"/>
        <v>1800</v>
      </c>
      <c r="L264" s="14">
        <v>12</v>
      </c>
      <c r="M264" s="14">
        <v>1800</v>
      </c>
      <c r="N264" s="44">
        <f>(K264*Table110[[#This Row],[Ühik2]])+M264</f>
        <v>23400</v>
      </c>
      <c r="O264" s="44">
        <f>Table110[[#This Row],[2020. EA ]]*0.338</f>
        <v>7909.2000000000007</v>
      </c>
      <c r="P264" s="14"/>
    </row>
    <row r="265" spans="1:16" x14ac:dyDescent="0.25">
      <c r="A265" s="14" t="str">
        <f t="shared" si="15"/>
        <v>10</v>
      </c>
      <c r="B265" s="3" t="s">
        <v>384</v>
      </c>
      <c r="C265" s="14" t="str">
        <f>VLOOKUP(B265,Table4[],2,FALSE)</f>
        <v xml:space="preserve"> Vinni Perekodu</v>
      </c>
      <c r="D265" s="39" t="str">
        <f>VLOOKUP(Table110[[#This Row],[Tegevusala]],Table4[[Tegevusala kood]:[Tegevusala alanimetus]],4,FALSE)</f>
        <v>Laste ja noorte sotsiaalhoolekande asutused</v>
      </c>
      <c r="E265" s="14" t="str">
        <f>VLOOKUP(C265,Table4[[Tegevusala nimetus]:[Tegevusala koondnimetus]],2,FALSE)</f>
        <v>Sotsiaalne kaitse</v>
      </c>
      <c r="F265" s="14" t="s">
        <v>1679</v>
      </c>
      <c r="G265" s="14" t="s">
        <v>471</v>
      </c>
      <c r="H265" s="14">
        <v>1</v>
      </c>
      <c r="I265" s="14"/>
      <c r="J265" s="14">
        <v>1350</v>
      </c>
      <c r="K265" s="14">
        <f t="shared" si="14"/>
        <v>1350</v>
      </c>
      <c r="L265" s="14">
        <v>12</v>
      </c>
      <c r="M265" s="14">
        <v>1350</v>
      </c>
      <c r="N265" s="44">
        <f>(K265*Table110[[#This Row],[Ühik2]])+M265</f>
        <v>17550</v>
      </c>
      <c r="O265" s="44">
        <f>Table110[[#This Row],[2020. EA ]]*0.338</f>
        <v>5931.9000000000005</v>
      </c>
      <c r="P265" s="14"/>
    </row>
    <row r="266" spans="1:16" x14ac:dyDescent="0.25">
      <c r="A266" s="38" t="str">
        <f t="shared" si="15"/>
        <v>10</v>
      </c>
      <c r="B266" s="34" t="s">
        <v>384</v>
      </c>
      <c r="C266" s="38" t="str">
        <f>VLOOKUP(B266,Table4[],2,FALSE)</f>
        <v xml:space="preserve"> Vinni Perekodu</v>
      </c>
      <c r="D266" s="39" t="str">
        <f>VLOOKUP(Table110[[#This Row],[Tegevusala]],Table4[[Tegevusala kood]:[Tegevusala alanimetus]],4,FALSE)</f>
        <v>Laste ja noorte sotsiaalhoolekande asutused</v>
      </c>
      <c r="E266" s="38" t="str">
        <f>VLOOKUP(C266,Table4[[Tegevusala nimetus]:[Tegevusala koondnimetus]],2,FALSE)</f>
        <v>Sotsiaalne kaitse</v>
      </c>
      <c r="F266" s="38" t="s">
        <v>1679</v>
      </c>
      <c r="G266" s="38" t="s">
        <v>1372</v>
      </c>
      <c r="H266" s="38">
        <v>1</v>
      </c>
      <c r="I266" s="38"/>
      <c r="J266" s="38">
        <v>1350</v>
      </c>
      <c r="K266" s="38">
        <f t="shared" si="14"/>
        <v>1350</v>
      </c>
      <c r="L266" s="38">
        <v>12</v>
      </c>
      <c r="M266" s="38">
        <v>1350</v>
      </c>
      <c r="N266" s="45">
        <f>(K266*Table110[[#This Row],[Ühik2]])+M266</f>
        <v>17550</v>
      </c>
      <c r="O266" s="45">
        <f>Table110[[#This Row],[2020. EA ]]*0.338</f>
        <v>5931.9000000000005</v>
      </c>
      <c r="P266" s="38"/>
    </row>
    <row r="267" spans="1:16" x14ac:dyDescent="0.25">
      <c r="A267" s="14" t="str">
        <f t="shared" si="15"/>
        <v>10</v>
      </c>
      <c r="B267" s="3" t="s">
        <v>384</v>
      </c>
      <c r="C267" s="14" t="str">
        <f>VLOOKUP(B267,Table4[],2,FALSE)</f>
        <v xml:space="preserve"> Vinni Perekodu</v>
      </c>
      <c r="D267" s="39" t="str">
        <f>VLOOKUP(Table110[[#This Row],[Tegevusala]],Table4[[Tegevusala kood]:[Tegevusala alanimetus]],4,FALSE)</f>
        <v>Laste ja noorte sotsiaalhoolekande asutused</v>
      </c>
      <c r="E267" s="14" t="str">
        <f>VLOOKUP(C267,Table4[[Tegevusala nimetus]:[Tegevusala koondnimetus]],2,FALSE)</f>
        <v>Sotsiaalne kaitse</v>
      </c>
      <c r="F267" s="14" t="s">
        <v>1679</v>
      </c>
      <c r="G267" s="14" t="s">
        <v>1681</v>
      </c>
      <c r="H267" s="14">
        <v>1</v>
      </c>
      <c r="I267" s="14"/>
      <c r="J267" s="14">
        <v>1250</v>
      </c>
      <c r="K267" s="14">
        <f t="shared" si="14"/>
        <v>1250</v>
      </c>
      <c r="L267" s="14">
        <v>12</v>
      </c>
      <c r="M267" s="14">
        <v>1250</v>
      </c>
      <c r="N267" s="44">
        <f>(K267*Table110[[#This Row],[Ühik2]])+M267</f>
        <v>16250</v>
      </c>
      <c r="O267" s="44">
        <f>Table110[[#This Row],[2020. EA ]]*0.338</f>
        <v>5492.5</v>
      </c>
      <c r="P267" s="14"/>
    </row>
    <row r="268" spans="1:16" x14ac:dyDescent="0.25">
      <c r="A268" s="14" t="str">
        <f t="shared" si="15"/>
        <v>10</v>
      </c>
      <c r="B268" s="3" t="s">
        <v>384</v>
      </c>
      <c r="C268" s="14" t="str">
        <f>VLOOKUP(B268,Table4[],2,FALSE)</f>
        <v xml:space="preserve"> Vinni Perekodu</v>
      </c>
      <c r="D268" s="39" t="str">
        <f>VLOOKUP(Table110[[#This Row],[Tegevusala]],Table4[[Tegevusala kood]:[Tegevusala alanimetus]],4,FALSE)</f>
        <v>Laste ja noorte sotsiaalhoolekande asutused</v>
      </c>
      <c r="E268" s="14" t="str">
        <f>VLOOKUP(C268,Table4[[Tegevusala nimetus]:[Tegevusala koondnimetus]],2,FALSE)</f>
        <v>Sotsiaalne kaitse</v>
      </c>
      <c r="F268" s="14" t="s">
        <v>1679</v>
      </c>
      <c r="G268" s="14" t="s">
        <v>1681</v>
      </c>
      <c r="H268" s="14">
        <v>1</v>
      </c>
      <c r="I268" s="14"/>
      <c r="J268" s="14">
        <v>1250</v>
      </c>
      <c r="K268" s="14">
        <f t="shared" si="14"/>
        <v>1250</v>
      </c>
      <c r="L268" s="14">
        <v>12</v>
      </c>
      <c r="M268" s="14">
        <v>1250</v>
      </c>
      <c r="N268" s="44">
        <f>(K268*Table110[[#This Row],[Ühik2]])+M268</f>
        <v>16250</v>
      </c>
      <c r="O268" s="44">
        <f>Table110[[#This Row],[2020. EA ]]*0.338</f>
        <v>5492.5</v>
      </c>
      <c r="P268" s="14"/>
    </row>
    <row r="269" spans="1:16" x14ac:dyDescent="0.25">
      <c r="A269" s="14" t="str">
        <f t="shared" si="15"/>
        <v>10</v>
      </c>
      <c r="B269" s="3" t="s">
        <v>384</v>
      </c>
      <c r="C269" s="14" t="str">
        <f>VLOOKUP(B269,Table4[],2,FALSE)</f>
        <v xml:space="preserve"> Vinni Perekodu</v>
      </c>
      <c r="D269" s="39" t="str">
        <f>VLOOKUP(Table110[[#This Row],[Tegevusala]],Table4[[Tegevusala kood]:[Tegevusala alanimetus]],4,FALSE)</f>
        <v>Laste ja noorte sotsiaalhoolekande asutused</v>
      </c>
      <c r="E269" s="14" t="str">
        <f>VLOOKUP(C269,Table4[[Tegevusala nimetus]:[Tegevusala koondnimetus]],2,FALSE)</f>
        <v>Sotsiaalne kaitse</v>
      </c>
      <c r="F269" s="14" t="s">
        <v>1679</v>
      </c>
      <c r="G269" s="14" t="s">
        <v>1681</v>
      </c>
      <c r="H269" s="14">
        <v>1</v>
      </c>
      <c r="I269" s="14"/>
      <c r="J269" s="14">
        <v>1250</v>
      </c>
      <c r="K269" s="14">
        <f t="shared" si="14"/>
        <v>1250</v>
      </c>
      <c r="L269" s="14">
        <v>12</v>
      </c>
      <c r="M269" s="14">
        <v>1250</v>
      </c>
      <c r="N269" s="44">
        <f>(K269*Table110[[#This Row],[Ühik2]])+M269</f>
        <v>16250</v>
      </c>
      <c r="O269" s="44">
        <f>Table110[[#This Row],[2020. EA ]]*0.338</f>
        <v>5492.5</v>
      </c>
      <c r="P269" s="14"/>
    </row>
    <row r="270" spans="1:16" x14ac:dyDescent="0.25">
      <c r="A270" s="14" t="str">
        <f t="shared" si="15"/>
        <v>10</v>
      </c>
      <c r="B270" s="3" t="s">
        <v>384</v>
      </c>
      <c r="C270" s="14" t="str">
        <f>VLOOKUP(B270,Table4[],2,FALSE)</f>
        <v xml:space="preserve"> Vinni Perekodu</v>
      </c>
      <c r="D270" s="39" t="str">
        <f>VLOOKUP(Table110[[#This Row],[Tegevusala]],Table4[[Tegevusala kood]:[Tegevusala alanimetus]],4,FALSE)</f>
        <v>Laste ja noorte sotsiaalhoolekande asutused</v>
      </c>
      <c r="E270" s="14" t="str">
        <f>VLOOKUP(C270,Table4[[Tegevusala nimetus]:[Tegevusala koondnimetus]],2,FALSE)</f>
        <v>Sotsiaalne kaitse</v>
      </c>
      <c r="F270" s="14" t="s">
        <v>1679</v>
      </c>
      <c r="G270" s="14" t="s">
        <v>1682</v>
      </c>
      <c r="H270" s="14">
        <v>1</v>
      </c>
      <c r="I270" s="14"/>
      <c r="J270" s="14">
        <v>1250</v>
      </c>
      <c r="K270" s="14">
        <f t="shared" si="14"/>
        <v>1250</v>
      </c>
      <c r="L270" s="14">
        <v>12</v>
      </c>
      <c r="M270" s="14">
        <v>1250</v>
      </c>
      <c r="N270" s="44">
        <f>(K270*Table110[[#This Row],[Ühik2]])+M270</f>
        <v>16250</v>
      </c>
      <c r="O270" s="44">
        <f>Table110[[#This Row],[2020. EA ]]*0.338</f>
        <v>5492.5</v>
      </c>
      <c r="P270" s="14"/>
    </row>
    <row r="271" spans="1:16" x14ac:dyDescent="0.25">
      <c r="A271" s="14" t="str">
        <f t="shared" si="15"/>
        <v>10</v>
      </c>
      <c r="B271" s="3" t="s">
        <v>384</v>
      </c>
      <c r="C271" s="14" t="str">
        <f>VLOOKUP(B271,Table4[],2,FALSE)</f>
        <v xml:space="preserve"> Vinni Perekodu</v>
      </c>
      <c r="D271" s="39" t="str">
        <f>VLOOKUP(Table110[[#This Row],[Tegevusala]],Table4[[Tegevusala kood]:[Tegevusala alanimetus]],4,FALSE)</f>
        <v>Laste ja noorte sotsiaalhoolekande asutused</v>
      </c>
      <c r="E271" s="14" t="str">
        <f>VLOOKUP(C271,Table4[[Tegevusala nimetus]:[Tegevusala koondnimetus]],2,FALSE)</f>
        <v>Sotsiaalne kaitse</v>
      </c>
      <c r="F271" s="14" t="s">
        <v>1679</v>
      </c>
      <c r="G271" s="14" t="s">
        <v>1682</v>
      </c>
      <c r="H271" s="14">
        <v>1</v>
      </c>
      <c r="I271" s="14"/>
      <c r="J271" s="14">
        <v>1250</v>
      </c>
      <c r="K271" s="14">
        <f t="shared" si="14"/>
        <v>1250</v>
      </c>
      <c r="L271" s="14">
        <v>12</v>
      </c>
      <c r="M271" s="14">
        <v>1250</v>
      </c>
      <c r="N271" s="44">
        <f>(K271*Table110[[#This Row],[Ühik2]])+M271</f>
        <v>16250</v>
      </c>
      <c r="O271" s="44">
        <f>Table110[[#This Row],[2020. EA ]]*0.338</f>
        <v>5492.5</v>
      </c>
      <c r="P271" s="14"/>
    </row>
    <row r="272" spans="1:16" x14ac:dyDescent="0.25">
      <c r="A272" s="14" t="str">
        <f t="shared" si="15"/>
        <v>10</v>
      </c>
      <c r="B272" s="3" t="s">
        <v>384</v>
      </c>
      <c r="C272" s="14" t="str">
        <f>VLOOKUP(B272,Table4[],2,FALSE)</f>
        <v xml:space="preserve"> Vinni Perekodu</v>
      </c>
      <c r="D272" s="39" t="str">
        <f>VLOOKUP(Table110[[#This Row],[Tegevusala]],Table4[[Tegevusala kood]:[Tegevusala alanimetus]],4,FALSE)</f>
        <v>Laste ja noorte sotsiaalhoolekande asutused</v>
      </c>
      <c r="E272" s="14" t="str">
        <f>VLOOKUP(C272,Table4[[Tegevusala nimetus]:[Tegevusala koondnimetus]],2,FALSE)</f>
        <v>Sotsiaalne kaitse</v>
      </c>
      <c r="F272" s="14" t="s">
        <v>1679</v>
      </c>
      <c r="G272" s="14" t="s">
        <v>1682</v>
      </c>
      <c r="H272" s="14">
        <v>1</v>
      </c>
      <c r="I272" s="14"/>
      <c r="J272" s="14">
        <v>1250</v>
      </c>
      <c r="K272" s="14">
        <f t="shared" si="14"/>
        <v>1250</v>
      </c>
      <c r="L272" s="14">
        <v>12</v>
      </c>
      <c r="M272" s="14">
        <v>1250</v>
      </c>
      <c r="N272" s="44">
        <f>(K272*Table110[[#This Row],[Ühik2]])+M272</f>
        <v>16250</v>
      </c>
      <c r="O272" s="44">
        <f>Table110[[#This Row],[2020. EA ]]*0.338</f>
        <v>5492.5</v>
      </c>
      <c r="P272" s="14"/>
    </row>
    <row r="273" spans="1:16" x14ac:dyDescent="0.25">
      <c r="A273" s="14" t="str">
        <f t="shared" si="15"/>
        <v>10</v>
      </c>
      <c r="B273" s="3" t="s">
        <v>384</v>
      </c>
      <c r="C273" s="14" t="str">
        <f>VLOOKUP(B273,Table4[],2,FALSE)</f>
        <v xml:space="preserve"> Vinni Perekodu</v>
      </c>
      <c r="D273" s="39" t="str">
        <f>VLOOKUP(Table110[[#This Row],[Tegevusala]],Table4[[Tegevusala kood]:[Tegevusala alanimetus]],4,FALSE)</f>
        <v>Laste ja noorte sotsiaalhoolekande asutused</v>
      </c>
      <c r="E273" s="14" t="str">
        <f>VLOOKUP(C273,Table4[[Tegevusala nimetus]:[Tegevusala koondnimetus]],2,FALSE)</f>
        <v>Sotsiaalne kaitse</v>
      </c>
      <c r="F273" s="14" t="s">
        <v>1679</v>
      </c>
      <c r="G273" s="14" t="s">
        <v>1683</v>
      </c>
      <c r="H273" s="14">
        <v>1</v>
      </c>
      <c r="I273" s="14"/>
      <c r="J273" s="14">
        <v>1250</v>
      </c>
      <c r="K273" s="14">
        <f t="shared" si="14"/>
        <v>1250</v>
      </c>
      <c r="L273" s="14">
        <v>12</v>
      </c>
      <c r="M273" s="14">
        <v>1250</v>
      </c>
      <c r="N273" s="44">
        <f>(K273*Table110[[#This Row],[Ühik2]])+M273</f>
        <v>16250</v>
      </c>
      <c r="O273" s="44">
        <f>Table110[[#This Row],[2020. EA ]]*0.338</f>
        <v>5492.5</v>
      </c>
      <c r="P273" s="14"/>
    </row>
    <row r="274" spans="1:16" x14ac:dyDescent="0.25">
      <c r="A274" s="14" t="str">
        <f t="shared" si="15"/>
        <v>10</v>
      </c>
      <c r="B274" s="3" t="s">
        <v>384</v>
      </c>
      <c r="C274" s="14" t="str">
        <f>VLOOKUP(B274,Table4[],2,FALSE)</f>
        <v xml:space="preserve"> Vinni Perekodu</v>
      </c>
      <c r="D274" s="39" t="str">
        <f>VLOOKUP(Table110[[#This Row],[Tegevusala]],Table4[[Tegevusala kood]:[Tegevusala alanimetus]],4,FALSE)</f>
        <v>Laste ja noorte sotsiaalhoolekande asutused</v>
      </c>
      <c r="E274" s="14" t="str">
        <f>VLOOKUP(C274,Table4[[Tegevusala nimetus]:[Tegevusala koondnimetus]],2,FALSE)</f>
        <v>Sotsiaalne kaitse</v>
      </c>
      <c r="F274" s="14" t="s">
        <v>1679</v>
      </c>
      <c r="G274" s="14" t="s">
        <v>1683</v>
      </c>
      <c r="H274" s="14">
        <v>1</v>
      </c>
      <c r="I274" s="14"/>
      <c r="J274" s="14">
        <v>1250</v>
      </c>
      <c r="K274" s="14">
        <f t="shared" si="14"/>
        <v>1250</v>
      </c>
      <c r="L274" s="14">
        <v>12</v>
      </c>
      <c r="M274" s="14">
        <v>1250</v>
      </c>
      <c r="N274" s="44">
        <f>(K274*Table110[[#This Row],[Ühik2]])+M274</f>
        <v>16250</v>
      </c>
      <c r="O274" s="44">
        <f>Table110[[#This Row],[2020. EA ]]*0.338</f>
        <v>5492.5</v>
      </c>
      <c r="P274" s="14"/>
    </row>
    <row r="275" spans="1:16" x14ac:dyDescent="0.25">
      <c r="A275" s="14" t="str">
        <f t="shared" si="15"/>
        <v>10</v>
      </c>
      <c r="B275" s="3" t="s">
        <v>384</v>
      </c>
      <c r="C275" s="14" t="str">
        <f>VLOOKUP(B275,Table4[],2,FALSE)</f>
        <v xml:space="preserve"> Vinni Perekodu</v>
      </c>
      <c r="D275" s="39" t="str">
        <f>VLOOKUP(Table110[[#This Row],[Tegevusala]],Table4[[Tegevusala kood]:[Tegevusala alanimetus]],4,FALSE)</f>
        <v>Laste ja noorte sotsiaalhoolekande asutused</v>
      </c>
      <c r="E275" s="14" t="str">
        <f>VLOOKUP(C275,Table4[[Tegevusala nimetus]:[Tegevusala koondnimetus]],2,FALSE)</f>
        <v>Sotsiaalne kaitse</v>
      </c>
      <c r="F275" s="14" t="s">
        <v>1679</v>
      </c>
      <c r="G275" s="14" t="s">
        <v>1683</v>
      </c>
      <c r="H275" s="14">
        <v>1</v>
      </c>
      <c r="I275" s="14"/>
      <c r="J275" s="14">
        <v>1250</v>
      </c>
      <c r="K275" s="14">
        <f t="shared" si="14"/>
        <v>1250</v>
      </c>
      <c r="L275" s="14">
        <v>12</v>
      </c>
      <c r="M275" s="14">
        <v>1250</v>
      </c>
      <c r="N275" s="44">
        <f>(K275*Table110[[#This Row],[Ühik2]])+M275</f>
        <v>16250</v>
      </c>
      <c r="O275" s="44">
        <f>Table110[[#This Row],[2020. EA ]]*0.338</f>
        <v>5492.5</v>
      </c>
      <c r="P275" s="14"/>
    </row>
    <row r="276" spans="1:16" x14ac:dyDescent="0.25">
      <c r="A276" s="14" t="str">
        <f t="shared" si="15"/>
        <v>10</v>
      </c>
      <c r="B276" s="3" t="s">
        <v>384</v>
      </c>
      <c r="C276" s="14" t="str">
        <f>VLOOKUP(B276,Table4[],2,FALSE)</f>
        <v xml:space="preserve"> Vinni Perekodu</v>
      </c>
      <c r="D276" s="39" t="str">
        <f>VLOOKUP(Table110[[#This Row],[Tegevusala]],Table4[[Tegevusala kood]:[Tegevusala alanimetus]],4,FALSE)</f>
        <v>Laste ja noorte sotsiaalhoolekande asutused</v>
      </c>
      <c r="E276" s="14" t="str">
        <f>VLOOKUP(C276,Table4[[Tegevusala nimetus]:[Tegevusala koondnimetus]],2,FALSE)</f>
        <v>Sotsiaalne kaitse</v>
      </c>
      <c r="F276" s="14" t="s">
        <v>1679</v>
      </c>
      <c r="G276" s="14" t="s">
        <v>1684</v>
      </c>
      <c r="H276" s="14">
        <v>1</v>
      </c>
      <c r="I276" s="14"/>
      <c r="J276" s="14">
        <v>1250</v>
      </c>
      <c r="K276" s="14">
        <f t="shared" si="14"/>
        <v>1250</v>
      </c>
      <c r="L276" s="14">
        <v>12</v>
      </c>
      <c r="M276" s="14">
        <v>1250</v>
      </c>
      <c r="N276" s="44">
        <f>(K276*Table110[[#This Row],[Ühik2]])+M276</f>
        <v>16250</v>
      </c>
      <c r="O276" s="44">
        <f>Table110[[#This Row],[2020. EA ]]*0.338</f>
        <v>5492.5</v>
      </c>
      <c r="P276" s="14"/>
    </row>
    <row r="277" spans="1:16" x14ac:dyDescent="0.25">
      <c r="A277" s="14" t="str">
        <f t="shared" si="15"/>
        <v>10</v>
      </c>
      <c r="B277" s="3" t="s">
        <v>384</v>
      </c>
      <c r="C277" s="14" t="str">
        <f>VLOOKUP(B277,Table4[],2,FALSE)</f>
        <v xml:space="preserve"> Vinni Perekodu</v>
      </c>
      <c r="D277" s="39" t="str">
        <f>VLOOKUP(Table110[[#This Row],[Tegevusala]],Table4[[Tegevusala kood]:[Tegevusala alanimetus]],4,FALSE)</f>
        <v>Laste ja noorte sotsiaalhoolekande asutused</v>
      </c>
      <c r="E277" s="14" t="str">
        <f>VLOOKUP(C277,Table4[[Tegevusala nimetus]:[Tegevusala koondnimetus]],2,FALSE)</f>
        <v>Sotsiaalne kaitse</v>
      </c>
      <c r="F277" s="14" t="s">
        <v>1679</v>
      </c>
      <c r="G277" s="14" t="s">
        <v>1684</v>
      </c>
      <c r="H277" s="14">
        <v>1</v>
      </c>
      <c r="I277" s="14"/>
      <c r="J277" s="14">
        <v>1250</v>
      </c>
      <c r="K277" s="14">
        <f t="shared" si="14"/>
        <v>1250</v>
      </c>
      <c r="L277" s="14">
        <v>12</v>
      </c>
      <c r="M277" s="14">
        <v>1250</v>
      </c>
      <c r="N277" s="44">
        <f>(K277*Table110[[#This Row],[Ühik2]])+M277</f>
        <v>16250</v>
      </c>
      <c r="O277" s="44">
        <f>Table110[[#This Row],[2020. EA ]]*0.338</f>
        <v>5492.5</v>
      </c>
      <c r="P277" s="14"/>
    </row>
    <row r="278" spans="1:16" x14ac:dyDescent="0.25">
      <c r="A278" s="14" t="str">
        <f t="shared" si="15"/>
        <v>10</v>
      </c>
      <c r="B278" s="3" t="s">
        <v>384</v>
      </c>
      <c r="C278" s="14" t="str">
        <f>VLOOKUP(B278,Table4[],2,FALSE)</f>
        <v xml:space="preserve"> Vinni Perekodu</v>
      </c>
      <c r="D278" s="39" t="str">
        <f>VLOOKUP(Table110[[#This Row],[Tegevusala]],Table4[[Tegevusala kood]:[Tegevusala alanimetus]],4,FALSE)</f>
        <v>Laste ja noorte sotsiaalhoolekande asutused</v>
      </c>
      <c r="E278" s="14" t="str">
        <f>VLOOKUP(C278,Table4[[Tegevusala nimetus]:[Tegevusala koondnimetus]],2,FALSE)</f>
        <v>Sotsiaalne kaitse</v>
      </c>
      <c r="F278" s="14" t="s">
        <v>1679</v>
      </c>
      <c r="G278" s="14" t="s">
        <v>1684</v>
      </c>
      <c r="H278" s="14">
        <v>1</v>
      </c>
      <c r="I278" s="14"/>
      <c r="J278" s="14">
        <v>1250</v>
      </c>
      <c r="K278" s="14">
        <f t="shared" si="14"/>
        <v>1250</v>
      </c>
      <c r="L278" s="14">
        <v>12</v>
      </c>
      <c r="M278" s="14">
        <v>1250</v>
      </c>
      <c r="N278" s="44">
        <f>(K278*Table110[[#This Row],[Ühik2]])+M278</f>
        <v>16250</v>
      </c>
      <c r="O278" s="44">
        <f>Table110[[#This Row],[2020. EA ]]*0.338</f>
        <v>5492.5</v>
      </c>
      <c r="P278" s="14"/>
    </row>
    <row r="279" spans="1:16" x14ac:dyDescent="0.25">
      <c r="A279" s="14" t="str">
        <f t="shared" si="15"/>
        <v>10</v>
      </c>
      <c r="B279" s="3" t="s">
        <v>384</v>
      </c>
      <c r="C279" s="14" t="str">
        <f>VLOOKUP(B279,Table4[],2,FALSE)</f>
        <v xml:space="preserve"> Vinni Perekodu</v>
      </c>
      <c r="D279" s="39" t="str">
        <f>VLOOKUP(Table110[[#This Row],[Tegevusala]],Table4[[Tegevusala kood]:[Tegevusala alanimetus]],4,FALSE)</f>
        <v>Laste ja noorte sotsiaalhoolekande asutused</v>
      </c>
      <c r="E279" s="14" t="str">
        <f>VLOOKUP(C279,Table4[[Tegevusala nimetus]:[Tegevusala koondnimetus]],2,FALSE)</f>
        <v>Sotsiaalne kaitse</v>
      </c>
      <c r="F279" s="14" t="s">
        <v>1679</v>
      </c>
      <c r="G279" s="14" t="s">
        <v>1685</v>
      </c>
      <c r="H279" s="14">
        <v>1</v>
      </c>
      <c r="I279" s="14"/>
      <c r="J279" s="14">
        <v>1250</v>
      </c>
      <c r="K279" s="14">
        <f t="shared" si="14"/>
        <v>1250</v>
      </c>
      <c r="L279" s="14">
        <v>12</v>
      </c>
      <c r="M279" s="14">
        <v>1250</v>
      </c>
      <c r="N279" s="44">
        <f>(K279*Table110[[#This Row],[Ühik2]])+M279</f>
        <v>16250</v>
      </c>
      <c r="O279" s="44">
        <f>Table110[[#This Row],[2020. EA ]]*0.338</f>
        <v>5492.5</v>
      </c>
      <c r="P279" s="14"/>
    </row>
    <row r="280" spans="1:16" x14ac:dyDescent="0.25">
      <c r="A280" s="14" t="str">
        <f t="shared" si="15"/>
        <v>10</v>
      </c>
      <c r="B280" s="3" t="s">
        <v>384</v>
      </c>
      <c r="C280" s="14" t="str">
        <f>VLOOKUP(B280,Table4[],2,FALSE)</f>
        <v xml:space="preserve"> Vinni Perekodu</v>
      </c>
      <c r="D280" s="39" t="str">
        <f>VLOOKUP(Table110[[#This Row],[Tegevusala]],Table4[[Tegevusala kood]:[Tegevusala alanimetus]],4,FALSE)</f>
        <v>Laste ja noorte sotsiaalhoolekande asutused</v>
      </c>
      <c r="E280" s="14" t="str">
        <f>VLOOKUP(C280,Table4[[Tegevusala nimetus]:[Tegevusala koondnimetus]],2,FALSE)</f>
        <v>Sotsiaalne kaitse</v>
      </c>
      <c r="F280" s="14" t="s">
        <v>1679</v>
      </c>
      <c r="G280" s="14" t="s">
        <v>1685</v>
      </c>
      <c r="H280" s="14">
        <v>1</v>
      </c>
      <c r="I280" s="14"/>
      <c r="J280" s="14">
        <v>1250</v>
      </c>
      <c r="K280" s="14">
        <f t="shared" si="14"/>
        <v>1250</v>
      </c>
      <c r="L280" s="14">
        <v>12</v>
      </c>
      <c r="M280" s="14">
        <v>1250</v>
      </c>
      <c r="N280" s="44">
        <f>(K280*Table110[[#This Row],[Ühik2]])+M280</f>
        <v>16250</v>
      </c>
      <c r="O280" s="44">
        <f>Table110[[#This Row],[2020. EA ]]*0.338</f>
        <v>5492.5</v>
      </c>
      <c r="P280" s="14"/>
    </row>
    <row r="281" spans="1:16" x14ac:dyDescent="0.25">
      <c r="A281" s="14" t="str">
        <f t="shared" si="15"/>
        <v>10</v>
      </c>
      <c r="B281" s="3" t="s">
        <v>384</v>
      </c>
      <c r="C281" s="14" t="str">
        <f>VLOOKUP(B281,Table4[],2,FALSE)</f>
        <v xml:space="preserve"> Vinni Perekodu</v>
      </c>
      <c r="D281" s="39" t="str">
        <f>VLOOKUP(Table110[[#This Row],[Tegevusala]],Table4[[Tegevusala kood]:[Tegevusala alanimetus]],4,FALSE)</f>
        <v>Laste ja noorte sotsiaalhoolekande asutused</v>
      </c>
      <c r="E281" s="14" t="str">
        <f>VLOOKUP(C281,Table4[[Tegevusala nimetus]:[Tegevusala koondnimetus]],2,FALSE)</f>
        <v>Sotsiaalne kaitse</v>
      </c>
      <c r="F281" s="14" t="s">
        <v>1679</v>
      </c>
      <c r="G281" s="14" t="s">
        <v>1685</v>
      </c>
      <c r="H281" s="14">
        <v>1</v>
      </c>
      <c r="I281" s="14"/>
      <c r="J281" s="14">
        <v>1250</v>
      </c>
      <c r="K281" s="14">
        <f t="shared" si="14"/>
        <v>1250</v>
      </c>
      <c r="L281" s="14">
        <v>12</v>
      </c>
      <c r="M281" s="14">
        <v>1250</v>
      </c>
      <c r="N281" s="44">
        <f>(K281*Table110[[#This Row],[Ühik2]])+M281</f>
        <v>16250</v>
      </c>
      <c r="O281" s="44">
        <f>Table110[[#This Row],[2020. EA ]]*0.338</f>
        <v>5492.5</v>
      </c>
      <c r="P281" s="14"/>
    </row>
    <row r="282" spans="1:16" x14ac:dyDescent="0.25">
      <c r="A282" s="14" t="str">
        <f t="shared" si="15"/>
        <v>10</v>
      </c>
      <c r="B282" s="3" t="s">
        <v>384</v>
      </c>
      <c r="C282" s="14" t="str">
        <f>VLOOKUP(B282,Table4[],2,FALSE)</f>
        <v xml:space="preserve"> Vinni Perekodu</v>
      </c>
      <c r="D282" s="39" t="str">
        <f>VLOOKUP(Table110[[#This Row],[Tegevusala]],Table4[[Tegevusala kood]:[Tegevusala alanimetus]],4,FALSE)</f>
        <v>Laste ja noorte sotsiaalhoolekande asutused</v>
      </c>
      <c r="E282" s="14" t="str">
        <f>VLOOKUP(C282,Table4[[Tegevusala nimetus]:[Tegevusala koondnimetus]],2,FALSE)</f>
        <v>Sotsiaalne kaitse</v>
      </c>
      <c r="F282" s="14" t="s">
        <v>1679</v>
      </c>
      <c r="G282" s="14" t="s">
        <v>1686</v>
      </c>
      <c r="H282" s="14">
        <v>1</v>
      </c>
      <c r="I282" s="14"/>
      <c r="J282" s="14">
        <v>900</v>
      </c>
      <c r="K282" s="14">
        <f t="shared" si="14"/>
        <v>900</v>
      </c>
      <c r="L282" s="14">
        <v>12</v>
      </c>
      <c r="M282" s="14">
        <v>900</v>
      </c>
      <c r="N282" s="44">
        <f>(K282*Table110[[#This Row],[Ühik2]])+M282</f>
        <v>11700</v>
      </c>
      <c r="O282" s="44">
        <f>Table110[[#This Row],[2020. EA ]]*0.338</f>
        <v>3954.6000000000004</v>
      </c>
      <c r="P282" s="14"/>
    </row>
    <row r="283" spans="1:16" x14ac:dyDescent="0.25">
      <c r="A283" s="38" t="str">
        <f t="shared" si="15"/>
        <v>10</v>
      </c>
      <c r="B283" s="34" t="s">
        <v>384</v>
      </c>
      <c r="C283" s="38" t="str">
        <f>VLOOKUP(B283,Table4[],2,FALSE)</f>
        <v xml:space="preserve"> Vinni Perekodu</v>
      </c>
      <c r="D283" s="39" t="str">
        <f>VLOOKUP(Table110[[#This Row],[Tegevusala]],Table4[[Tegevusala kood]:[Tegevusala alanimetus]],4,FALSE)</f>
        <v>Laste ja noorte sotsiaalhoolekande asutused</v>
      </c>
      <c r="E283" s="38" t="str">
        <f>VLOOKUP(C283,Table4[[Tegevusala nimetus]:[Tegevusala koondnimetus]],2,FALSE)</f>
        <v>Sotsiaalne kaitse</v>
      </c>
      <c r="F283" s="38" t="s">
        <v>1679</v>
      </c>
      <c r="G283" s="38" t="s">
        <v>1687</v>
      </c>
      <c r="H283" s="38">
        <v>1</v>
      </c>
      <c r="I283" s="38"/>
      <c r="J283" s="38">
        <v>1250</v>
      </c>
      <c r="K283" s="38">
        <f t="shared" si="14"/>
        <v>1250</v>
      </c>
      <c r="L283" s="38">
        <v>12</v>
      </c>
      <c r="M283" s="38">
        <v>1250</v>
      </c>
      <c r="N283" s="45">
        <f>(K283*Table110[[#This Row],[Ühik2]])+M283</f>
        <v>16250</v>
      </c>
      <c r="O283" s="45">
        <f>Table110[[#This Row],[2020. EA ]]*0.338</f>
        <v>5492.5</v>
      </c>
      <c r="P283" s="38"/>
    </row>
    <row r="284" spans="1:16" x14ac:dyDescent="0.25">
      <c r="A284" s="14" t="str">
        <f t="shared" si="15"/>
        <v>10</v>
      </c>
      <c r="B284" s="3" t="s">
        <v>384</v>
      </c>
      <c r="C284" s="14" t="str">
        <f>VLOOKUP(B284,Table4[],2,FALSE)</f>
        <v xml:space="preserve"> Vinni Perekodu</v>
      </c>
      <c r="D284" s="39" t="str">
        <f>VLOOKUP(Table110[[#This Row],[Tegevusala]],Table4[[Tegevusala kood]:[Tegevusala alanimetus]],4,FALSE)</f>
        <v>Laste ja noorte sotsiaalhoolekande asutused</v>
      </c>
      <c r="E284" s="14" t="str">
        <f>VLOOKUP(C284,Table4[[Tegevusala nimetus]:[Tegevusala koondnimetus]],2,FALSE)</f>
        <v>Sotsiaalne kaitse</v>
      </c>
      <c r="F284" s="14" t="s">
        <v>1679</v>
      </c>
      <c r="G284" s="14" t="s">
        <v>1688</v>
      </c>
      <c r="H284" s="14">
        <v>1</v>
      </c>
      <c r="I284" s="14"/>
      <c r="J284" s="14">
        <v>670</v>
      </c>
      <c r="K284" s="14">
        <f t="shared" si="14"/>
        <v>670</v>
      </c>
      <c r="L284" s="14">
        <v>12</v>
      </c>
      <c r="M284" s="14">
        <v>670</v>
      </c>
      <c r="N284" s="44">
        <f>(K284*Table110[[#This Row],[Ühik2]])+M284</f>
        <v>8710</v>
      </c>
      <c r="O284" s="44">
        <f>Table110[[#This Row],[2020. EA ]]*0.338</f>
        <v>2943.98</v>
      </c>
      <c r="P284" s="14"/>
    </row>
    <row r="285" spans="1:16" x14ac:dyDescent="0.25">
      <c r="A285" s="14" t="str">
        <f t="shared" si="15"/>
        <v>10</v>
      </c>
      <c r="B285" s="3" t="s">
        <v>384</v>
      </c>
      <c r="C285" s="14" t="str">
        <f>VLOOKUP(B285,Table4[],2,FALSE)</f>
        <v xml:space="preserve"> Vinni Perekodu</v>
      </c>
      <c r="D285" s="39" t="str">
        <f>VLOOKUP(Table110[[#This Row],[Tegevusala]],Table4[[Tegevusala kood]:[Tegevusala alanimetus]],4,FALSE)</f>
        <v>Laste ja noorte sotsiaalhoolekande asutused</v>
      </c>
      <c r="E285" s="14" t="str">
        <f>VLOOKUP(C285,Table4[[Tegevusala nimetus]:[Tegevusala koondnimetus]],2,FALSE)</f>
        <v>Sotsiaalne kaitse</v>
      </c>
      <c r="F285" s="14" t="s">
        <v>1679</v>
      </c>
      <c r="G285" s="14" t="s">
        <v>1689</v>
      </c>
      <c r="H285" s="14">
        <v>1</v>
      </c>
      <c r="I285" s="14"/>
      <c r="J285" s="14">
        <v>670</v>
      </c>
      <c r="K285" s="14">
        <f t="shared" si="14"/>
        <v>670</v>
      </c>
      <c r="L285" s="14">
        <v>12</v>
      </c>
      <c r="M285" s="14">
        <v>670</v>
      </c>
      <c r="N285" s="44">
        <f>(K285*Table110[[#This Row],[Ühik2]])+M285</f>
        <v>8710</v>
      </c>
      <c r="O285" s="44">
        <f>Table110[[#This Row],[2020. EA ]]*0.338</f>
        <v>2943.98</v>
      </c>
      <c r="P285" s="14"/>
    </row>
    <row r="286" spans="1:16" x14ac:dyDescent="0.25">
      <c r="A286" s="14" t="str">
        <f t="shared" si="15"/>
        <v>10</v>
      </c>
      <c r="B286" s="3" t="s">
        <v>384</v>
      </c>
      <c r="C286" s="14" t="str">
        <f>VLOOKUP(B286,Table4[],2,FALSE)</f>
        <v xml:space="preserve"> Vinni Perekodu</v>
      </c>
      <c r="D286" s="39" t="str">
        <f>VLOOKUP(Table110[[#This Row],[Tegevusala]],Table4[[Tegevusala kood]:[Tegevusala alanimetus]],4,FALSE)</f>
        <v>Laste ja noorte sotsiaalhoolekande asutused</v>
      </c>
      <c r="E286" s="14" t="str">
        <f>VLOOKUP(C286,Table4[[Tegevusala nimetus]:[Tegevusala koondnimetus]],2,FALSE)</f>
        <v>Sotsiaalne kaitse</v>
      </c>
      <c r="F286" s="14" t="s">
        <v>1679</v>
      </c>
      <c r="G286" s="14" t="s">
        <v>1690</v>
      </c>
      <c r="H286" s="14">
        <v>1</v>
      </c>
      <c r="I286" s="14" t="s">
        <v>2027</v>
      </c>
      <c r="J286" s="14">
        <v>120</v>
      </c>
      <c r="K286" s="14">
        <f t="shared" si="14"/>
        <v>120</v>
      </c>
      <c r="L286" s="14">
        <v>12</v>
      </c>
      <c r="M286" s="14">
        <v>120</v>
      </c>
      <c r="N286" s="44">
        <f>(K286*Table110[[#This Row],[Ühik2]])+M286</f>
        <v>1560</v>
      </c>
      <c r="O286" s="44">
        <f>Table110[[#This Row],[2020. EA ]]*0.338</f>
        <v>527.28000000000009</v>
      </c>
      <c r="P286" s="14"/>
    </row>
    <row r="287" spans="1:16" x14ac:dyDescent="0.25">
      <c r="A287" s="14" t="str">
        <f t="shared" si="15"/>
        <v>09</v>
      </c>
      <c r="B287" t="s">
        <v>343</v>
      </c>
      <c r="C287" s="14" t="str">
        <f>VLOOKUP(B287,Table4[],2,FALSE)</f>
        <v xml:space="preserve"> Tudu kool</v>
      </c>
      <c r="D287" s="39" t="str">
        <f>VLOOKUP(Table110[[#This Row],[Tegevusala]],Table4[[Tegevusala kood]:[Tegevusala alanimetus]],4,FALSE)</f>
        <v>Põhihariduse otsekulud</v>
      </c>
      <c r="E287" s="14" t="str">
        <f>VLOOKUP(C287,Table4[[Tegevusala nimetus]:[Tegevusala koondnimetus]],2,FALSE)</f>
        <v>Haridus</v>
      </c>
      <c r="F287" s="14" t="s">
        <v>1726</v>
      </c>
      <c r="G287" s="14" t="s">
        <v>1398</v>
      </c>
      <c r="H287" s="14">
        <v>0.30063699999999999</v>
      </c>
      <c r="I287" s="14"/>
      <c r="J287" s="14">
        <v>785</v>
      </c>
      <c r="K287" s="41">
        <f>H287*J287</f>
        <v>236.000045</v>
      </c>
      <c r="L287" s="14">
        <v>12</v>
      </c>
      <c r="M287" s="14"/>
      <c r="N287" s="44">
        <f>(K287*Table110[[#This Row],[Ühik2]])+M287</f>
        <v>2832.00054</v>
      </c>
      <c r="O287" s="44">
        <f>Table110[[#This Row],[2020. EA ]]*0.338</f>
        <v>957.21618252000007</v>
      </c>
      <c r="P287" s="14"/>
    </row>
    <row r="288" spans="1:16" x14ac:dyDescent="0.25">
      <c r="A288" s="14" t="str">
        <f t="shared" si="15"/>
        <v>09</v>
      </c>
      <c r="B288" t="s">
        <v>343</v>
      </c>
      <c r="C288" s="14" t="str">
        <f>VLOOKUP(B288,Table4[],2,FALSE)</f>
        <v xml:space="preserve"> Tudu kool</v>
      </c>
      <c r="D288" s="39" t="str">
        <f>VLOOKUP(Table110[[#This Row],[Tegevusala]],Table4[[Tegevusala kood]:[Tegevusala alanimetus]],4,FALSE)</f>
        <v>Põhihariduse otsekulud</v>
      </c>
      <c r="E288" s="14" t="str">
        <f>VLOOKUP(C288,Table4[[Tegevusala nimetus]:[Tegevusala koondnimetus]],2,FALSE)</f>
        <v>Haridus</v>
      </c>
      <c r="F288" s="14" t="s">
        <v>1726</v>
      </c>
      <c r="G288" s="14" t="s">
        <v>1715</v>
      </c>
      <c r="H288" s="14">
        <v>1</v>
      </c>
      <c r="I288" s="14" t="s">
        <v>2027</v>
      </c>
      <c r="J288" s="14">
        <v>580</v>
      </c>
      <c r="K288" s="14">
        <f t="shared" si="14"/>
        <v>580</v>
      </c>
      <c r="L288" s="14">
        <v>12</v>
      </c>
      <c r="M288" s="14"/>
      <c r="N288" s="44">
        <f>(K288*Table110[[#This Row],[Ühik2]])+M288</f>
        <v>6960</v>
      </c>
      <c r="O288" s="44">
        <f>Table110[[#This Row],[2020. EA ]]*0.338</f>
        <v>2352.48</v>
      </c>
      <c r="P288" s="14"/>
    </row>
    <row r="289" spans="1:16" x14ac:dyDescent="0.25">
      <c r="A289" s="14" t="str">
        <f t="shared" si="15"/>
        <v>09</v>
      </c>
      <c r="B289" t="s">
        <v>343</v>
      </c>
      <c r="C289" s="14" t="str">
        <f>VLOOKUP(B289,Table4[],2,FALSE)</f>
        <v xml:space="preserve"> Tudu kool</v>
      </c>
      <c r="D289" s="39" t="str">
        <f>VLOOKUP(Table110[[#This Row],[Tegevusala]],Table4[[Tegevusala kood]:[Tegevusala alanimetus]],4,FALSE)</f>
        <v>Põhihariduse otsekulud</v>
      </c>
      <c r="E289" s="14" t="str">
        <f>VLOOKUP(C289,Table4[[Tegevusala nimetus]:[Tegevusala koondnimetus]],2,FALSE)</f>
        <v>Haridus</v>
      </c>
      <c r="F289" s="14" t="s">
        <v>1726</v>
      </c>
      <c r="G289" s="14" t="s">
        <v>1716</v>
      </c>
      <c r="H289" s="14">
        <v>0.100034</v>
      </c>
      <c r="I289" s="14"/>
      <c r="J289" s="14">
        <v>978</v>
      </c>
      <c r="K289" s="14">
        <f t="shared" si="14"/>
        <v>97.833252000000002</v>
      </c>
      <c r="L289" s="14">
        <v>12</v>
      </c>
      <c r="M289" s="14"/>
      <c r="N289" s="44">
        <f>(K289*Table110[[#This Row],[Ühik2]])+M289</f>
        <v>1173.999024</v>
      </c>
      <c r="O289" s="44">
        <f>Table110[[#This Row],[2020. EA ]]*0.338</f>
        <v>396.811670112</v>
      </c>
      <c r="P289" s="14"/>
    </row>
    <row r="290" spans="1:16" x14ac:dyDescent="0.25">
      <c r="A290" s="14" t="str">
        <f t="shared" si="15"/>
        <v>09</v>
      </c>
      <c r="B290" t="s">
        <v>331</v>
      </c>
      <c r="C290" s="14" t="str">
        <f>VLOOKUP(B290,Table4[],2,FALSE)</f>
        <v xml:space="preserve"> Tudu Lasteaed</v>
      </c>
      <c r="D290" s="39" t="str">
        <f>VLOOKUP(Table110[[#This Row],[Tegevusala]],Table4[[Tegevusala kood]:[Tegevusala alanimetus]],4,FALSE)</f>
        <v>Alusharidus</v>
      </c>
      <c r="E290" s="14" t="str">
        <f>VLOOKUP(C290,Table4[[Tegevusala nimetus]:[Tegevusala koondnimetus]],2,FALSE)</f>
        <v>Haridus</v>
      </c>
      <c r="F290" s="14" t="s">
        <v>639</v>
      </c>
      <c r="G290" s="14" t="s">
        <v>1717</v>
      </c>
      <c r="H290" s="14">
        <v>0.100034</v>
      </c>
      <c r="I290" s="14"/>
      <c r="J290" s="14">
        <v>978</v>
      </c>
      <c r="K290" s="14">
        <f t="shared" si="14"/>
        <v>97.833252000000002</v>
      </c>
      <c r="L290" s="14">
        <v>12</v>
      </c>
      <c r="M290" s="14"/>
      <c r="N290" s="44">
        <f>(K290*Table110[[#This Row],[Ühik2]])+M290</f>
        <v>1173.999024</v>
      </c>
      <c r="O290" s="44">
        <f>Table110[[#This Row],[2020. EA ]]*0.338</f>
        <v>396.811670112</v>
      </c>
      <c r="P290" s="14"/>
    </row>
    <row r="291" spans="1:16" x14ac:dyDescent="0.25">
      <c r="A291" s="14" t="str">
        <f t="shared" si="15"/>
        <v>09</v>
      </c>
      <c r="B291" t="s">
        <v>331</v>
      </c>
      <c r="C291" s="14" t="str">
        <f>VLOOKUP(B291,Table4[],2,FALSE)</f>
        <v xml:space="preserve"> Tudu Lasteaed</v>
      </c>
      <c r="D291" s="39" t="str">
        <f>VLOOKUP(Table110[[#This Row],[Tegevusala]],Table4[[Tegevusala kood]:[Tegevusala alanimetus]],4,FALSE)</f>
        <v>Alusharidus</v>
      </c>
      <c r="E291" s="14" t="str">
        <f>VLOOKUP(C291,Table4[[Tegevusala nimetus]:[Tegevusala koondnimetus]],2,FALSE)</f>
        <v>Haridus</v>
      </c>
      <c r="F291" s="14" t="s">
        <v>639</v>
      </c>
      <c r="G291" s="14" t="s">
        <v>1718</v>
      </c>
      <c r="H291" s="14">
        <v>1</v>
      </c>
      <c r="I291" s="14"/>
      <c r="J291" s="14">
        <v>760</v>
      </c>
      <c r="K291" s="14">
        <f t="shared" si="14"/>
        <v>760</v>
      </c>
      <c r="L291" s="14">
        <v>12</v>
      </c>
      <c r="M291" s="14"/>
      <c r="N291" s="44">
        <f>(K291*Table110[[#This Row],[Ühik2]])+M291</f>
        <v>9120</v>
      </c>
      <c r="O291" s="44">
        <f>Table110[[#This Row],[2020. EA ]]*0.338</f>
        <v>3082.5600000000004</v>
      </c>
      <c r="P291" s="14"/>
    </row>
    <row r="292" spans="1:16" x14ac:dyDescent="0.25">
      <c r="A292" s="14" t="str">
        <f t="shared" si="15"/>
        <v>09</v>
      </c>
      <c r="B292" t="s">
        <v>331</v>
      </c>
      <c r="C292" s="14" t="str">
        <f>VLOOKUP(B292,Table4[],2,FALSE)</f>
        <v xml:space="preserve"> Tudu Lasteaed</v>
      </c>
      <c r="D292" s="39" t="str">
        <f>VLOOKUP(Table110[[#This Row],[Tegevusala]],Table4[[Tegevusala kood]:[Tegevusala alanimetus]],4,FALSE)</f>
        <v>Alusharidus</v>
      </c>
      <c r="E292" s="14" t="str">
        <f>VLOOKUP(C292,Table4[[Tegevusala nimetus]:[Tegevusala koondnimetus]],2,FALSE)</f>
        <v>Haridus</v>
      </c>
      <c r="F292" s="14" t="s">
        <v>639</v>
      </c>
      <c r="G292" s="14" t="s">
        <v>1719</v>
      </c>
      <c r="H292" s="14">
        <v>1.83</v>
      </c>
      <c r="I292" s="14"/>
      <c r="J292" s="14">
        <v>1183.5</v>
      </c>
      <c r="K292" s="14">
        <f>H292*J292</f>
        <v>2165.8050000000003</v>
      </c>
      <c r="L292" s="14">
        <v>12</v>
      </c>
      <c r="M292" s="14"/>
      <c r="N292" s="44">
        <f>(K292*Table110[[#This Row],[Ühik2]])+M292</f>
        <v>25989.660000000003</v>
      </c>
      <c r="O292" s="44">
        <f>Table110[[#This Row],[2020. EA ]]*0.338</f>
        <v>8784.5050800000026</v>
      </c>
      <c r="P292" s="14"/>
    </row>
    <row r="293" spans="1:16" x14ac:dyDescent="0.25">
      <c r="A293" s="38" t="str">
        <f t="shared" si="15"/>
        <v>09</v>
      </c>
      <c r="B293" s="33" t="s">
        <v>331</v>
      </c>
      <c r="C293" s="38" t="str">
        <f>VLOOKUP(B293,Table4[],2,FALSE)</f>
        <v xml:space="preserve"> Tudu Lasteaed</v>
      </c>
      <c r="D293" s="39" t="str">
        <f>VLOOKUP(Table110[[#This Row],[Tegevusala]],Table4[[Tegevusala kood]:[Tegevusala alanimetus]],4,FALSE)</f>
        <v>Alusharidus</v>
      </c>
      <c r="E293" s="38" t="str">
        <f>VLOOKUP(C293,Table4[[Tegevusala nimetus]:[Tegevusala koondnimetus]],2,FALSE)</f>
        <v>Haridus</v>
      </c>
      <c r="F293" s="38" t="s">
        <v>639</v>
      </c>
      <c r="G293" s="38" t="s">
        <v>1720</v>
      </c>
      <c r="H293" s="38">
        <v>0.12978000000000001</v>
      </c>
      <c r="I293" s="38"/>
      <c r="J293" s="38">
        <v>1183.5</v>
      </c>
      <c r="K293" s="52">
        <f t="shared" si="14"/>
        <v>153.59463</v>
      </c>
      <c r="L293" s="38">
        <v>12</v>
      </c>
      <c r="M293" s="38"/>
      <c r="N293" s="45">
        <f>(K293*Table110[[#This Row],[Ühik2]])+M293</f>
        <v>1843.1355599999999</v>
      </c>
      <c r="O293" s="45">
        <f>Table110[[#This Row],[2020. EA ]]*0.338</f>
        <v>622.97981928000002</v>
      </c>
      <c r="P293" s="38"/>
    </row>
    <row r="294" spans="1:16" x14ac:dyDescent="0.25">
      <c r="A294" s="38" t="str">
        <f t="shared" si="15"/>
        <v>09</v>
      </c>
      <c r="B294" s="33" t="s">
        <v>331</v>
      </c>
      <c r="C294" s="38" t="str">
        <f>VLOOKUP(B294,Table4[],2,FALSE)</f>
        <v xml:space="preserve"> Tudu Lasteaed</v>
      </c>
      <c r="D294" s="39" t="str">
        <f>VLOOKUP(Table110[[#This Row],[Tegevusala]],Table4[[Tegevusala kood]:[Tegevusala alanimetus]],4,FALSE)</f>
        <v>Alusharidus</v>
      </c>
      <c r="E294" s="38" t="str">
        <f>VLOOKUP(C294,Table4[[Tegevusala nimetus]:[Tegevusala koondnimetus]],2,FALSE)</f>
        <v>Haridus</v>
      </c>
      <c r="F294" s="38" t="s">
        <v>639</v>
      </c>
      <c r="G294" s="38" t="s">
        <v>1721</v>
      </c>
      <c r="H294" s="38">
        <v>0.12978000000000001</v>
      </c>
      <c r="I294" s="38"/>
      <c r="J294" s="38">
        <v>1183.5</v>
      </c>
      <c r="K294" s="53">
        <f t="shared" si="14"/>
        <v>153.59463</v>
      </c>
      <c r="L294" s="38">
        <v>12</v>
      </c>
      <c r="M294" s="38"/>
      <c r="N294" s="45">
        <f>(K294*Table110[[#This Row],[Ühik2]])+M294</f>
        <v>1843.1355599999999</v>
      </c>
      <c r="O294" s="45">
        <f>Table110[[#This Row],[2020. EA ]]*0.338</f>
        <v>622.97981928000002</v>
      </c>
      <c r="P294" s="38"/>
    </row>
    <row r="295" spans="1:16" x14ac:dyDescent="0.25">
      <c r="A295" s="91" t="str">
        <f t="shared" si="15"/>
        <v>09</v>
      </c>
      <c r="B295" s="92" t="s">
        <v>343</v>
      </c>
      <c r="C295" s="91" t="str">
        <f>VLOOKUP(B295,Table4[],2,FALSE)</f>
        <v xml:space="preserve"> Tudu kool</v>
      </c>
      <c r="D295" s="95" t="str">
        <f>VLOOKUP(Table110[[#This Row],[Tegevusala]],Table4[[Tegevusala kood]:[Tegevusala alanimetus]],4,FALSE)</f>
        <v>Põhihariduse otsekulud</v>
      </c>
      <c r="E295" s="91" t="str">
        <f>VLOOKUP(C295,Table4[[Tegevusala nimetus]:[Tegevusala koondnimetus]],2,FALSE)</f>
        <v>Haridus</v>
      </c>
      <c r="F295" s="91" t="s">
        <v>1726</v>
      </c>
      <c r="G295" s="91" t="s">
        <v>1722</v>
      </c>
      <c r="H295" s="91">
        <v>0.5</v>
      </c>
      <c r="I295" s="91"/>
      <c r="J295" s="91">
        <v>584</v>
      </c>
      <c r="K295" s="91">
        <f>H295*J295</f>
        <v>292</v>
      </c>
      <c r="L295" s="91">
        <v>12</v>
      </c>
      <c r="M295" s="91"/>
      <c r="N295" s="93">
        <f>(K295*Table110[[#This Row],[Ühik2]])+M295</f>
        <v>3504</v>
      </c>
      <c r="O295" s="93">
        <f>Table110[[#This Row],[2020. EA ]]*0.338</f>
        <v>1184.3520000000001</v>
      </c>
      <c r="P295" s="91"/>
    </row>
    <row r="296" spans="1:16" x14ac:dyDescent="0.25">
      <c r="A296" s="91" t="str">
        <f t="shared" si="15"/>
        <v>09</v>
      </c>
      <c r="B296" s="92" t="s">
        <v>343</v>
      </c>
      <c r="C296" s="91" t="str">
        <f>VLOOKUP(B296,Table4[],2,FALSE)</f>
        <v xml:space="preserve"> Tudu kool</v>
      </c>
      <c r="D296" s="95" t="str">
        <f>VLOOKUP(Table110[[#This Row],[Tegevusala]],Table4[[Tegevusala kood]:[Tegevusala alanimetus]],4,FALSE)</f>
        <v>Põhihariduse otsekulud</v>
      </c>
      <c r="E296" s="91" t="str">
        <f>VLOOKUP(C296,Table4[[Tegevusala nimetus]:[Tegevusala koondnimetus]],2,FALSE)</f>
        <v>Haridus</v>
      </c>
      <c r="F296" s="91" t="s">
        <v>1726</v>
      </c>
      <c r="G296" s="91" t="s">
        <v>1723</v>
      </c>
      <c r="H296" s="91">
        <v>2</v>
      </c>
      <c r="I296" s="91"/>
      <c r="J296" s="91">
        <v>584</v>
      </c>
      <c r="K296" s="91">
        <f t="shared" si="14"/>
        <v>1168</v>
      </c>
      <c r="L296" s="91">
        <v>12</v>
      </c>
      <c r="M296" s="91"/>
      <c r="N296" s="93">
        <f>(K296*Table110[[#This Row],[Ühik2]])+M296</f>
        <v>14016</v>
      </c>
      <c r="O296" s="93">
        <f>Table110[[#This Row],[2020. EA ]]*0.338</f>
        <v>4737.4080000000004</v>
      </c>
      <c r="P296" s="91"/>
    </row>
    <row r="297" spans="1:16" x14ac:dyDescent="0.25">
      <c r="A297" s="14" t="str">
        <f t="shared" si="15"/>
        <v>09</v>
      </c>
      <c r="B297" t="s">
        <v>343</v>
      </c>
      <c r="C297" s="14" t="str">
        <f>VLOOKUP(B297,Table4[],2,FALSE)</f>
        <v xml:space="preserve"> Tudu kool</v>
      </c>
      <c r="D297" s="39" t="str">
        <f>VLOOKUP(Table110[[#This Row],[Tegevusala]],Table4[[Tegevusala kood]:[Tegevusala alanimetus]],4,FALSE)</f>
        <v>Põhihariduse otsekulud</v>
      </c>
      <c r="E297" s="14" t="str">
        <f>VLOOKUP(C297,Table4[[Tegevusala nimetus]:[Tegevusala koondnimetus]],2,FALSE)</f>
        <v>Haridus</v>
      </c>
      <c r="F297" s="14" t="s">
        <v>1726</v>
      </c>
      <c r="G297" s="14" t="s">
        <v>483</v>
      </c>
      <c r="H297" s="14">
        <v>0.5</v>
      </c>
      <c r="I297" s="14"/>
      <c r="J297" s="14">
        <v>901</v>
      </c>
      <c r="K297" s="14">
        <f t="shared" si="14"/>
        <v>450.5</v>
      </c>
      <c r="L297" s="14">
        <v>12</v>
      </c>
      <c r="M297" s="14"/>
      <c r="N297" s="44">
        <f>(K297*Table110[[#This Row],[Ühik2]])+M297</f>
        <v>5406</v>
      </c>
      <c r="O297" s="44">
        <f>Table110[[#This Row],[2020. EA ]]*0.338</f>
        <v>1827.2280000000001</v>
      </c>
      <c r="P297" s="14"/>
    </row>
    <row r="298" spans="1:16" x14ac:dyDescent="0.25">
      <c r="A298" s="91" t="str">
        <f t="shared" si="15"/>
        <v>09</v>
      </c>
      <c r="B298" s="92" t="s">
        <v>343</v>
      </c>
      <c r="C298" s="91" t="str">
        <f>VLOOKUP(B298,Table4[],2,FALSE)</f>
        <v xml:space="preserve"> Tudu kool</v>
      </c>
      <c r="D298" s="95" t="str">
        <f>VLOOKUP(Table110[[#This Row],[Tegevusala]],Table4[[Tegevusala kood]:[Tegevusala alanimetus]],4,FALSE)</f>
        <v>Põhihariduse otsekulud</v>
      </c>
      <c r="E298" s="91" t="str">
        <f>VLOOKUP(C298,Table4[[Tegevusala nimetus]:[Tegevusala koondnimetus]],2,FALSE)</f>
        <v>Haridus</v>
      </c>
      <c r="F298" s="91" t="s">
        <v>1726</v>
      </c>
      <c r="G298" s="91" t="s">
        <v>1402</v>
      </c>
      <c r="H298" s="91">
        <v>2</v>
      </c>
      <c r="I298" s="91"/>
      <c r="J298" s="91">
        <v>584</v>
      </c>
      <c r="K298" s="91">
        <f t="shared" si="14"/>
        <v>1168</v>
      </c>
      <c r="L298" s="91">
        <v>12</v>
      </c>
      <c r="M298" s="91"/>
      <c r="N298" s="93">
        <f>(K298*Table110[[#This Row],[Ühik2]])+M298</f>
        <v>14016</v>
      </c>
      <c r="O298" s="93">
        <f>Table110[[#This Row],[2020. EA ]]*0.338</f>
        <v>4737.4080000000004</v>
      </c>
      <c r="P298" s="91"/>
    </row>
    <row r="299" spans="1:16" x14ac:dyDescent="0.25">
      <c r="A299" s="91" t="str">
        <f t="shared" si="15"/>
        <v>09</v>
      </c>
      <c r="B299" s="92" t="s">
        <v>343</v>
      </c>
      <c r="C299" s="91" t="str">
        <f>VLOOKUP(B299,Table4[],2,FALSE)</f>
        <v xml:space="preserve"> Tudu kool</v>
      </c>
      <c r="D299" s="95" t="str">
        <f>VLOOKUP(Table110[[#This Row],[Tegevusala]],Table4[[Tegevusala kood]:[Tegevusala alanimetus]],4,FALSE)</f>
        <v>Põhihariduse otsekulud</v>
      </c>
      <c r="E299" s="91" t="str">
        <f>VLOOKUP(C299,Table4[[Tegevusala nimetus]:[Tegevusala koondnimetus]],2,FALSE)</f>
        <v>Haridus</v>
      </c>
      <c r="F299" s="91" t="s">
        <v>1726</v>
      </c>
      <c r="G299" s="91" t="s">
        <v>1724</v>
      </c>
      <c r="H299" s="91">
        <v>0.5</v>
      </c>
      <c r="I299" s="91"/>
      <c r="J299" s="91">
        <v>584</v>
      </c>
      <c r="K299" s="91">
        <f t="shared" si="14"/>
        <v>292</v>
      </c>
      <c r="L299" s="91">
        <v>12</v>
      </c>
      <c r="M299" s="91"/>
      <c r="N299" s="93">
        <f>(K299*Table110[[#This Row],[Ühik2]])+M299</f>
        <v>3504</v>
      </c>
      <c r="O299" s="93">
        <f>Table110[[#This Row],[2020. EA ]]*0.338</f>
        <v>1184.3520000000001</v>
      </c>
      <c r="P299" s="91"/>
    </row>
    <row r="300" spans="1:16" x14ac:dyDescent="0.25">
      <c r="A300" s="91" t="str">
        <f t="shared" si="15"/>
        <v>09</v>
      </c>
      <c r="B300" s="92" t="s">
        <v>343</v>
      </c>
      <c r="C300" s="91" t="str">
        <f>VLOOKUP(B300,Table4[],2,FALSE)</f>
        <v xml:space="preserve"> Tudu kool</v>
      </c>
      <c r="D300" s="95" t="str">
        <f>VLOOKUP(Table110[[#This Row],[Tegevusala]],Table4[[Tegevusala kood]:[Tegevusala alanimetus]],4,FALSE)</f>
        <v>Põhihariduse otsekulud</v>
      </c>
      <c r="E300" s="91" t="str">
        <f>VLOOKUP(C300,Table4[[Tegevusala nimetus]:[Tegevusala koondnimetus]],2,FALSE)</f>
        <v>Haridus</v>
      </c>
      <c r="F300" s="91" t="s">
        <v>1726</v>
      </c>
      <c r="G300" s="91" t="s">
        <v>1309</v>
      </c>
      <c r="H300" s="91">
        <v>0.25</v>
      </c>
      <c r="I300" s="91"/>
      <c r="J300" s="91">
        <v>584</v>
      </c>
      <c r="K300" s="91">
        <f t="shared" si="14"/>
        <v>146</v>
      </c>
      <c r="L300" s="91">
        <v>12</v>
      </c>
      <c r="M300" s="91"/>
      <c r="N300" s="93">
        <f>(K300*Table110[[#This Row],[Ühik2]])+M300</f>
        <v>1752</v>
      </c>
      <c r="O300" s="93">
        <f>Table110[[#This Row],[2020. EA ]]*0.338</f>
        <v>592.17600000000004</v>
      </c>
      <c r="P300" s="91"/>
    </row>
    <row r="301" spans="1:16" x14ac:dyDescent="0.25">
      <c r="A301" s="14" t="str">
        <f t="shared" si="15"/>
        <v>09</v>
      </c>
      <c r="B301" t="s">
        <v>343</v>
      </c>
      <c r="C301" s="14" t="str">
        <f>VLOOKUP(B301,Table4[],2,FALSE)</f>
        <v xml:space="preserve"> Tudu kool</v>
      </c>
      <c r="D301" s="39" t="str">
        <f>VLOOKUP(Table110[[#This Row],[Tegevusala]],Table4[[Tegevusala kood]:[Tegevusala alanimetus]],4,FALSE)</f>
        <v>Põhihariduse otsekulud</v>
      </c>
      <c r="E301" s="14" t="str">
        <f>VLOOKUP(C301,Table4[[Tegevusala nimetus]:[Tegevusala koondnimetus]],2,FALSE)</f>
        <v>Haridus</v>
      </c>
      <c r="F301" s="14" t="s">
        <v>1726</v>
      </c>
      <c r="G301" s="14" t="s">
        <v>1725</v>
      </c>
      <c r="H301" s="14">
        <v>1</v>
      </c>
      <c r="I301" s="14"/>
      <c r="J301" s="14">
        <v>703</v>
      </c>
      <c r="K301" s="14">
        <f t="shared" si="14"/>
        <v>703</v>
      </c>
      <c r="L301" s="14">
        <v>12</v>
      </c>
      <c r="M301" s="14"/>
      <c r="N301" s="44">
        <f>(K301*Table110[[#This Row],[Ühik2]])+M301</f>
        <v>8436</v>
      </c>
      <c r="O301" s="44">
        <f>Table110[[#This Row],[2020. EA ]]*0.338</f>
        <v>2851.3680000000004</v>
      </c>
      <c r="P301" s="14"/>
    </row>
    <row r="302" spans="1:16" x14ac:dyDescent="0.25">
      <c r="A302" s="38" t="str">
        <f>LEFT(B302,2)</f>
        <v>09</v>
      </c>
      <c r="B302" s="33" t="s">
        <v>343</v>
      </c>
      <c r="C302" s="38" t="str">
        <f>VLOOKUP(B302,Table4[],2,FALSE)</f>
        <v xml:space="preserve"> Tudu kool</v>
      </c>
      <c r="D302" s="39" t="str">
        <f>VLOOKUP(Table110[[#This Row],[Tegevusala]],Table4[[Tegevusala kood]:[Tegevusala alanimetus]],4,FALSE)</f>
        <v>Põhihariduse otsekulud</v>
      </c>
      <c r="E302" s="38" t="str">
        <f>VLOOKUP(C302,Table4[[Tegevusala nimetus]:[Tegevusala koondnimetus]],2,FALSE)</f>
        <v>Haridus</v>
      </c>
      <c r="F302" s="38" t="s">
        <v>1726</v>
      </c>
      <c r="G302" s="38" t="s">
        <v>1519</v>
      </c>
      <c r="H302" s="38"/>
      <c r="I302" s="38"/>
      <c r="J302" s="38"/>
      <c r="K302" s="38">
        <f t="shared" si="14"/>
        <v>0</v>
      </c>
      <c r="L302" s="38">
        <v>1</v>
      </c>
      <c r="M302" s="38">
        <v>300</v>
      </c>
      <c r="N302" s="45">
        <f>(K302*Table110[[#This Row],[Ühik2]])+M302</f>
        <v>300</v>
      </c>
      <c r="O302" s="45">
        <f>Table110[[#This Row],[2020. EA ]]*0.338</f>
        <v>101.4</v>
      </c>
      <c r="P302" s="38"/>
    </row>
    <row r="303" spans="1:16" x14ac:dyDescent="0.25">
      <c r="A303" s="14" t="str">
        <f t="shared" ref="A303:A366" si="16">LEFT(B303,2)</f>
        <v>08</v>
      </c>
      <c r="B303" t="s">
        <v>316</v>
      </c>
      <c r="C303" s="14" t="str">
        <f>VLOOKUP(B303,Table4[],2,FALSE)</f>
        <v xml:space="preserve"> Roela Rahvamaja</v>
      </c>
      <c r="D303" s="39" t="str">
        <f>VLOOKUP(Table110[[#This Row],[Tegevusala]],Table4[[Tegevusala kood]:[Tegevusala alanimetus]],4,FALSE)</f>
        <v>Rahvakultuur</v>
      </c>
      <c r="E303" s="14" t="str">
        <f>VLOOKUP(C303,Table4[[Tegevusala nimetus]:[Tegevusala koondnimetus]],2,FALSE)</f>
        <v>Vabaaeg, kultuur ja religioon</v>
      </c>
      <c r="F303" s="14" t="s">
        <v>1788</v>
      </c>
      <c r="G303" s="14" t="s">
        <v>523</v>
      </c>
      <c r="H303" s="14">
        <v>1</v>
      </c>
      <c r="I303" s="14"/>
      <c r="J303" s="14">
        <v>966</v>
      </c>
      <c r="K303" s="14">
        <f t="shared" si="14"/>
        <v>966</v>
      </c>
      <c r="L303" s="14">
        <v>12</v>
      </c>
      <c r="M303" s="14"/>
      <c r="N303" s="44">
        <f>(K303*Table110[[#This Row],[Ühik2]])+M303</f>
        <v>11592</v>
      </c>
      <c r="O303" s="44">
        <f>Table110[[#This Row],[2020. EA ]]*0.338</f>
        <v>3918.0960000000005</v>
      </c>
      <c r="P303" s="14"/>
    </row>
    <row r="304" spans="1:16" x14ac:dyDescent="0.25">
      <c r="A304" s="91" t="str">
        <f t="shared" si="16"/>
        <v>08</v>
      </c>
      <c r="B304" s="92" t="s">
        <v>316</v>
      </c>
      <c r="C304" s="91" t="str">
        <f>VLOOKUP(B304,Table4[],2,FALSE)</f>
        <v xml:space="preserve"> Roela Rahvamaja</v>
      </c>
      <c r="D304" s="95" t="str">
        <f>VLOOKUP(Table110[[#This Row],[Tegevusala]],Table4[[Tegevusala kood]:[Tegevusala alanimetus]],4,FALSE)</f>
        <v>Rahvakultuur</v>
      </c>
      <c r="E304" s="91" t="str">
        <f>VLOOKUP(C304,Table4[[Tegevusala nimetus]:[Tegevusala koondnimetus]],2,FALSE)</f>
        <v>Vabaaeg, kultuur ja religioon</v>
      </c>
      <c r="F304" s="91" t="s">
        <v>1788</v>
      </c>
      <c r="G304" s="91" t="s">
        <v>1778</v>
      </c>
      <c r="H304" s="91">
        <v>1</v>
      </c>
      <c r="I304" s="91"/>
      <c r="J304" s="91">
        <v>584</v>
      </c>
      <c r="K304" s="91">
        <f t="shared" si="14"/>
        <v>584</v>
      </c>
      <c r="L304" s="91">
        <v>12</v>
      </c>
      <c r="M304" s="91"/>
      <c r="N304" s="93">
        <f>(K304*Table110[[#This Row],[Ühik2]])+M304</f>
        <v>7008</v>
      </c>
      <c r="O304" s="93">
        <f>Table110[[#This Row],[2020. EA ]]*0.338</f>
        <v>2368.7040000000002</v>
      </c>
      <c r="P304" s="91"/>
    </row>
    <row r="305" spans="1:16" x14ac:dyDescent="0.25">
      <c r="A305" s="14" t="str">
        <f t="shared" si="16"/>
        <v>08</v>
      </c>
      <c r="B305" t="s">
        <v>316</v>
      </c>
      <c r="C305" s="14" t="str">
        <f>VLOOKUP(B305,Table4[],2,FALSE)</f>
        <v xml:space="preserve"> Roela Rahvamaja</v>
      </c>
      <c r="D305" s="39" t="str">
        <f>VLOOKUP(Table110[[#This Row],[Tegevusala]],Table4[[Tegevusala kood]:[Tegevusala alanimetus]],4,FALSE)</f>
        <v>Rahvakultuur</v>
      </c>
      <c r="E305" s="14" t="str">
        <f>VLOOKUP(C305,Table4[[Tegevusala nimetus]:[Tegevusala koondnimetus]],2,FALSE)</f>
        <v>Vabaaeg, kultuur ja religioon</v>
      </c>
      <c r="F305" s="14" t="s">
        <v>1788</v>
      </c>
      <c r="G305" s="14" t="s">
        <v>1779</v>
      </c>
      <c r="H305" s="14">
        <v>1</v>
      </c>
      <c r="I305" s="14"/>
      <c r="J305" s="14"/>
      <c r="K305" s="14">
        <f t="shared" si="14"/>
        <v>0</v>
      </c>
      <c r="L305" s="14"/>
      <c r="M305" s="14">
        <v>795</v>
      </c>
      <c r="N305" s="44">
        <f>(K305*Table110[[#This Row],[Ühik2]])+M305</f>
        <v>795</v>
      </c>
      <c r="O305" s="44">
        <f>Table110[[#This Row],[2020. EA ]]*0.338</f>
        <v>268.71000000000004</v>
      </c>
      <c r="P305" s="14"/>
    </row>
    <row r="306" spans="1:16" x14ac:dyDescent="0.25">
      <c r="A306" s="14" t="str">
        <f t="shared" si="16"/>
        <v>08</v>
      </c>
      <c r="B306" t="s">
        <v>316</v>
      </c>
      <c r="C306" s="14" t="str">
        <f>VLOOKUP(B306,Table4[],2,FALSE)</f>
        <v xml:space="preserve"> Roela Rahvamaja</v>
      </c>
      <c r="D306" s="39" t="str">
        <f>VLOOKUP(Table110[[#This Row],[Tegevusala]],Table4[[Tegevusala kood]:[Tegevusala alanimetus]],4,FALSE)</f>
        <v>Rahvakultuur</v>
      </c>
      <c r="E306" s="14" t="str">
        <f>VLOOKUP(C306,Table4[[Tegevusala nimetus]:[Tegevusala koondnimetus]],2,FALSE)</f>
        <v>Vabaaeg, kultuur ja religioon</v>
      </c>
      <c r="F306" s="14" t="s">
        <v>1788</v>
      </c>
      <c r="G306" s="14" t="s">
        <v>1780</v>
      </c>
      <c r="H306" s="14">
        <v>1</v>
      </c>
      <c r="I306" s="14"/>
      <c r="J306" s="14"/>
      <c r="K306" s="14">
        <f t="shared" si="14"/>
        <v>0</v>
      </c>
      <c r="L306" s="14"/>
      <c r="M306" s="14">
        <v>530</v>
      </c>
      <c r="N306" s="44">
        <f>(K306*Table110[[#This Row],[Ühik2]])+M306</f>
        <v>530</v>
      </c>
      <c r="O306" s="44">
        <f>Table110[[#This Row],[2020. EA ]]*0.338</f>
        <v>179.14000000000001</v>
      </c>
      <c r="P306" s="14"/>
    </row>
    <row r="307" spans="1:16" x14ac:dyDescent="0.25">
      <c r="A307" s="14" t="str">
        <f t="shared" si="16"/>
        <v>08</v>
      </c>
      <c r="B307" t="s">
        <v>316</v>
      </c>
      <c r="C307" s="14" t="str">
        <f>VLOOKUP(B307,Table4[],2,FALSE)</f>
        <v xml:space="preserve"> Roela Rahvamaja</v>
      </c>
      <c r="D307" s="39" t="str">
        <f>VLOOKUP(Table110[[#This Row],[Tegevusala]],Table4[[Tegevusala kood]:[Tegevusala alanimetus]],4,FALSE)</f>
        <v>Rahvakultuur</v>
      </c>
      <c r="E307" s="14" t="str">
        <f>VLOOKUP(C307,Table4[[Tegevusala nimetus]:[Tegevusala koondnimetus]],2,FALSE)</f>
        <v>Vabaaeg, kultuur ja religioon</v>
      </c>
      <c r="F307" s="14" t="s">
        <v>1788</v>
      </c>
      <c r="G307" s="14" t="s">
        <v>1781</v>
      </c>
      <c r="H307" s="14">
        <v>1</v>
      </c>
      <c r="I307" s="14"/>
      <c r="J307" s="14"/>
      <c r="K307" s="14">
        <f t="shared" si="14"/>
        <v>0</v>
      </c>
      <c r="L307" s="14"/>
      <c r="M307" s="14">
        <v>795</v>
      </c>
      <c r="N307" s="44">
        <f>(K307*Table110[[#This Row],[Ühik2]])+M307</f>
        <v>795</v>
      </c>
      <c r="O307" s="44">
        <f>Table110[[#This Row],[2020. EA ]]*0.338</f>
        <v>268.71000000000004</v>
      </c>
      <c r="P307" s="14"/>
    </row>
    <row r="308" spans="1:16" x14ac:dyDescent="0.25">
      <c r="A308" s="14" t="str">
        <f t="shared" si="16"/>
        <v>08</v>
      </c>
      <c r="B308" t="s">
        <v>316</v>
      </c>
      <c r="C308" s="14" t="str">
        <f>VLOOKUP(B308,Table4[],2,FALSE)</f>
        <v xml:space="preserve"> Roela Rahvamaja</v>
      </c>
      <c r="D308" s="39" t="str">
        <f>VLOOKUP(Table110[[#This Row],[Tegevusala]],Table4[[Tegevusala kood]:[Tegevusala alanimetus]],4,FALSE)</f>
        <v>Rahvakultuur</v>
      </c>
      <c r="E308" s="14" t="str">
        <f>VLOOKUP(C308,Table4[[Tegevusala nimetus]:[Tegevusala koondnimetus]],2,FALSE)</f>
        <v>Vabaaeg, kultuur ja religioon</v>
      </c>
      <c r="F308" s="14" t="s">
        <v>1788</v>
      </c>
      <c r="G308" s="14" t="s">
        <v>1782</v>
      </c>
      <c r="H308" s="14">
        <v>1</v>
      </c>
      <c r="I308" s="14"/>
      <c r="J308" s="14"/>
      <c r="K308" s="14">
        <f t="shared" si="14"/>
        <v>0</v>
      </c>
      <c r="L308" s="14"/>
      <c r="M308" s="14">
        <v>530</v>
      </c>
      <c r="N308" s="44">
        <f>(K308*Table110[[#This Row],[Ühik2]])+M308</f>
        <v>530</v>
      </c>
      <c r="O308" s="44">
        <f>Table110[[#This Row],[2020. EA ]]*0.338</f>
        <v>179.14000000000001</v>
      </c>
      <c r="P308" s="14"/>
    </row>
    <row r="309" spans="1:16" x14ac:dyDescent="0.25">
      <c r="A309" s="14" t="str">
        <f t="shared" si="16"/>
        <v>08</v>
      </c>
      <c r="B309" t="s">
        <v>316</v>
      </c>
      <c r="C309" s="14" t="str">
        <f>VLOOKUP(B309,Table4[],2,FALSE)</f>
        <v xml:space="preserve"> Roela Rahvamaja</v>
      </c>
      <c r="D309" s="39" t="str">
        <f>VLOOKUP(Table110[[#This Row],[Tegevusala]],Table4[[Tegevusala kood]:[Tegevusala alanimetus]],4,FALSE)</f>
        <v>Rahvakultuur</v>
      </c>
      <c r="E309" s="14" t="str">
        <f>VLOOKUP(C309,Table4[[Tegevusala nimetus]:[Tegevusala koondnimetus]],2,FALSE)</f>
        <v>Vabaaeg, kultuur ja religioon</v>
      </c>
      <c r="F309" s="14" t="s">
        <v>1788</v>
      </c>
      <c r="G309" s="14" t="s">
        <v>1783</v>
      </c>
      <c r="H309" s="14">
        <v>1</v>
      </c>
      <c r="I309" s="14"/>
      <c r="J309" s="14"/>
      <c r="K309" s="14">
        <f t="shared" si="14"/>
        <v>0</v>
      </c>
      <c r="L309" s="14"/>
      <c r="M309" s="14">
        <v>530</v>
      </c>
      <c r="N309" s="44">
        <f>(K309*Table110[[#This Row],[Ühik2]])+M309</f>
        <v>530</v>
      </c>
      <c r="O309" s="44">
        <f>Table110[[#This Row],[2020. EA ]]*0.338</f>
        <v>179.14000000000001</v>
      </c>
      <c r="P309" s="14"/>
    </row>
    <row r="310" spans="1:16" x14ac:dyDescent="0.25">
      <c r="A310" s="14" t="str">
        <f t="shared" si="16"/>
        <v>08</v>
      </c>
      <c r="B310" t="s">
        <v>316</v>
      </c>
      <c r="C310" s="14" t="str">
        <f>VLOOKUP(B310,Table4[],2,FALSE)</f>
        <v xml:space="preserve"> Roela Rahvamaja</v>
      </c>
      <c r="D310" s="39" t="str">
        <f>VLOOKUP(Table110[[#This Row],[Tegevusala]],Table4[[Tegevusala kood]:[Tegevusala alanimetus]],4,FALSE)</f>
        <v>Rahvakultuur</v>
      </c>
      <c r="E310" s="14" t="str">
        <f>VLOOKUP(C310,Table4[[Tegevusala nimetus]:[Tegevusala koondnimetus]],2,FALSE)</f>
        <v>Vabaaeg, kultuur ja religioon</v>
      </c>
      <c r="F310" s="14" t="s">
        <v>1788</v>
      </c>
      <c r="G310" s="14" t="s">
        <v>1784</v>
      </c>
      <c r="H310" s="14">
        <v>1</v>
      </c>
      <c r="I310" s="14"/>
      <c r="J310" s="14"/>
      <c r="K310" s="14">
        <f t="shared" si="14"/>
        <v>0</v>
      </c>
      <c r="L310" s="14"/>
      <c r="M310" s="14">
        <v>530</v>
      </c>
      <c r="N310" s="44">
        <f>(K310*Table110[[#This Row],[Ühik2]])+M310</f>
        <v>530</v>
      </c>
      <c r="O310" s="44">
        <f>Table110[[#This Row],[2020. EA ]]*0.338</f>
        <v>179.14000000000001</v>
      </c>
      <c r="P310" s="14"/>
    </row>
    <row r="311" spans="1:16" x14ac:dyDescent="0.25">
      <c r="A311" s="14" t="str">
        <f t="shared" si="16"/>
        <v>08</v>
      </c>
      <c r="B311" t="s">
        <v>316</v>
      </c>
      <c r="C311" s="14" t="str">
        <f>VLOOKUP(B311,Table4[],2,FALSE)</f>
        <v xml:space="preserve"> Roela Rahvamaja</v>
      </c>
      <c r="D311" s="39" t="str">
        <f>VLOOKUP(Table110[[#This Row],[Tegevusala]],Table4[[Tegevusala kood]:[Tegevusala alanimetus]],4,FALSE)</f>
        <v>Rahvakultuur</v>
      </c>
      <c r="E311" s="14" t="str">
        <f>VLOOKUP(C311,Table4[[Tegevusala nimetus]:[Tegevusala koondnimetus]],2,FALSE)</f>
        <v>Vabaaeg, kultuur ja religioon</v>
      </c>
      <c r="F311" s="14" t="s">
        <v>1788</v>
      </c>
      <c r="G311" s="14" t="s">
        <v>1785</v>
      </c>
      <c r="H311" s="14">
        <v>1</v>
      </c>
      <c r="I311" s="14"/>
      <c r="J311" s="14"/>
      <c r="K311" s="14">
        <f t="shared" si="14"/>
        <v>0</v>
      </c>
      <c r="L311" s="14"/>
      <c r="M311" s="14">
        <v>530</v>
      </c>
      <c r="N311" s="44">
        <f>(K311*Table110[[#This Row],[Ühik2]])+M311</f>
        <v>530</v>
      </c>
      <c r="O311" s="44">
        <f>Table110[[#This Row],[2020. EA ]]*0.338</f>
        <v>179.14000000000001</v>
      </c>
      <c r="P311" s="14"/>
    </row>
    <row r="312" spans="1:16" x14ac:dyDescent="0.25">
      <c r="A312" s="14" t="str">
        <f t="shared" si="16"/>
        <v>08</v>
      </c>
      <c r="B312" t="s">
        <v>316</v>
      </c>
      <c r="C312" s="14" t="str">
        <f>VLOOKUP(B312,Table4[],2,FALSE)</f>
        <v xml:space="preserve"> Roela Rahvamaja</v>
      </c>
      <c r="D312" s="39" t="str">
        <f>VLOOKUP(Table110[[#This Row],[Tegevusala]],Table4[[Tegevusala kood]:[Tegevusala alanimetus]],4,FALSE)</f>
        <v>Rahvakultuur</v>
      </c>
      <c r="E312" s="14" t="str">
        <f>VLOOKUP(C312,Table4[[Tegevusala nimetus]:[Tegevusala koondnimetus]],2,FALSE)</f>
        <v>Vabaaeg, kultuur ja religioon</v>
      </c>
      <c r="F312" s="14" t="s">
        <v>1788</v>
      </c>
      <c r="G312" s="14" t="s">
        <v>1786</v>
      </c>
      <c r="H312" s="14">
        <v>1</v>
      </c>
      <c r="I312" s="14"/>
      <c r="J312" s="14"/>
      <c r="K312" s="14">
        <f t="shared" si="14"/>
        <v>0</v>
      </c>
      <c r="L312" s="14"/>
      <c r="M312" s="14">
        <v>795</v>
      </c>
      <c r="N312" s="44">
        <f>(K312*Table110[[#This Row],[Ühik2]])+M312</f>
        <v>795</v>
      </c>
      <c r="O312" s="44">
        <f>Table110[[#This Row],[2020. EA ]]*0.338</f>
        <v>268.71000000000004</v>
      </c>
      <c r="P312" s="14"/>
    </row>
    <row r="313" spans="1:16" x14ac:dyDescent="0.25">
      <c r="A313" s="37" t="str">
        <f t="shared" si="16"/>
        <v>08</v>
      </c>
      <c r="B313" s="8" t="s">
        <v>316</v>
      </c>
      <c r="C313" s="37" t="str">
        <f>VLOOKUP(B313,Table4[],2,FALSE)</f>
        <v xml:space="preserve"> Roela Rahvamaja</v>
      </c>
      <c r="D313" s="48" t="str">
        <f>VLOOKUP(Table110[[#This Row],[Tegevusala]],Table4[[Tegevusala kood]:[Tegevusala alanimetus]],4,FALSE)</f>
        <v>Rahvakultuur</v>
      </c>
      <c r="E313" s="37" t="str">
        <f>VLOOKUP(C313,Table4[[Tegevusala nimetus]:[Tegevusala koondnimetus]],2,FALSE)</f>
        <v>Vabaaeg, kultuur ja religioon</v>
      </c>
      <c r="F313" s="37" t="s">
        <v>1788</v>
      </c>
      <c r="G313" s="37" t="s">
        <v>1787</v>
      </c>
      <c r="H313" s="37">
        <v>1</v>
      </c>
      <c r="I313" s="37"/>
      <c r="J313" s="37"/>
      <c r="K313" s="37">
        <f t="shared" si="14"/>
        <v>0</v>
      </c>
      <c r="L313" s="37"/>
      <c r="M313" s="37"/>
      <c r="N313" s="46">
        <f>(K313*Table110[[#This Row],[Ühik2]])+M313</f>
        <v>0</v>
      </c>
      <c r="O313" s="46">
        <f>Table110[[#This Row],[2020. EA ]]*0.338</f>
        <v>0</v>
      </c>
      <c r="P313" s="37" t="s">
        <v>1825</v>
      </c>
    </row>
    <row r="314" spans="1:16" x14ac:dyDescent="0.25">
      <c r="A314" s="38" t="str">
        <f t="shared" si="16"/>
        <v>03</v>
      </c>
      <c r="B314" s="42" t="s">
        <v>27</v>
      </c>
      <c r="C314" s="38" t="str">
        <f>VLOOKUP(B314,Table4[],2,FALSE)</f>
        <v xml:space="preserve"> Päästeteenused</v>
      </c>
      <c r="D314" s="39" t="str">
        <f>VLOOKUP(Table110[[#This Row],[Tegevusala]],Table4[[Tegevusala kood]:[Tegevusala alanimetus]],4,FALSE)</f>
        <v>Päästeteenused</v>
      </c>
      <c r="E314" s="38" t="str">
        <f>VLOOKUP(C314,Table4[[Tegevusala nimetus]:[Tegevusala koondnimetus]],2,FALSE)</f>
        <v>Avalik kord ja julgeolek</v>
      </c>
      <c r="F314" s="14" t="s">
        <v>770</v>
      </c>
      <c r="G314" s="38" t="s">
        <v>2142</v>
      </c>
      <c r="H314" s="38">
        <v>7</v>
      </c>
      <c r="I314" s="38" t="s">
        <v>2027</v>
      </c>
      <c r="J314" s="38">
        <v>30.963000000000001</v>
      </c>
      <c r="K314" s="38">
        <f t="shared" si="14"/>
        <v>216.74100000000001</v>
      </c>
      <c r="L314" s="38">
        <v>4</v>
      </c>
      <c r="M314" s="38"/>
      <c r="N314" s="45">
        <f>(K314*Table110[[#This Row],[Ühik2]])+M314</f>
        <v>866.96400000000006</v>
      </c>
      <c r="O314" s="45">
        <f>Table110[[#This Row],[2020. EA ]]*0.338</f>
        <v>293.03383200000002</v>
      </c>
      <c r="P314" s="38"/>
    </row>
    <row r="315" spans="1:16" x14ac:dyDescent="0.25">
      <c r="A315" s="14" t="str">
        <f t="shared" si="16"/>
        <v>04</v>
      </c>
      <c r="B315" s="50" t="s">
        <v>32</v>
      </c>
      <c r="C315" s="14" t="str">
        <f>VLOOKUP(B315,Table4[],2,FALSE)</f>
        <v xml:space="preserve"> Side</v>
      </c>
      <c r="D315" s="39" t="str">
        <f>VLOOKUP(Table110[[#This Row],[Tegevusala]],Table4[[Tegevusala kood]:[Tegevusala alanimetus]],4,FALSE)</f>
        <v>Side</v>
      </c>
      <c r="E315" s="14" t="str">
        <f>VLOOKUP(C315,Table4[[Tegevusala nimetus]:[Tegevusala koondnimetus]],2,FALSE)</f>
        <v>Majandus</v>
      </c>
      <c r="F315" s="14" t="s">
        <v>818</v>
      </c>
      <c r="G315" s="14" t="s">
        <v>802</v>
      </c>
      <c r="H315" s="14">
        <v>1</v>
      </c>
      <c r="I315" s="14"/>
      <c r="J315" s="14">
        <v>1560</v>
      </c>
      <c r="K315" s="14">
        <f t="shared" si="14"/>
        <v>1560</v>
      </c>
      <c r="L315" s="14">
        <v>12</v>
      </c>
      <c r="M315" s="14"/>
      <c r="N315" s="44">
        <f>(K315*Table110[[#This Row],[Ühik2]])+M315</f>
        <v>18720</v>
      </c>
      <c r="O315" s="44">
        <f>Table110[[#This Row],[2020. EA ]]*0.338</f>
        <v>6327.3600000000006</v>
      </c>
      <c r="P315" s="14"/>
    </row>
    <row r="316" spans="1:16" x14ac:dyDescent="0.25">
      <c r="A316" s="14" t="str">
        <f t="shared" si="16"/>
        <v>04</v>
      </c>
      <c r="B316" t="s">
        <v>34</v>
      </c>
      <c r="C316" s="14" t="str">
        <f>VLOOKUP(B316,Table4[],2,FALSE)</f>
        <v xml:space="preserve"> Muu majandus (sh majanduse haldus)</v>
      </c>
      <c r="D316" s="39" t="str">
        <f>VLOOKUP(Table110[[#This Row],[Tegevusala]],Table4[[Tegevusala kood]:[Tegevusala alanimetus]],4,FALSE)</f>
        <v>Muu majandus (sh majanduse haldus)</v>
      </c>
      <c r="E316" s="14" t="str">
        <f>VLOOKUP(C316,Table4[[Tegevusala nimetus]:[Tegevusala koondnimetus]],2,FALSE)</f>
        <v>Majandus</v>
      </c>
      <c r="F316" s="38" t="s">
        <v>818</v>
      </c>
      <c r="G316" s="14" t="s">
        <v>1826</v>
      </c>
      <c r="H316" s="14">
        <v>1</v>
      </c>
      <c r="I316" s="14"/>
      <c r="J316" s="14">
        <v>1675</v>
      </c>
      <c r="K316" s="14">
        <f t="shared" si="14"/>
        <v>1675</v>
      </c>
      <c r="L316" s="14">
        <v>12</v>
      </c>
      <c r="M316" s="14"/>
      <c r="N316" s="44">
        <f>(K316*Table110[[#This Row],[Ühik2]])+M316</f>
        <v>20100</v>
      </c>
      <c r="O316" s="44">
        <f>Table110[[#This Row],[2020. EA ]]*0.338</f>
        <v>6793.8</v>
      </c>
      <c r="P316" s="14"/>
    </row>
    <row r="317" spans="1:16" x14ac:dyDescent="0.25">
      <c r="A317" s="14" t="str">
        <f t="shared" si="16"/>
        <v>01</v>
      </c>
      <c r="B317" t="s">
        <v>15</v>
      </c>
      <c r="C317" s="14" t="str">
        <f>VLOOKUP(B317,Table4[],2,FALSE)</f>
        <v xml:space="preserve"> Valla- ja linnavalitsus</v>
      </c>
      <c r="D317" s="39" t="str">
        <f>VLOOKUP(Table110[[#This Row],[Tegevusala]],Table4[[Tegevusala kood]:[Tegevusala alanimetus]],4,FALSE)</f>
        <v>Valla- ja linnavalitsus</v>
      </c>
      <c r="E317" s="14" t="str">
        <f>VLOOKUP(C317,Table4[[Tegevusala nimetus]:[Tegevusala koondnimetus]],2,FALSE)</f>
        <v>Üldised valitsussektori teenused</v>
      </c>
      <c r="F317" s="14" t="s">
        <v>818</v>
      </c>
      <c r="G317" s="14" t="s">
        <v>1827</v>
      </c>
      <c r="H317" s="14">
        <v>3</v>
      </c>
      <c r="I317" s="14" t="s">
        <v>2027</v>
      </c>
      <c r="J317" s="14">
        <v>45</v>
      </c>
      <c r="K317" s="14">
        <f t="shared" si="14"/>
        <v>135</v>
      </c>
      <c r="L317" s="14">
        <v>56</v>
      </c>
      <c r="M317" s="14"/>
      <c r="N317" s="44">
        <f>(K317*Table110[[#This Row],[Ühik2]])+M317</f>
        <v>7560</v>
      </c>
      <c r="O317" s="44">
        <f>Table110[[#This Row],[2020. EA ]]*0.338</f>
        <v>2555.2800000000002</v>
      </c>
      <c r="P317" s="14"/>
    </row>
    <row r="318" spans="1:16" x14ac:dyDescent="0.25">
      <c r="A318" s="14" t="str">
        <f t="shared" si="16"/>
        <v>08</v>
      </c>
      <c r="B318" t="s">
        <v>47</v>
      </c>
      <c r="C318" s="14" t="str">
        <f>VLOOKUP(B318,Table4[],2,FALSE)</f>
        <v xml:space="preserve"> Muu vaba aeg, kultuur, religioon, sh haldus</v>
      </c>
      <c r="D318" s="39" t="str">
        <f>VLOOKUP(Table110[[#This Row],[Tegevusala]],Table4[[Tegevusala kood]:[Tegevusala alanimetus]],4,FALSE)</f>
        <v>Muu vaba aeg, kultuur, religioon, sh haldus</v>
      </c>
      <c r="E318" s="14" t="str">
        <f>VLOOKUP(C318,Table4[[Tegevusala nimetus]:[Tegevusala koondnimetus]],2,FALSE)</f>
        <v>Vabaaeg, kultuur ja religioon</v>
      </c>
      <c r="F318" s="14" t="s">
        <v>818</v>
      </c>
      <c r="G318" s="14" t="s">
        <v>1837</v>
      </c>
      <c r="H318" s="14">
        <v>1</v>
      </c>
      <c r="I318" s="14"/>
      <c r="J318" s="14">
        <v>1560</v>
      </c>
      <c r="K318" s="14">
        <f t="shared" si="14"/>
        <v>1560</v>
      </c>
      <c r="L318" s="14">
        <v>12</v>
      </c>
      <c r="M318" s="14"/>
      <c r="N318" s="44">
        <f>(K318*Table110[[#This Row],[Ühik2]])+M318</f>
        <v>18720</v>
      </c>
      <c r="O318" s="44">
        <f>Table110[[#This Row],[2020. EA ]]*0.338</f>
        <v>6327.3600000000006</v>
      </c>
      <c r="P318" s="14"/>
    </row>
    <row r="319" spans="1:16" x14ac:dyDescent="0.25">
      <c r="A319" s="91" t="str">
        <f t="shared" si="16"/>
        <v>08</v>
      </c>
      <c r="B319" s="97" t="s">
        <v>312</v>
      </c>
      <c r="C319" s="91" t="str">
        <f>VLOOKUP(B319,Table4[],2,FALSE)</f>
        <v xml:space="preserve"> Kadila Seltsimaja</v>
      </c>
      <c r="D319" s="95" t="str">
        <f>VLOOKUP(Table110[[#This Row],[Tegevusala]],Table4[[Tegevusala kood]:[Tegevusala alanimetus]],4,FALSE)</f>
        <v>Rahvakultuur</v>
      </c>
      <c r="E319" s="91" t="str">
        <f>VLOOKUP(C319,Table4[[Tegevusala nimetus]:[Tegevusala koondnimetus]],2,FALSE)</f>
        <v>Vabaaeg, kultuur ja religioon</v>
      </c>
      <c r="F319" s="91" t="s">
        <v>1838</v>
      </c>
      <c r="G319" s="91" t="s">
        <v>1778</v>
      </c>
      <c r="H319" s="91">
        <v>1</v>
      </c>
      <c r="I319" s="91"/>
      <c r="J319" s="91">
        <v>584</v>
      </c>
      <c r="K319" s="91">
        <f t="shared" si="14"/>
        <v>584</v>
      </c>
      <c r="L319" s="91">
        <v>12</v>
      </c>
      <c r="M319" s="91"/>
      <c r="N319" s="93">
        <f>(K319*Table110[[#This Row],[Ühik2]])+M319</f>
        <v>7008</v>
      </c>
      <c r="O319" s="93">
        <f>Table110[[#This Row],[2020. EA ]]*0.338</f>
        <v>2368.7040000000002</v>
      </c>
      <c r="P319" s="91"/>
    </row>
    <row r="320" spans="1:16" x14ac:dyDescent="0.25">
      <c r="A320" s="91" t="str">
        <f t="shared" si="16"/>
        <v>08</v>
      </c>
      <c r="B320" s="92" t="s">
        <v>318</v>
      </c>
      <c r="C320" s="91" t="str">
        <f>VLOOKUP(B320,Table4[],2,FALSE)</f>
        <v xml:space="preserve"> Tudu Rahvamaja</v>
      </c>
      <c r="D320" s="95" t="str">
        <f>VLOOKUP(Table110[[#This Row],[Tegevusala]],Table4[[Tegevusala kood]:[Tegevusala alanimetus]],4,FALSE)</f>
        <v>Rahvakultuur</v>
      </c>
      <c r="E320" s="91" t="str">
        <f>VLOOKUP(C320,Table4[[Tegevusala nimetus]:[Tegevusala koondnimetus]],2,FALSE)</f>
        <v>Vabaaeg, kultuur ja religioon</v>
      </c>
      <c r="F320" s="91" t="s">
        <v>1842</v>
      </c>
      <c r="G320" s="91" t="s">
        <v>523</v>
      </c>
      <c r="H320" s="91">
        <v>1</v>
      </c>
      <c r="I320" s="91"/>
      <c r="J320" s="91">
        <v>160</v>
      </c>
      <c r="K320" s="91">
        <f t="shared" si="14"/>
        <v>160</v>
      </c>
      <c r="L320" s="91">
        <v>12</v>
      </c>
      <c r="M320" s="91"/>
      <c r="N320" s="93">
        <f>(K320*Table110[[#This Row],[Ühik2]])+M320</f>
        <v>1920</v>
      </c>
      <c r="O320" s="93">
        <f>Table110[[#This Row],[2020. EA ]]*0.338</f>
        <v>648.96</v>
      </c>
      <c r="P320" s="91"/>
    </row>
    <row r="321" spans="1:16" x14ac:dyDescent="0.25">
      <c r="A321" s="14" t="str">
        <f t="shared" si="16"/>
        <v>08</v>
      </c>
      <c r="B321" t="s">
        <v>318</v>
      </c>
      <c r="C321" s="14" t="str">
        <f>VLOOKUP(B321,Table4[],2,FALSE)</f>
        <v xml:space="preserve"> Tudu Rahvamaja</v>
      </c>
      <c r="D321" s="39" t="str">
        <f>VLOOKUP(Table110[[#This Row],[Tegevusala]],Table4[[Tegevusala kood]:[Tegevusala alanimetus]],4,FALSE)</f>
        <v>Rahvakultuur</v>
      </c>
      <c r="E321" s="14" t="str">
        <f>VLOOKUP(C321,Table4[[Tegevusala nimetus]:[Tegevusala koondnimetus]],2,FALSE)</f>
        <v>Vabaaeg, kultuur ja religioon</v>
      </c>
      <c r="F321" s="14" t="s">
        <v>1842</v>
      </c>
      <c r="G321" s="14" t="s">
        <v>935</v>
      </c>
      <c r="H321" s="14">
        <v>1</v>
      </c>
      <c r="I321" s="14" t="s">
        <v>2027</v>
      </c>
      <c r="J321" s="14">
        <v>152</v>
      </c>
      <c r="K321" s="14">
        <f t="shared" si="14"/>
        <v>152</v>
      </c>
      <c r="L321" s="14">
        <v>12</v>
      </c>
      <c r="M321" s="14"/>
      <c r="N321" s="44">
        <f>(K321*Table110[[#This Row],[Ühik2]])+M321</f>
        <v>1824</v>
      </c>
      <c r="O321" s="44">
        <f>Table110[[#This Row],[2020. EA ]]*0.338</f>
        <v>616.51200000000006</v>
      </c>
      <c r="P321" s="14"/>
    </row>
    <row r="322" spans="1:16" x14ac:dyDescent="0.25">
      <c r="A322" s="14" t="str">
        <f t="shared" si="16"/>
        <v>08</v>
      </c>
      <c r="B322" s="49" t="s">
        <v>314</v>
      </c>
      <c r="C322" s="14" t="str">
        <f>VLOOKUP(B322,Table4[],2,FALSE)</f>
        <v xml:space="preserve"> Pajusti klubi</v>
      </c>
      <c r="D322" s="39" t="str">
        <f>VLOOKUP(Table110[[#This Row],[Tegevusala]],Table4[[Tegevusala kood]:[Tegevusala alanimetus]],4,FALSE)</f>
        <v>Rahvakultuur</v>
      </c>
      <c r="E322" s="14" t="str">
        <f>VLOOKUP(C322,Table4[[Tegevusala nimetus]:[Tegevusala koondnimetus]],2,FALSE)</f>
        <v>Vabaaeg, kultuur ja religioon</v>
      </c>
      <c r="F322" s="14" t="s">
        <v>1845</v>
      </c>
      <c r="G322" s="14" t="s">
        <v>523</v>
      </c>
      <c r="H322" s="14">
        <v>1</v>
      </c>
      <c r="I322" s="14"/>
      <c r="J322" s="14">
        <v>1150</v>
      </c>
      <c r="K322" s="14">
        <f t="shared" ref="K322:K385" si="17">H322*J322</f>
        <v>1150</v>
      </c>
      <c r="L322" s="14">
        <v>12</v>
      </c>
      <c r="M322" s="14"/>
      <c r="N322" s="44">
        <f>(K322*Table110[[#This Row],[Ühik2]])+M322</f>
        <v>13800</v>
      </c>
      <c r="O322" s="44">
        <f>Table110[[#This Row],[2020. EA ]]*0.338</f>
        <v>4664.4000000000005</v>
      </c>
      <c r="P322" s="14"/>
    </row>
    <row r="323" spans="1:16" x14ac:dyDescent="0.25">
      <c r="A323" s="91" t="str">
        <f t="shared" si="16"/>
        <v>08</v>
      </c>
      <c r="B323" s="98" t="s">
        <v>314</v>
      </c>
      <c r="C323" s="91" t="str">
        <f>VLOOKUP(B323,Table4[],2,FALSE)</f>
        <v xml:space="preserve"> Pajusti klubi</v>
      </c>
      <c r="D323" s="95" t="str">
        <f>VLOOKUP(Table110[[#This Row],[Tegevusala]],Table4[[Tegevusala kood]:[Tegevusala alanimetus]],4,FALSE)</f>
        <v>Rahvakultuur</v>
      </c>
      <c r="E323" s="91" t="str">
        <f>VLOOKUP(C323,Table4[[Tegevusala nimetus]:[Tegevusala koondnimetus]],2,FALSE)</f>
        <v>Vabaaeg, kultuur ja religioon</v>
      </c>
      <c r="F323" s="91" t="s">
        <v>1845</v>
      </c>
      <c r="G323" s="91" t="s">
        <v>1045</v>
      </c>
      <c r="H323" s="91">
        <v>1</v>
      </c>
      <c r="I323" s="91"/>
      <c r="J323" s="91">
        <v>584</v>
      </c>
      <c r="K323" s="91">
        <f t="shared" si="17"/>
        <v>584</v>
      </c>
      <c r="L323" s="91">
        <v>12</v>
      </c>
      <c r="M323" s="91"/>
      <c r="N323" s="93">
        <f>(K323*Table110[[#This Row],[Ühik2]])+M323</f>
        <v>7008</v>
      </c>
      <c r="O323" s="93">
        <f>Table110[[#This Row],[2020. EA ]]*0.338</f>
        <v>2368.7040000000002</v>
      </c>
      <c r="P323" s="91"/>
    </row>
    <row r="324" spans="1:16" x14ac:dyDescent="0.25">
      <c r="A324" s="14" t="str">
        <f t="shared" si="16"/>
        <v>08</v>
      </c>
      <c r="B324" s="50" t="s">
        <v>314</v>
      </c>
      <c r="C324" s="14" t="str">
        <f>VLOOKUP(B324,Table4[],2,FALSE)</f>
        <v xml:space="preserve"> Pajusti klubi</v>
      </c>
      <c r="D324" s="39" t="str">
        <f>VLOOKUP(Table110[[#This Row],[Tegevusala]],Table4[[Tegevusala kood]:[Tegevusala alanimetus]],4,FALSE)</f>
        <v>Rahvakultuur</v>
      </c>
      <c r="E324" s="14" t="str">
        <f>VLOOKUP(C324,Table4[[Tegevusala nimetus]:[Tegevusala koondnimetus]],2,FALSE)</f>
        <v>Vabaaeg, kultuur ja religioon</v>
      </c>
      <c r="F324" s="14" t="s">
        <v>1845</v>
      </c>
      <c r="G324" s="14" t="s">
        <v>1844</v>
      </c>
      <c r="H324" s="14">
        <v>1</v>
      </c>
      <c r="I324" s="14"/>
      <c r="J324" s="14">
        <v>897.5</v>
      </c>
      <c r="K324" s="14">
        <f t="shared" si="17"/>
        <v>897.5</v>
      </c>
      <c r="L324" s="14">
        <v>12</v>
      </c>
      <c r="M324" s="14"/>
      <c r="N324" s="44">
        <f>(K324*Table110[[#This Row],[Ühik2]])+M324</f>
        <v>10770</v>
      </c>
      <c r="O324" s="44">
        <f>Table110[[#This Row],[2020. EA ]]*0.338</f>
        <v>3640.26</v>
      </c>
      <c r="P324" s="14"/>
    </row>
    <row r="325" spans="1:16" x14ac:dyDescent="0.25">
      <c r="A325" s="14" t="str">
        <f t="shared" si="16"/>
        <v>09</v>
      </c>
      <c r="B325" t="s">
        <v>353</v>
      </c>
      <c r="C325" s="14" t="str">
        <f>VLOOKUP(B325,Table4[],2,FALSE)</f>
        <v xml:space="preserve"> Roela Õpilaskodu</v>
      </c>
      <c r="D325" s="39" t="str">
        <f>VLOOKUP(Table110[[#This Row],[Tegevusala]],Table4[[Tegevusala kood]:[Tegevusala alanimetus]],4,FALSE)</f>
        <v>Öömaja</v>
      </c>
      <c r="E325" s="14" t="str">
        <f>VLOOKUP(C325,Table4[[Tegevusala nimetus]:[Tegevusala koondnimetus]],2,FALSE)</f>
        <v>Haridus</v>
      </c>
      <c r="F325" s="14" t="s">
        <v>1851</v>
      </c>
      <c r="G325" s="14" t="s">
        <v>2173</v>
      </c>
      <c r="H325" s="14">
        <v>1</v>
      </c>
      <c r="I325" s="14"/>
      <c r="J325" s="14">
        <v>820</v>
      </c>
      <c r="K325" s="14">
        <f t="shared" si="17"/>
        <v>820</v>
      </c>
      <c r="L325" s="14">
        <v>12</v>
      </c>
      <c r="M325" s="14"/>
      <c r="N325" s="44">
        <f>(K325*Table110[[#This Row],[Ühik2]])+M325</f>
        <v>9840</v>
      </c>
      <c r="O325" s="44">
        <f>Table110[[#This Row],[2020. EA ]]*0.338</f>
        <v>3325.92</v>
      </c>
      <c r="P325" s="14"/>
    </row>
    <row r="326" spans="1:16" x14ac:dyDescent="0.25">
      <c r="A326" s="14" t="str">
        <f t="shared" si="16"/>
        <v>09</v>
      </c>
      <c r="B326" t="s">
        <v>353</v>
      </c>
      <c r="C326" s="14" t="str">
        <f>VLOOKUP(B326,Table4[],2,FALSE)</f>
        <v xml:space="preserve"> Roela Õpilaskodu</v>
      </c>
      <c r="D326" s="39" t="str">
        <f>VLOOKUP(Table110[[#This Row],[Tegevusala]],Table4[[Tegevusala kood]:[Tegevusala alanimetus]],4,FALSE)</f>
        <v>Öömaja</v>
      </c>
      <c r="E326" s="14" t="str">
        <f>VLOOKUP(C326,Table4[[Tegevusala nimetus]:[Tegevusala koondnimetus]],2,FALSE)</f>
        <v>Haridus</v>
      </c>
      <c r="F326" s="14" t="s">
        <v>1851</v>
      </c>
      <c r="G326" s="14" t="s">
        <v>1850</v>
      </c>
      <c r="H326" s="14">
        <v>1</v>
      </c>
      <c r="I326" s="14"/>
      <c r="J326" s="14">
        <v>690</v>
      </c>
      <c r="K326" s="14">
        <f t="shared" si="17"/>
        <v>690</v>
      </c>
      <c r="L326" s="14">
        <v>12</v>
      </c>
      <c r="M326" s="14"/>
      <c r="N326" s="44">
        <f>(K326*Table110[[#This Row],[Ühik2]])+M326</f>
        <v>8280</v>
      </c>
      <c r="O326" s="44">
        <f>Table110[[#This Row],[2020. EA ]]*0.338</f>
        <v>2798.6400000000003</v>
      </c>
      <c r="P326" s="14"/>
    </row>
    <row r="327" spans="1:16" x14ac:dyDescent="0.25">
      <c r="A327" s="91" t="str">
        <f t="shared" si="16"/>
        <v>09</v>
      </c>
      <c r="B327" s="92" t="s">
        <v>353</v>
      </c>
      <c r="C327" s="91" t="str">
        <f>VLOOKUP(B327,Table4[],2,FALSE)</f>
        <v xml:space="preserve"> Roela Õpilaskodu</v>
      </c>
      <c r="D327" s="95" t="str">
        <f>VLOOKUP(Table110[[#This Row],[Tegevusala]],Table4[[Tegevusala kood]:[Tegevusala alanimetus]],4,FALSE)</f>
        <v>Öömaja</v>
      </c>
      <c r="E327" s="91" t="str">
        <f>VLOOKUP(C327,Table4[[Tegevusala nimetus]:[Tegevusala koondnimetus]],2,FALSE)</f>
        <v>Haridus</v>
      </c>
      <c r="F327" s="91" t="s">
        <v>1851</v>
      </c>
      <c r="G327" s="91" t="s">
        <v>1402</v>
      </c>
      <c r="H327" s="91">
        <v>1</v>
      </c>
      <c r="I327" s="91"/>
      <c r="J327" s="91">
        <v>390</v>
      </c>
      <c r="K327" s="91">
        <f t="shared" si="17"/>
        <v>390</v>
      </c>
      <c r="L327" s="91">
        <v>12</v>
      </c>
      <c r="M327" s="91"/>
      <c r="N327" s="93">
        <f>(K327*Table110[[#This Row],[Ühik2]])+M327</f>
        <v>4680</v>
      </c>
      <c r="O327" s="93">
        <f>Table110[[#This Row],[2020. EA ]]*0.338</f>
        <v>1581.8400000000001</v>
      </c>
      <c r="P327" s="91"/>
    </row>
    <row r="328" spans="1:16" x14ac:dyDescent="0.25">
      <c r="A328" s="38" t="str">
        <f t="shared" si="16"/>
        <v>09</v>
      </c>
      <c r="B328" s="33" t="s">
        <v>335</v>
      </c>
      <c r="C328" s="38" t="str">
        <f>VLOOKUP(B328,Table4[],2,FALSE)</f>
        <v xml:space="preserve"> Laekvere Lasteaed</v>
      </c>
      <c r="D328" s="39" t="str">
        <f>VLOOKUP(Table110[[#This Row],[Tegevusala]],Table4[[Tegevusala kood]:[Tegevusala alanimetus]],4,FALSE)</f>
        <v>Alusharidus</v>
      </c>
      <c r="E328" s="38" t="str">
        <f>VLOOKUP(C328,Table4[[Tegevusala nimetus]:[Tegevusala koondnimetus]],2,FALSE)</f>
        <v>Haridus</v>
      </c>
      <c r="F328" s="38" t="s">
        <v>1870</v>
      </c>
      <c r="G328" s="38" t="s">
        <v>1883</v>
      </c>
      <c r="H328" s="38">
        <v>0</v>
      </c>
      <c r="I328" s="38"/>
      <c r="J328" s="38">
        <v>1315</v>
      </c>
      <c r="K328" s="38">
        <f t="shared" si="17"/>
        <v>0</v>
      </c>
      <c r="L328" s="38">
        <v>12</v>
      </c>
      <c r="M328" s="38"/>
      <c r="N328" s="45">
        <f>(K328*Table110[[#This Row],[Ühik2]])+M328</f>
        <v>0</v>
      </c>
      <c r="O328" s="45">
        <f>Table110[[#This Row],[2020. EA ]]*0.338</f>
        <v>0</v>
      </c>
      <c r="P328" s="38"/>
    </row>
    <row r="329" spans="1:16" x14ac:dyDescent="0.25">
      <c r="A329" s="38" t="str">
        <f t="shared" si="16"/>
        <v>09</v>
      </c>
      <c r="B329" s="33" t="s">
        <v>335</v>
      </c>
      <c r="C329" s="38" t="str">
        <f>VLOOKUP(B329,Table4[],2,FALSE)</f>
        <v xml:space="preserve"> Laekvere Lasteaed</v>
      </c>
      <c r="D329" s="39" t="str">
        <f>VLOOKUP(Table110[[#This Row],[Tegevusala]],Table4[[Tegevusala kood]:[Tegevusala alanimetus]],4,FALSE)</f>
        <v>Alusharidus</v>
      </c>
      <c r="E329" s="38" t="str">
        <f>VLOOKUP(C329,Table4[[Tegevusala nimetus]:[Tegevusala koondnimetus]],2,FALSE)</f>
        <v>Haridus</v>
      </c>
      <c r="F329" s="38" t="s">
        <v>1870</v>
      </c>
      <c r="G329" s="38" t="s">
        <v>1884</v>
      </c>
      <c r="H329" s="38">
        <v>0</v>
      </c>
      <c r="I329" s="38"/>
      <c r="J329" s="38">
        <v>1315</v>
      </c>
      <c r="K329" s="38">
        <f t="shared" si="17"/>
        <v>0</v>
      </c>
      <c r="L329" s="38">
        <v>12</v>
      </c>
      <c r="M329" s="38"/>
      <c r="N329" s="45">
        <f>(K329*Table110[[#This Row],[Ühik2]])+M329</f>
        <v>0</v>
      </c>
      <c r="O329" s="45">
        <f>Table110[[#This Row],[2020. EA ]]*0.338</f>
        <v>0</v>
      </c>
      <c r="P329" s="38"/>
    </row>
    <row r="330" spans="1:16" x14ac:dyDescent="0.25">
      <c r="A330" s="38" t="str">
        <f t="shared" si="16"/>
        <v>09</v>
      </c>
      <c r="B330" s="33" t="s">
        <v>335</v>
      </c>
      <c r="C330" s="38" t="str">
        <f>VLOOKUP(B330,Table4[],2,FALSE)</f>
        <v xml:space="preserve"> Laekvere Lasteaed</v>
      </c>
      <c r="D330" s="39" t="str">
        <f>VLOOKUP(Table110[[#This Row],[Tegevusala]],Table4[[Tegevusala kood]:[Tegevusala alanimetus]],4,FALSE)</f>
        <v>Alusharidus</v>
      </c>
      <c r="E330" s="38" t="str">
        <f>VLOOKUP(C330,Table4[[Tegevusala nimetus]:[Tegevusala koondnimetus]],2,FALSE)</f>
        <v>Haridus</v>
      </c>
      <c r="F330" s="38" t="s">
        <v>1870</v>
      </c>
      <c r="G330" s="38" t="s">
        <v>1885</v>
      </c>
      <c r="H330" s="38">
        <v>0</v>
      </c>
      <c r="I330" s="38"/>
      <c r="J330" s="38">
        <v>1315</v>
      </c>
      <c r="K330" s="38">
        <f t="shared" si="17"/>
        <v>0</v>
      </c>
      <c r="L330" s="38">
        <v>12</v>
      </c>
      <c r="M330" s="38"/>
      <c r="N330" s="45">
        <f>(K330*Table110[[#This Row],[Ühik2]])+M330</f>
        <v>0</v>
      </c>
      <c r="O330" s="45">
        <f>Table110[[#This Row],[2020. EA ]]*0.338</f>
        <v>0</v>
      </c>
      <c r="P330" s="38"/>
    </row>
    <row r="331" spans="1:16" x14ac:dyDescent="0.25">
      <c r="A331" s="38" t="str">
        <f t="shared" si="16"/>
        <v>09</v>
      </c>
      <c r="B331" s="33" t="s">
        <v>335</v>
      </c>
      <c r="C331" s="38" t="str">
        <f>VLOOKUP(B331,Table4[],2,FALSE)</f>
        <v xml:space="preserve"> Laekvere Lasteaed</v>
      </c>
      <c r="D331" s="39" t="str">
        <f>VLOOKUP(Table110[[#This Row],[Tegevusala]],Table4[[Tegevusala kood]:[Tegevusala alanimetus]],4,FALSE)</f>
        <v>Alusharidus</v>
      </c>
      <c r="E331" s="38" t="str">
        <f>VLOOKUP(C331,Table4[[Tegevusala nimetus]:[Tegevusala koondnimetus]],2,FALSE)</f>
        <v>Haridus</v>
      </c>
      <c r="F331" s="38" t="s">
        <v>1870</v>
      </c>
      <c r="G331" s="38" t="s">
        <v>527</v>
      </c>
      <c r="H331" s="38">
        <v>0</v>
      </c>
      <c r="I331" s="38"/>
      <c r="J331" s="38">
        <v>1414</v>
      </c>
      <c r="K331" s="38">
        <f t="shared" si="17"/>
        <v>0</v>
      </c>
      <c r="L331" s="38">
        <v>12</v>
      </c>
      <c r="M331" s="38"/>
      <c r="N331" s="45">
        <f>(K331*Table110[[#This Row],[Ühik2]])+M331</f>
        <v>0</v>
      </c>
      <c r="O331" s="45">
        <f>Table110[[#This Row],[2020. EA ]]*0.338</f>
        <v>0</v>
      </c>
      <c r="P331" s="38"/>
    </row>
    <row r="332" spans="1:16" x14ac:dyDescent="0.25">
      <c r="A332" s="38" t="str">
        <f t="shared" si="16"/>
        <v>09</v>
      </c>
      <c r="B332" s="33" t="s">
        <v>335</v>
      </c>
      <c r="C332" s="38" t="str">
        <f>VLOOKUP(B332,Table4[],2,FALSE)</f>
        <v xml:space="preserve"> Laekvere Lasteaed</v>
      </c>
      <c r="D332" s="39" t="str">
        <f>VLOOKUP(Table110[[#This Row],[Tegevusala]],Table4[[Tegevusala kood]:[Tegevusala alanimetus]],4,FALSE)</f>
        <v>Alusharidus</v>
      </c>
      <c r="E332" s="38" t="str">
        <f>VLOOKUP(C332,Table4[[Tegevusala nimetus]:[Tegevusala koondnimetus]],2,FALSE)</f>
        <v>Haridus</v>
      </c>
      <c r="F332" s="38" t="s">
        <v>1870</v>
      </c>
      <c r="G332" s="38" t="s">
        <v>1886</v>
      </c>
      <c r="H332" s="38">
        <v>0.25</v>
      </c>
      <c r="I332" s="38"/>
      <c r="J332" s="38">
        <v>1315</v>
      </c>
      <c r="K332" s="38">
        <f t="shared" si="17"/>
        <v>328.75</v>
      </c>
      <c r="L332" s="38">
        <v>12</v>
      </c>
      <c r="M332" s="38"/>
      <c r="N332" s="45">
        <f>(K332*Table110[[#This Row],[Ühik2]])+M332</f>
        <v>3945</v>
      </c>
      <c r="O332" s="45">
        <f>Table110[[#This Row],[2020. EA ]]*0.338</f>
        <v>1333.41</v>
      </c>
      <c r="P332" s="38"/>
    </row>
    <row r="333" spans="1:16" x14ac:dyDescent="0.25">
      <c r="A333" s="38" t="str">
        <f t="shared" si="16"/>
        <v>09</v>
      </c>
      <c r="B333" s="33" t="s">
        <v>335</v>
      </c>
      <c r="C333" s="38" t="str">
        <f>VLOOKUP(B333,Table4[],2,FALSE)</f>
        <v xml:space="preserve"> Laekvere Lasteaed</v>
      </c>
      <c r="D333" s="39" t="str">
        <f>VLOOKUP(Table110[[#This Row],[Tegevusala]],Table4[[Tegevusala kood]:[Tegevusala alanimetus]],4,FALSE)</f>
        <v>Alusharidus</v>
      </c>
      <c r="E333" s="38" t="str">
        <f>VLOOKUP(C333,Table4[[Tegevusala nimetus]:[Tegevusala koondnimetus]],2,FALSE)</f>
        <v>Haridus</v>
      </c>
      <c r="F333" s="38" t="s">
        <v>1870</v>
      </c>
      <c r="G333" s="38" t="s">
        <v>1311</v>
      </c>
      <c r="H333" s="38">
        <v>0.5</v>
      </c>
      <c r="I333" s="38"/>
      <c r="J333" s="38">
        <v>1315</v>
      </c>
      <c r="K333" s="38">
        <f t="shared" si="17"/>
        <v>657.5</v>
      </c>
      <c r="L333" s="38">
        <v>12</v>
      </c>
      <c r="M333" s="38"/>
      <c r="N333" s="45">
        <f>(K333*Table110[[#This Row],[Ühik2]])+M333</f>
        <v>7890</v>
      </c>
      <c r="O333" s="45">
        <f>Table110[[#This Row],[2020. EA ]]*0.338</f>
        <v>2666.82</v>
      </c>
      <c r="P333" s="38"/>
    </row>
    <row r="334" spans="1:16" x14ac:dyDescent="0.25">
      <c r="A334" s="38" t="str">
        <f t="shared" si="16"/>
        <v>09</v>
      </c>
      <c r="B334" s="33" t="s">
        <v>335</v>
      </c>
      <c r="C334" s="38" t="str">
        <f>VLOOKUP(B334,Table4[],2,FALSE)</f>
        <v xml:space="preserve"> Laekvere Lasteaed</v>
      </c>
      <c r="D334" s="39" t="str">
        <f>VLOOKUP(Table110[[#This Row],[Tegevusala]],Table4[[Tegevusala kood]:[Tegevusala alanimetus]],4,FALSE)</f>
        <v>Alusharidus</v>
      </c>
      <c r="E334" s="38" t="str">
        <f>VLOOKUP(C334,Table4[[Tegevusala nimetus]:[Tegevusala koondnimetus]],2,FALSE)</f>
        <v>Haridus</v>
      </c>
      <c r="F334" s="38" t="s">
        <v>1870</v>
      </c>
      <c r="G334" s="38" t="s">
        <v>1370</v>
      </c>
      <c r="H334" s="38">
        <v>3.25</v>
      </c>
      <c r="I334" s="38"/>
      <c r="J334" s="38">
        <v>1183.5</v>
      </c>
      <c r="K334" s="38">
        <f t="shared" si="17"/>
        <v>3846.375</v>
      </c>
      <c r="L334" s="38">
        <v>12</v>
      </c>
      <c r="M334" s="38"/>
      <c r="N334" s="45">
        <f>(K334*Table110[[#This Row],[Ühik2]])+M334</f>
        <v>46156.5</v>
      </c>
      <c r="O334" s="45">
        <f>Table110[[#This Row],[2020. EA ]]*0.338</f>
        <v>15600.897000000001</v>
      </c>
      <c r="P334" s="38"/>
    </row>
    <row r="335" spans="1:16" x14ac:dyDescent="0.25">
      <c r="A335" s="38" t="str">
        <f t="shared" si="16"/>
        <v>09</v>
      </c>
      <c r="B335" s="33" t="s">
        <v>335</v>
      </c>
      <c r="C335" s="38" t="str">
        <f>VLOOKUP(B335,Table4[],2,FALSE)</f>
        <v xml:space="preserve"> Laekvere Lasteaed</v>
      </c>
      <c r="D335" s="39" t="str">
        <f>VLOOKUP(Table110[[#This Row],[Tegevusala]],Table4[[Tegevusala kood]:[Tegevusala alanimetus]],4,FALSE)</f>
        <v>Alusharidus</v>
      </c>
      <c r="E335" s="38" t="str">
        <f>VLOOKUP(C335,Table4[[Tegevusala nimetus]:[Tegevusala koondnimetus]],2,FALSE)</f>
        <v>Haridus</v>
      </c>
      <c r="F335" s="38" t="s">
        <v>1870</v>
      </c>
      <c r="G335" s="38" t="s">
        <v>1370</v>
      </c>
      <c r="H335" s="38">
        <v>0.25</v>
      </c>
      <c r="I335" s="38"/>
      <c r="J335" s="38">
        <v>1315</v>
      </c>
      <c r="K335" s="38">
        <f t="shared" si="17"/>
        <v>328.75</v>
      </c>
      <c r="L335" s="38">
        <v>12</v>
      </c>
      <c r="M335" s="38"/>
      <c r="N335" s="45">
        <f>(K335*Table110[[#This Row],[Ühik2]])+M335</f>
        <v>3945</v>
      </c>
      <c r="O335" s="45">
        <f>Table110[[#This Row],[2020. EA ]]*0.338</f>
        <v>1333.41</v>
      </c>
      <c r="P335" s="38"/>
    </row>
    <row r="336" spans="1:16" x14ac:dyDescent="0.25">
      <c r="A336" s="38" t="str">
        <f t="shared" si="16"/>
        <v>09</v>
      </c>
      <c r="B336" s="33" t="s">
        <v>335</v>
      </c>
      <c r="C336" s="38" t="str">
        <f>VLOOKUP(B336,Table4[],2,FALSE)</f>
        <v xml:space="preserve"> Laekvere Lasteaed</v>
      </c>
      <c r="D336" s="39" t="str">
        <f>VLOOKUP(Table110[[#This Row],[Tegevusala]],Table4[[Tegevusala kood]:[Tegevusala alanimetus]],4,FALSE)</f>
        <v>Alusharidus</v>
      </c>
      <c r="E336" s="38" t="str">
        <f>VLOOKUP(C336,Table4[[Tegevusala nimetus]:[Tegevusala koondnimetus]],2,FALSE)</f>
        <v>Haridus</v>
      </c>
      <c r="F336" s="38" t="s">
        <v>1870</v>
      </c>
      <c r="G336" s="38" t="s">
        <v>1270</v>
      </c>
      <c r="H336" s="38">
        <v>2</v>
      </c>
      <c r="I336" s="38"/>
      <c r="J336" s="38">
        <v>702</v>
      </c>
      <c r="K336" s="38">
        <f t="shared" si="17"/>
        <v>1404</v>
      </c>
      <c r="L336" s="38">
        <v>12</v>
      </c>
      <c r="M336" s="38"/>
      <c r="N336" s="45">
        <f>(K336*Table110[[#This Row],[Ühik2]])+M336</f>
        <v>16848</v>
      </c>
      <c r="O336" s="45">
        <f>Table110[[#This Row],[2020. EA ]]*0.338</f>
        <v>5694.6240000000007</v>
      </c>
      <c r="P336" s="38"/>
    </row>
    <row r="337" spans="1:16" x14ac:dyDescent="0.25">
      <c r="A337" s="38" t="str">
        <f t="shared" si="16"/>
        <v>09</v>
      </c>
      <c r="B337" s="33" t="s">
        <v>335</v>
      </c>
      <c r="C337" s="38" t="str">
        <f>VLOOKUP(B337,Table4[],2,FALSE)</f>
        <v xml:space="preserve"> Laekvere Lasteaed</v>
      </c>
      <c r="D337" s="39" t="str">
        <f>VLOOKUP(Table110[[#This Row],[Tegevusala]],Table4[[Tegevusala kood]:[Tegevusala alanimetus]],4,FALSE)</f>
        <v>Alusharidus</v>
      </c>
      <c r="E337" s="38" t="str">
        <f>VLOOKUP(C337,Table4[[Tegevusala nimetus]:[Tegevusala koondnimetus]],2,FALSE)</f>
        <v>Haridus</v>
      </c>
      <c r="F337" s="38" t="s">
        <v>1870</v>
      </c>
      <c r="G337" s="38" t="s">
        <v>1887</v>
      </c>
      <c r="H337" s="38">
        <v>2</v>
      </c>
      <c r="I337" s="38"/>
      <c r="J337" s="38">
        <v>702</v>
      </c>
      <c r="K337" s="38">
        <f t="shared" si="17"/>
        <v>1404</v>
      </c>
      <c r="L337" s="38">
        <v>12</v>
      </c>
      <c r="M337" s="38"/>
      <c r="N337" s="45">
        <f>(K337*Table110[[#This Row],[Ühik2]])+M337</f>
        <v>16848</v>
      </c>
      <c r="O337" s="45">
        <f>Table110[[#This Row],[2020. EA ]]*0.338</f>
        <v>5694.6240000000007</v>
      </c>
      <c r="P337" s="38"/>
    </row>
    <row r="338" spans="1:16" x14ac:dyDescent="0.25">
      <c r="A338" s="38" t="str">
        <f t="shared" si="16"/>
        <v>09</v>
      </c>
      <c r="B338" s="33" t="s">
        <v>335</v>
      </c>
      <c r="C338" s="38" t="str">
        <f>VLOOKUP(B338,Table4[],2,FALSE)</f>
        <v xml:space="preserve"> Laekvere Lasteaed</v>
      </c>
      <c r="D338" s="39" t="str">
        <f>VLOOKUP(Table110[[#This Row],[Tegevusala]],Table4[[Tegevusala kood]:[Tegevusala alanimetus]],4,FALSE)</f>
        <v>Alusharidus</v>
      </c>
      <c r="E338" s="38" t="str">
        <f>VLOOKUP(C338,Table4[[Tegevusala nimetus]:[Tegevusala koondnimetus]],2,FALSE)</f>
        <v>Haridus</v>
      </c>
      <c r="F338" s="38" t="s">
        <v>1870</v>
      </c>
      <c r="G338" s="38" t="s">
        <v>1888</v>
      </c>
      <c r="H338" s="38">
        <v>1</v>
      </c>
      <c r="I338" s="38"/>
      <c r="J338" s="38">
        <v>1183.5</v>
      </c>
      <c r="K338" s="38">
        <f t="shared" si="17"/>
        <v>1183.5</v>
      </c>
      <c r="L338" s="38">
        <v>12</v>
      </c>
      <c r="M338" s="38"/>
      <c r="N338" s="45">
        <f>(K338*Table110[[#This Row],[Ühik2]])+M338</f>
        <v>14202</v>
      </c>
      <c r="O338" s="45">
        <f>Table110[[#This Row],[2020. EA ]]*0.338</f>
        <v>4800.2760000000007</v>
      </c>
      <c r="P338" s="38"/>
    </row>
    <row r="339" spans="1:16" x14ac:dyDescent="0.25">
      <c r="A339" s="38" t="str">
        <f t="shared" si="16"/>
        <v>09</v>
      </c>
      <c r="B339" s="33" t="s">
        <v>335</v>
      </c>
      <c r="C339" s="38" t="str">
        <f>VLOOKUP(B339,Table4[],2,FALSE)</f>
        <v xml:space="preserve"> Laekvere Lasteaed</v>
      </c>
      <c r="D339" s="39" t="str">
        <f>VLOOKUP(Table110[[#This Row],[Tegevusala]],Table4[[Tegevusala kood]:[Tegevusala alanimetus]],4,FALSE)</f>
        <v>Alusharidus</v>
      </c>
      <c r="E339" s="38" t="str">
        <f>VLOOKUP(C339,Table4[[Tegevusala nimetus]:[Tegevusala koondnimetus]],2,FALSE)</f>
        <v>Haridus</v>
      </c>
      <c r="F339" s="38" t="s">
        <v>1870</v>
      </c>
      <c r="G339" s="38" t="s">
        <v>1889</v>
      </c>
      <c r="H339" s="38">
        <v>0</v>
      </c>
      <c r="I339" s="38"/>
      <c r="J339" s="38">
        <v>756</v>
      </c>
      <c r="K339" s="38">
        <f t="shared" si="17"/>
        <v>0</v>
      </c>
      <c r="L339" s="38">
        <v>12</v>
      </c>
      <c r="M339" s="38"/>
      <c r="N339" s="45">
        <f>(K339*Table110[[#This Row],[Ühik2]])+M339</f>
        <v>0</v>
      </c>
      <c r="O339" s="45">
        <f>Table110[[#This Row],[2020. EA ]]*0.338</f>
        <v>0</v>
      </c>
      <c r="P339" s="38"/>
    </row>
    <row r="340" spans="1:16" x14ac:dyDescent="0.25">
      <c r="A340" s="91" t="str">
        <f t="shared" si="16"/>
        <v>09</v>
      </c>
      <c r="B340" s="92" t="s">
        <v>335</v>
      </c>
      <c r="C340" s="91" t="str">
        <f>VLOOKUP(B340,Table4[],2,FALSE)</f>
        <v xml:space="preserve"> Laekvere Lasteaed</v>
      </c>
      <c r="D340" s="95" t="str">
        <f>VLOOKUP(Table110[[#This Row],[Tegevusala]],Table4[[Tegevusala kood]:[Tegevusala alanimetus]],4,FALSE)</f>
        <v>Alusharidus</v>
      </c>
      <c r="E340" s="91" t="str">
        <f>VLOOKUP(C340,Table4[[Tegevusala nimetus]:[Tegevusala koondnimetus]],2,FALSE)</f>
        <v>Haridus</v>
      </c>
      <c r="F340" s="91" t="s">
        <v>1870</v>
      </c>
      <c r="G340" s="91" t="s">
        <v>1402</v>
      </c>
      <c r="H340" s="91">
        <v>0</v>
      </c>
      <c r="I340" s="91"/>
      <c r="J340" s="91">
        <v>584</v>
      </c>
      <c r="K340" s="91">
        <f t="shared" si="17"/>
        <v>0</v>
      </c>
      <c r="L340" s="91">
        <v>12</v>
      </c>
      <c r="M340" s="91"/>
      <c r="N340" s="93">
        <f>(K340*Table110[[#This Row],[Ühik2]])+M340</f>
        <v>0</v>
      </c>
      <c r="O340" s="93">
        <f>Table110[[#This Row],[2020. EA ]]*0.338</f>
        <v>0</v>
      </c>
      <c r="P340" s="91"/>
    </row>
    <row r="341" spans="1:16" x14ac:dyDescent="0.25">
      <c r="A341" s="91" t="str">
        <f t="shared" si="16"/>
        <v>09</v>
      </c>
      <c r="B341" s="92" t="s">
        <v>335</v>
      </c>
      <c r="C341" s="91" t="str">
        <f>VLOOKUP(B341,Table4[],2,FALSE)</f>
        <v xml:space="preserve"> Laekvere Lasteaed</v>
      </c>
      <c r="D341" s="95" t="str">
        <f>VLOOKUP(Table110[[#This Row],[Tegevusala]],Table4[[Tegevusala kood]:[Tegevusala alanimetus]],4,FALSE)</f>
        <v>Alusharidus</v>
      </c>
      <c r="E341" s="91" t="str">
        <f>VLOOKUP(C341,Table4[[Tegevusala nimetus]:[Tegevusala koondnimetus]],2,FALSE)</f>
        <v>Haridus</v>
      </c>
      <c r="F341" s="91" t="s">
        <v>1870</v>
      </c>
      <c r="G341" s="91" t="s">
        <v>479</v>
      </c>
      <c r="H341" s="91">
        <v>1</v>
      </c>
      <c r="I341" s="91"/>
      <c r="J341" s="91">
        <v>584</v>
      </c>
      <c r="K341" s="91">
        <f t="shared" si="17"/>
        <v>584</v>
      </c>
      <c r="L341" s="91">
        <v>12</v>
      </c>
      <c r="M341" s="91"/>
      <c r="N341" s="93">
        <f>(K341*Table110[[#This Row],[Ühik2]])+M341</f>
        <v>7008</v>
      </c>
      <c r="O341" s="93">
        <f>Table110[[#This Row],[2020. EA ]]*0.338</f>
        <v>2368.7040000000002</v>
      </c>
      <c r="P341" s="91"/>
    </row>
    <row r="342" spans="1:16" x14ac:dyDescent="0.25">
      <c r="A342" s="38" t="str">
        <f t="shared" si="16"/>
        <v>09</v>
      </c>
      <c r="B342" s="33" t="s">
        <v>335</v>
      </c>
      <c r="C342" s="38" t="str">
        <f>VLOOKUP(B342,Table4[],2,FALSE)</f>
        <v xml:space="preserve"> Laekvere Lasteaed</v>
      </c>
      <c r="D342" s="39" t="str">
        <f>VLOOKUP(Table110[[#This Row],[Tegevusala]],Table4[[Tegevusala kood]:[Tegevusala alanimetus]],4,FALSE)</f>
        <v>Alusharidus</v>
      </c>
      <c r="E342" s="38" t="str">
        <f>VLOOKUP(C342,Table4[[Tegevusala nimetus]:[Tegevusala koondnimetus]],2,FALSE)</f>
        <v>Haridus</v>
      </c>
      <c r="F342" s="38" t="s">
        <v>1870</v>
      </c>
      <c r="G342" s="38" t="s">
        <v>1372</v>
      </c>
      <c r="H342" s="38">
        <v>0</v>
      </c>
      <c r="I342" s="38"/>
      <c r="J342" s="38">
        <v>805</v>
      </c>
      <c r="K342" s="38">
        <f t="shared" si="17"/>
        <v>0</v>
      </c>
      <c r="L342" s="38">
        <v>12</v>
      </c>
      <c r="M342" s="38"/>
      <c r="N342" s="45">
        <f>(K342*Table110[[#This Row],[Ühik2]])+M342</f>
        <v>0</v>
      </c>
      <c r="O342" s="45">
        <f>Table110[[#This Row],[2020. EA ]]*0.338</f>
        <v>0</v>
      </c>
      <c r="P342" s="38"/>
    </row>
    <row r="343" spans="1:16" x14ac:dyDescent="0.25">
      <c r="A343" s="38" t="str">
        <f t="shared" si="16"/>
        <v>09</v>
      </c>
      <c r="B343" s="33" t="s">
        <v>335</v>
      </c>
      <c r="C343" s="38" t="str">
        <f>VLOOKUP(B343,Table4[],2,FALSE)</f>
        <v xml:space="preserve"> Laekvere Lasteaed</v>
      </c>
      <c r="D343" s="39" t="str">
        <f>VLOOKUP(Table110[[#This Row],[Tegevusala]],Table4[[Tegevusala kood]:[Tegevusala alanimetus]],4,FALSE)</f>
        <v>Alusharidus</v>
      </c>
      <c r="E343" s="38" t="str">
        <f>VLOOKUP(C343,Table4[[Tegevusala nimetus]:[Tegevusala koondnimetus]],2,FALSE)</f>
        <v>Haridus</v>
      </c>
      <c r="F343" s="38" t="s">
        <v>1870</v>
      </c>
      <c r="G343" s="38" t="s">
        <v>1890</v>
      </c>
      <c r="H343" s="38">
        <v>0</v>
      </c>
      <c r="I343" s="38"/>
      <c r="J343" s="38">
        <v>691</v>
      </c>
      <c r="K343" s="38">
        <f t="shared" si="17"/>
        <v>0</v>
      </c>
      <c r="L343" s="38">
        <v>12</v>
      </c>
      <c r="M343" s="38"/>
      <c r="N343" s="45">
        <f>(K343*Table110[[#This Row],[Ühik2]])+M343</f>
        <v>0</v>
      </c>
      <c r="O343" s="45">
        <f>Table110[[#This Row],[2020. EA ]]*0.338</f>
        <v>0</v>
      </c>
      <c r="P343" s="38"/>
    </row>
    <row r="344" spans="1:16" x14ac:dyDescent="0.25">
      <c r="A344" s="38" t="str">
        <f t="shared" si="16"/>
        <v>09</v>
      </c>
      <c r="B344" s="33" t="s">
        <v>335</v>
      </c>
      <c r="C344" s="38" t="str">
        <f>VLOOKUP(B344,Table4[],2,FALSE)</f>
        <v xml:space="preserve"> Laekvere Lasteaed</v>
      </c>
      <c r="D344" s="39" t="str">
        <f>VLOOKUP(Table110[[#This Row],[Tegevusala]],Table4[[Tegevusala kood]:[Tegevusala alanimetus]],4,FALSE)</f>
        <v>Alusharidus</v>
      </c>
      <c r="E344" s="38" t="str">
        <f>VLOOKUP(C344,Table4[[Tegevusala nimetus]:[Tegevusala koondnimetus]],2,FALSE)</f>
        <v>Haridus</v>
      </c>
      <c r="F344" s="38" t="s">
        <v>1870</v>
      </c>
      <c r="G344" s="38" t="s">
        <v>484</v>
      </c>
      <c r="H344" s="38">
        <v>0</v>
      </c>
      <c r="I344" s="38"/>
      <c r="J344" s="38">
        <v>724</v>
      </c>
      <c r="K344" s="38">
        <f t="shared" si="17"/>
        <v>0</v>
      </c>
      <c r="L344" s="38">
        <v>12</v>
      </c>
      <c r="M344" s="38"/>
      <c r="N344" s="45">
        <f>(K344*Table110[[#This Row],[Ühik2]])+M344</f>
        <v>0</v>
      </c>
      <c r="O344" s="45">
        <f>Table110[[#This Row],[2020. EA ]]*0.338</f>
        <v>0</v>
      </c>
      <c r="P344" s="38"/>
    </row>
    <row r="345" spans="1:16" x14ac:dyDescent="0.25">
      <c r="A345" s="38" t="str">
        <f t="shared" si="16"/>
        <v>09</v>
      </c>
      <c r="B345" s="33" t="s">
        <v>335</v>
      </c>
      <c r="C345" s="38" t="str">
        <f>VLOOKUP(B345,Table4[],2,FALSE)</f>
        <v xml:space="preserve"> Laekvere Lasteaed</v>
      </c>
      <c r="D345" s="39" t="str">
        <f>VLOOKUP(Table110[[#This Row],[Tegevusala]],Table4[[Tegevusala kood]:[Tegevusala alanimetus]],4,FALSE)</f>
        <v>Alusharidus</v>
      </c>
      <c r="E345" s="38" t="str">
        <f>VLOOKUP(C345,Table4[[Tegevusala nimetus]:[Tegevusala koondnimetus]],2,FALSE)</f>
        <v>Haridus</v>
      </c>
      <c r="F345" s="38" t="s">
        <v>1870</v>
      </c>
      <c r="G345" s="38" t="s">
        <v>484</v>
      </c>
      <c r="H345" s="38">
        <v>0</v>
      </c>
      <c r="I345" s="38"/>
      <c r="J345" s="38">
        <v>632</v>
      </c>
      <c r="K345" s="38">
        <f t="shared" si="17"/>
        <v>0</v>
      </c>
      <c r="L345" s="38">
        <v>12</v>
      </c>
      <c r="M345" s="38"/>
      <c r="N345" s="45">
        <f>(K345*Table110[[#This Row],[Ühik2]])+M345</f>
        <v>0</v>
      </c>
      <c r="O345" s="45">
        <f>Table110[[#This Row],[2020. EA ]]*0.338</f>
        <v>0</v>
      </c>
      <c r="P345" s="38"/>
    </row>
    <row r="346" spans="1:16" x14ac:dyDescent="0.25">
      <c r="A346" s="38" t="str">
        <f t="shared" si="16"/>
        <v>09</v>
      </c>
      <c r="B346" s="33" t="s">
        <v>335</v>
      </c>
      <c r="C346" s="38" t="str">
        <f>VLOOKUP(B346,Table4[],2,FALSE)</f>
        <v xml:space="preserve"> Laekvere Lasteaed</v>
      </c>
      <c r="D346" s="39" t="str">
        <f>VLOOKUP(Table110[[#This Row],[Tegevusala]],Table4[[Tegevusala kood]:[Tegevusala alanimetus]],4,FALSE)</f>
        <v>Alusharidus</v>
      </c>
      <c r="E346" s="38" t="str">
        <f>VLOOKUP(C346,Table4[[Tegevusala nimetus]:[Tegevusala koondnimetus]],2,FALSE)</f>
        <v>Haridus</v>
      </c>
      <c r="F346" s="38" t="s">
        <v>1870</v>
      </c>
      <c r="G346" s="38" t="s">
        <v>1891</v>
      </c>
      <c r="H346" s="38">
        <v>0</v>
      </c>
      <c r="I346" s="38"/>
      <c r="J346" s="38">
        <v>632</v>
      </c>
      <c r="K346" s="38">
        <f t="shared" si="17"/>
        <v>0</v>
      </c>
      <c r="L346" s="38">
        <v>12</v>
      </c>
      <c r="M346" s="38"/>
      <c r="N346" s="45">
        <f>(K346*Table110[[#This Row],[Ühik2]])+M346</f>
        <v>0</v>
      </c>
      <c r="O346" s="45">
        <f>Table110[[#This Row],[2020. EA ]]*0.338</f>
        <v>0</v>
      </c>
      <c r="P346" s="38"/>
    </row>
    <row r="347" spans="1:16" x14ac:dyDescent="0.25">
      <c r="A347" s="38" t="str">
        <f t="shared" si="16"/>
        <v>09</v>
      </c>
      <c r="B347" s="33" t="s">
        <v>335</v>
      </c>
      <c r="C347" s="38" t="str">
        <f>VLOOKUP(B347,Table4[],2,FALSE)</f>
        <v xml:space="preserve"> Laekvere Lasteaed</v>
      </c>
      <c r="D347" s="39" t="str">
        <f>VLOOKUP(Table110[[#This Row],[Tegevusala]],Table4[[Tegevusala kood]:[Tegevusala alanimetus]],4,FALSE)</f>
        <v>Alusharidus</v>
      </c>
      <c r="E347" s="38" t="str">
        <f>VLOOKUP(C347,Table4[[Tegevusala nimetus]:[Tegevusala koondnimetus]],2,FALSE)</f>
        <v>Haridus</v>
      </c>
      <c r="F347" s="38" t="s">
        <v>1870</v>
      </c>
      <c r="G347" s="38" t="s">
        <v>1398</v>
      </c>
      <c r="H347" s="38">
        <v>0</v>
      </c>
      <c r="I347" s="38"/>
      <c r="J347" s="38">
        <v>853</v>
      </c>
      <c r="K347" s="38">
        <f t="shared" si="17"/>
        <v>0</v>
      </c>
      <c r="L347" s="38">
        <v>12</v>
      </c>
      <c r="M347" s="38"/>
      <c r="N347" s="45">
        <f>(K347*Table110[[#This Row],[Ühik2]])+M347</f>
        <v>0</v>
      </c>
      <c r="O347" s="45">
        <f>Table110[[#This Row],[2020. EA ]]*0.338</f>
        <v>0</v>
      </c>
      <c r="P347" s="38"/>
    </row>
    <row r="348" spans="1:16" x14ac:dyDescent="0.25">
      <c r="A348" s="91" t="str">
        <f t="shared" si="16"/>
        <v>09</v>
      </c>
      <c r="B348" s="92" t="s">
        <v>335</v>
      </c>
      <c r="C348" s="91" t="str">
        <f>VLOOKUP(B348,Table4[],2,FALSE)</f>
        <v xml:space="preserve"> Laekvere Lasteaed</v>
      </c>
      <c r="D348" s="95" t="str">
        <f>VLOOKUP(Table110[[#This Row],[Tegevusala]],Table4[[Tegevusala kood]:[Tegevusala alanimetus]],4,FALSE)</f>
        <v>Alusharidus</v>
      </c>
      <c r="E348" s="91" t="str">
        <f>VLOOKUP(C348,Table4[[Tegevusala nimetus]:[Tegevusala koondnimetus]],2,FALSE)</f>
        <v>Haridus</v>
      </c>
      <c r="F348" s="91" t="s">
        <v>1870</v>
      </c>
      <c r="G348" s="91" t="s">
        <v>1403</v>
      </c>
      <c r="H348" s="91">
        <v>0</v>
      </c>
      <c r="I348" s="91"/>
      <c r="J348" s="91">
        <v>584</v>
      </c>
      <c r="K348" s="91">
        <f t="shared" si="17"/>
        <v>0</v>
      </c>
      <c r="L348" s="91">
        <v>12</v>
      </c>
      <c r="M348" s="91"/>
      <c r="N348" s="93">
        <f>(K348*Table110[[#This Row],[Ühik2]])+M348</f>
        <v>0</v>
      </c>
      <c r="O348" s="93">
        <f>Table110[[#This Row],[2020. EA ]]*0.338</f>
        <v>0</v>
      </c>
      <c r="P348" s="91"/>
    </row>
    <row r="349" spans="1:16" x14ac:dyDescent="0.25">
      <c r="A349" s="38" t="str">
        <f t="shared" si="16"/>
        <v>09</v>
      </c>
      <c r="B349" s="33" t="s">
        <v>335</v>
      </c>
      <c r="C349" s="38" t="str">
        <f>VLOOKUP(B349,Table4[],2,FALSE)</f>
        <v xml:space="preserve"> Laekvere Lasteaed</v>
      </c>
      <c r="D349" s="39" t="str">
        <f>VLOOKUP(Table110[[#This Row],[Tegevusala]],Table4[[Tegevusala kood]:[Tegevusala alanimetus]],4,FALSE)</f>
        <v>Alusharidus</v>
      </c>
      <c r="E349" s="38" t="str">
        <f>VLOOKUP(C349,Table4[[Tegevusala nimetus]:[Tegevusala koondnimetus]],2,FALSE)</f>
        <v>Haridus</v>
      </c>
      <c r="F349" s="38" t="s">
        <v>1870</v>
      </c>
      <c r="G349" s="38" t="s">
        <v>1892</v>
      </c>
      <c r="H349" s="38">
        <v>0</v>
      </c>
      <c r="I349" s="38"/>
      <c r="J349" s="38">
        <v>664</v>
      </c>
      <c r="K349" s="38">
        <f t="shared" si="17"/>
        <v>0</v>
      </c>
      <c r="L349" s="38">
        <v>12</v>
      </c>
      <c r="M349" s="38"/>
      <c r="N349" s="45">
        <f>(K349*Table110[[#This Row],[Ühik2]])+M349</f>
        <v>0</v>
      </c>
      <c r="O349" s="45">
        <f>Table110[[#This Row],[2020. EA ]]*0.338</f>
        <v>0</v>
      </c>
      <c r="P349" s="38"/>
    </row>
    <row r="350" spans="1:16" x14ac:dyDescent="0.25">
      <c r="A350" s="14" t="str">
        <f t="shared" si="16"/>
        <v>09</v>
      </c>
      <c r="B350" t="s">
        <v>340</v>
      </c>
      <c r="C350" s="14" t="str">
        <f>VLOOKUP(B350,Table4[],2,FALSE)</f>
        <v xml:space="preserve"> Muuga-laekvere kool-Laekvere õppehoone</v>
      </c>
      <c r="D350" s="39" t="str">
        <f>VLOOKUP(Table110[[#This Row],[Tegevusala]],Table4[[Tegevusala kood]:[Tegevusala alanimetus]],4,FALSE)</f>
        <v>Põhihariduse otsekulud</v>
      </c>
      <c r="E350" s="14" t="str">
        <f>VLOOKUP(C350,Table4[[Tegevusala nimetus]:[Tegevusala koondnimetus]],2,FALSE)</f>
        <v>Haridus</v>
      </c>
      <c r="F350" s="14" t="s">
        <v>1870</v>
      </c>
      <c r="G350" s="14" t="s">
        <v>1886</v>
      </c>
      <c r="H350" s="14">
        <v>0.5</v>
      </c>
      <c r="I350" s="14"/>
      <c r="J350" s="14">
        <v>1250</v>
      </c>
      <c r="K350" s="14">
        <f t="shared" si="17"/>
        <v>625</v>
      </c>
      <c r="L350" s="14">
        <v>12</v>
      </c>
      <c r="M350" s="14"/>
      <c r="N350" s="44">
        <f>(K350*Table110[[#This Row],[Ühik2]])+M350</f>
        <v>7500</v>
      </c>
      <c r="O350" s="44">
        <f>Table110[[#This Row],[2020. EA ]]*0.338</f>
        <v>2535</v>
      </c>
      <c r="P350" s="14"/>
    </row>
    <row r="351" spans="1:16" x14ac:dyDescent="0.25">
      <c r="A351" s="14" t="str">
        <f t="shared" si="16"/>
        <v>09</v>
      </c>
      <c r="B351" t="s">
        <v>340</v>
      </c>
      <c r="C351" s="14" t="str">
        <f>VLOOKUP(B351,Table4[],2,FALSE)</f>
        <v xml:space="preserve"> Muuga-laekvere kool-Laekvere õppehoone</v>
      </c>
      <c r="D351" s="39" t="str">
        <f>VLOOKUP(Table110[[#This Row],[Tegevusala]],Table4[[Tegevusala kood]:[Tegevusala alanimetus]],4,FALSE)</f>
        <v>Põhihariduse otsekulud</v>
      </c>
      <c r="E351" s="14" t="str">
        <f>VLOOKUP(C351,Table4[[Tegevusala nimetus]:[Tegevusala koondnimetus]],2,FALSE)</f>
        <v>Haridus</v>
      </c>
      <c r="F351" s="14" t="s">
        <v>1870</v>
      </c>
      <c r="G351" s="14" t="s">
        <v>1311</v>
      </c>
      <c r="H351" s="14">
        <v>0.25</v>
      </c>
      <c r="I351" s="14"/>
      <c r="J351" s="14">
        <v>1250</v>
      </c>
      <c r="K351" s="14">
        <f t="shared" si="17"/>
        <v>312.5</v>
      </c>
      <c r="L351" s="14">
        <v>12</v>
      </c>
      <c r="M351" s="14"/>
      <c r="N351" s="44">
        <f>(K351*Table110[[#This Row],[Ühik2]])+M351</f>
        <v>3750</v>
      </c>
      <c r="O351" s="44">
        <f>Table110[[#This Row],[2020. EA ]]*0.338</f>
        <v>1267.5</v>
      </c>
      <c r="P351" s="14"/>
    </row>
    <row r="352" spans="1:16" x14ac:dyDescent="0.25">
      <c r="A352" s="14" t="str">
        <f t="shared" si="16"/>
        <v>09</v>
      </c>
      <c r="B352" t="s">
        <v>340</v>
      </c>
      <c r="C352" s="14" t="str">
        <f>VLOOKUP(B352,Table4[],2,FALSE)</f>
        <v xml:space="preserve"> Muuga-laekvere kool-Laekvere õppehoone</v>
      </c>
      <c r="D352" s="39" t="str">
        <f>VLOOKUP(Table110[[#This Row],[Tegevusala]],Table4[[Tegevusala kood]:[Tegevusala alanimetus]],4,FALSE)</f>
        <v>Põhihariduse otsekulud</v>
      </c>
      <c r="E352" s="14" t="str">
        <f>VLOOKUP(C352,Table4[[Tegevusala nimetus]:[Tegevusala koondnimetus]],2,FALSE)</f>
        <v>Haridus</v>
      </c>
      <c r="F352" s="14" t="s">
        <v>1870</v>
      </c>
      <c r="G352" s="14" t="s">
        <v>1270</v>
      </c>
      <c r="H352" s="14">
        <v>0</v>
      </c>
      <c r="I352" s="14"/>
      <c r="J352" s="14">
        <v>702</v>
      </c>
      <c r="K352" s="14">
        <f t="shared" si="17"/>
        <v>0</v>
      </c>
      <c r="L352" s="14">
        <v>12</v>
      </c>
      <c r="M352" s="14"/>
      <c r="N352" s="44">
        <f>(K352*Table110[[#This Row],[Ühik2]])+M352</f>
        <v>0</v>
      </c>
      <c r="O352" s="44">
        <f>Table110[[#This Row],[2020. EA ]]*0.338</f>
        <v>0</v>
      </c>
      <c r="P352" s="14"/>
    </row>
    <row r="353" spans="1:16" x14ac:dyDescent="0.25">
      <c r="A353" s="14" t="str">
        <f t="shared" si="16"/>
        <v>09</v>
      </c>
      <c r="B353" t="s">
        <v>340</v>
      </c>
      <c r="C353" s="14" t="str">
        <f>VLOOKUP(B353,Table4[],2,FALSE)</f>
        <v xml:space="preserve"> Muuga-laekvere kool-Laekvere õppehoone</v>
      </c>
      <c r="D353" s="39" t="str">
        <f>VLOOKUP(Table110[[#This Row],[Tegevusala]],Table4[[Tegevusala kood]:[Tegevusala alanimetus]],4,FALSE)</f>
        <v>Põhihariduse otsekulud</v>
      </c>
      <c r="E353" s="14" t="str">
        <f>VLOOKUP(C353,Table4[[Tegevusala nimetus]:[Tegevusala koondnimetus]],2,FALSE)</f>
        <v>Haridus</v>
      </c>
      <c r="F353" s="14" t="s">
        <v>1870</v>
      </c>
      <c r="G353" s="14" t="s">
        <v>1887</v>
      </c>
      <c r="H353" s="14">
        <v>0</v>
      </c>
      <c r="I353" s="14"/>
      <c r="J353" s="14">
        <v>702</v>
      </c>
      <c r="K353" s="14">
        <f t="shared" si="17"/>
        <v>0</v>
      </c>
      <c r="L353" s="14">
        <v>12</v>
      </c>
      <c r="M353" s="14"/>
      <c r="N353" s="44">
        <f>(K353*Table110[[#This Row],[Ühik2]])+M353</f>
        <v>0</v>
      </c>
      <c r="O353" s="44">
        <f>Table110[[#This Row],[2020. EA ]]*0.338</f>
        <v>0</v>
      </c>
      <c r="P353" s="14"/>
    </row>
    <row r="354" spans="1:16" x14ac:dyDescent="0.25">
      <c r="A354" s="14" t="str">
        <f t="shared" si="16"/>
        <v>09</v>
      </c>
      <c r="B354" t="s">
        <v>340</v>
      </c>
      <c r="C354" s="14" t="str">
        <f>VLOOKUP(B354,Table4[],2,FALSE)</f>
        <v xml:space="preserve"> Muuga-laekvere kool-Laekvere õppehoone</v>
      </c>
      <c r="D354" s="39" t="str">
        <f>VLOOKUP(Table110[[#This Row],[Tegevusala]],Table4[[Tegevusala kood]:[Tegevusala alanimetus]],4,FALSE)</f>
        <v>Põhihariduse otsekulud</v>
      </c>
      <c r="E354" s="14" t="str">
        <f>VLOOKUP(C354,Table4[[Tegevusala nimetus]:[Tegevusala koondnimetus]],2,FALSE)</f>
        <v>Haridus</v>
      </c>
      <c r="F354" s="14" t="s">
        <v>1870</v>
      </c>
      <c r="G354" s="14" t="s">
        <v>1888</v>
      </c>
      <c r="H354" s="14">
        <v>0</v>
      </c>
      <c r="I354" s="14"/>
      <c r="J354" s="14">
        <v>1000</v>
      </c>
      <c r="K354" s="14">
        <f t="shared" si="17"/>
        <v>0</v>
      </c>
      <c r="L354" s="14">
        <v>12</v>
      </c>
      <c r="M354" s="14"/>
      <c r="N354" s="44">
        <f>(K354*Table110[[#This Row],[Ühik2]])+M354</f>
        <v>0</v>
      </c>
      <c r="O354" s="44">
        <f>Table110[[#This Row],[2020. EA ]]*0.338</f>
        <v>0</v>
      </c>
      <c r="P354" s="14"/>
    </row>
    <row r="355" spans="1:16" x14ac:dyDescent="0.25">
      <c r="A355" s="14" t="str">
        <f t="shared" si="16"/>
        <v>09</v>
      </c>
      <c r="B355" t="s">
        <v>340</v>
      </c>
      <c r="C355" s="14" t="str">
        <f>VLOOKUP(B355,Table4[],2,FALSE)</f>
        <v xml:space="preserve"> Muuga-laekvere kool-Laekvere õppehoone</v>
      </c>
      <c r="D355" s="39" t="str">
        <f>VLOOKUP(Table110[[#This Row],[Tegevusala]],Table4[[Tegevusala kood]:[Tegevusala alanimetus]],4,FALSE)</f>
        <v>Põhihariduse otsekulud</v>
      </c>
      <c r="E355" s="14" t="str">
        <f>VLOOKUP(C355,Table4[[Tegevusala nimetus]:[Tegevusala koondnimetus]],2,FALSE)</f>
        <v>Haridus</v>
      </c>
      <c r="F355" s="14" t="s">
        <v>1870</v>
      </c>
      <c r="G355" s="14" t="s">
        <v>1889</v>
      </c>
      <c r="H355" s="14">
        <v>0.7</v>
      </c>
      <c r="I355" s="14"/>
      <c r="J355" s="14">
        <v>756</v>
      </c>
      <c r="K355" s="14">
        <f t="shared" si="17"/>
        <v>529.19999999999993</v>
      </c>
      <c r="L355" s="37">
        <v>10</v>
      </c>
      <c r="M355" s="14"/>
      <c r="N355" s="44">
        <f>(K355*Table110[[#This Row],[Ühik2]])+M355</f>
        <v>5291.9999999999991</v>
      </c>
      <c r="O355" s="44">
        <f>Table110[[#This Row],[2020. EA ]]*0.338</f>
        <v>1788.6959999999999</v>
      </c>
      <c r="P355" s="14"/>
    </row>
    <row r="356" spans="1:16" x14ac:dyDescent="0.25">
      <c r="A356" s="91" t="str">
        <f t="shared" si="16"/>
        <v>09</v>
      </c>
      <c r="B356" s="92" t="s">
        <v>340</v>
      </c>
      <c r="C356" s="91" t="str">
        <f>VLOOKUP(B356,Table4[],2,FALSE)</f>
        <v xml:space="preserve"> Muuga-laekvere kool-Laekvere õppehoone</v>
      </c>
      <c r="D356" s="95" t="str">
        <f>VLOOKUP(Table110[[#This Row],[Tegevusala]],Table4[[Tegevusala kood]:[Tegevusala alanimetus]],4,FALSE)</f>
        <v>Põhihariduse otsekulud</v>
      </c>
      <c r="E356" s="91" t="str">
        <f>VLOOKUP(C356,Table4[[Tegevusala nimetus]:[Tegevusala koondnimetus]],2,FALSE)</f>
        <v>Haridus</v>
      </c>
      <c r="F356" s="91" t="s">
        <v>1870</v>
      </c>
      <c r="G356" s="91" t="s">
        <v>1402</v>
      </c>
      <c r="H356" s="91">
        <v>2</v>
      </c>
      <c r="I356" s="91"/>
      <c r="J356" s="91">
        <v>584</v>
      </c>
      <c r="K356" s="91">
        <f t="shared" si="17"/>
        <v>1168</v>
      </c>
      <c r="L356" s="91">
        <v>12</v>
      </c>
      <c r="M356" s="91"/>
      <c r="N356" s="93">
        <f>(K356*Table110[[#This Row],[Ühik2]])+M356</f>
        <v>14016</v>
      </c>
      <c r="O356" s="93">
        <f>Table110[[#This Row],[2020. EA ]]*0.338</f>
        <v>4737.4080000000004</v>
      </c>
      <c r="P356" s="91"/>
    </row>
    <row r="357" spans="1:16" x14ac:dyDescent="0.25">
      <c r="A357" s="91" t="str">
        <f t="shared" si="16"/>
        <v>09</v>
      </c>
      <c r="B357" s="92" t="s">
        <v>340</v>
      </c>
      <c r="C357" s="91" t="str">
        <f>VLOOKUP(B357,Table4[],2,FALSE)</f>
        <v xml:space="preserve"> Muuga-laekvere kool-Laekvere õppehoone</v>
      </c>
      <c r="D357" s="95" t="str">
        <f>VLOOKUP(Table110[[#This Row],[Tegevusala]],Table4[[Tegevusala kood]:[Tegevusala alanimetus]],4,FALSE)</f>
        <v>Põhihariduse otsekulud</v>
      </c>
      <c r="E357" s="91" t="str">
        <f>VLOOKUP(C357,Table4[[Tegevusala nimetus]:[Tegevusala koondnimetus]],2,FALSE)</f>
        <v>Haridus</v>
      </c>
      <c r="F357" s="91" t="s">
        <v>1870</v>
      </c>
      <c r="G357" s="91" t="s">
        <v>479</v>
      </c>
      <c r="H357" s="91">
        <v>0</v>
      </c>
      <c r="I357" s="91"/>
      <c r="J357" s="91">
        <v>584</v>
      </c>
      <c r="K357" s="91">
        <f t="shared" si="17"/>
        <v>0</v>
      </c>
      <c r="L357" s="91">
        <v>12</v>
      </c>
      <c r="M357" s="91"/>
      <c r="N357" s="93">
        <f>(K357*Table110[[#This Row],[Ühik2]])+M357</f>
        <v>0</v>
      </c>
      <c r="O357" s="93">
        <f>Table110[[#This Row],[2020. EA ]]*0.338</f>
        <v>0</v>
      </c>
      <c r="P357" s="91"/>
    </row>
    <row r="358" spans="1:16" x14ac:dyDescent="0.25">
      <c r="A358" s="14" t="str">
        <f t="shared" si="16"/>
        <v>09</v>
      </c>
      <c r="B358" t="s">
        <v>340</v>
      </c>
      <c r="C358" s="14" t="str">
        <f>VLOOKUP(B358,Table4[],2,FALSE)</f>
        <v xml:space="preserve"> Muuga-laekvere kool-Laekvere õppehoone</v>
      </c>
      <c r="D358" s="39" t="str">
        <f>VLOOKUP(Table110[[#This Row],[Tegevusala]],Table4[[Tegevusala kood]:[Tegevusala alanimetus]],4,FALSE)</f>
        <v>Põhihariduse otsekulud</v>
      </c>
      <c r="E358" s="14" t="str">
        <f>VLOOKUP(C358,Table4[[Tegevusala nimetus]:[Tegevusala koondnimetus]],2,FALSE)</f>
        <v>Haridus</v>
      </c>
      <c r="F358" s="14" t="s">
        <v>1870</v>
      </c>
      <c r="G358" s="14" t="s">
        <v>1372</v>
      </c>
      <c r="H358" s="14">
        <v>1</v>
      </c>
      <c r="I358" s="14"/>
      <c r="J358" s="14">
        <v>805</v>
      </c>
      <c r="K358" s="14">
        <f t="shared" si="17"/>
        <v>805</v>
      </c>
      <c r="L358" s="14">
        <v>12</v>
      </c>
      <c r="M358" s="14"/>
      <c r="N358" s="44">
        <f>(K358*Table110[[#This Row],[Ühik2]])+M358</f>
        <v>9660</v>
      </c>
      <c r="O358" s="44">
        <f>Table110[[#This Row],[2020. EA ]]*0.338</f>
        <v>3265.0800000000004</v>
      </c>
      <c r="P358" s="14"/>
    </row>
    <row r="359" spans="1:16" x14ac:dyDescent="0.25">
      <c r="A359" s="14" t="str">
        <f t="shared" si="16"/>
        <v>09</v>
      </c>
      <c r="B359" t="s">
        <v>340</v>
      </c>
      <c r="C359" s="14" t="str">
        <f>VLOOKUP(B359,Table4[],2,FALSE)</f>
        <v xml:space="preserve"> Muuga-laekvere kool-Laekvere õppehoone</v>
      </c>
      <c r="D359" s="39" t="str">
        <f>VLOOKUP(Table110[[#This Row],[Tegevusala]],Table4[[Tegevusala kood]:[Tegevusala alanimetus]],4,FALSE)</f>
        <v>Põhihariduse otsekulud</v>
      </c>
      <c r="E359" s="14" t="str">
        <f>VLOOKUP(C359,Table4[[Tegevusala nimetus]:[Tegevusala koondnimetus]],2,FALSE)</f>
        <v>Haridus</v>
      </c>
      <c r="F359" s="14" t="s">
        <v>1870</v>
      </c>
      <c r="G359" s="14" t="s">
        <v>1890</v>
      </c>
      <c r="H359" s="14">
        <v>0</v>
      </c>
      <c r="I359" s="14"/>
      <c r="J359" s="14">
        <v>691</v>
      </c>
      <c r="K359" s="14">
        <f t="shared" si="17"/>
        <v>0</v>
      </c>
      <c r="L359" s="14">
        <v>12</v>
      </c>
      <c r="M359" s="14"/>
      <c r="N359" s="44">
        <f>(K359*Table110[[#This Row],[Ühik2]])+M359</f>
        <v>0</v>
      </c>
      <c r="O359" s="44">
        <f>Table110[[#This Row],[2020. EA ]]*0.338</f>
        <v>0</v>
      </c>
      <c r="P359" s="14"/>
    </row>
    <row r="360" spans="1:16" x14ac:dyDescent="0.25">
      <c r="A360" s="14" t="str">
        <f t="shared" si="16"/>
        <v>09</v>
      </c>
      <c r="B360" t="s">
        <v>340</v>
      </c>
      <c r="C360" s="14" t="str">
        <f>VLOOKUP(B360,Table4[],2,FALSE)</f>
        <v xml:space="preserve"> Muuga-laekvere kool-Laekvere õppehoone</v>
      </c>
      <c r="D360" s="39" t="str">
        <f>VLOOKUP(Table110[[#This Row],[Tegevusala]],Table4[[Tegevusala kood]:[Tegevusala alanimetus]],4,FALSE)</f>
        <v>Põhihariduse otsekulud</v>
      </c>
      <c r="E360" s="14" t="str">
        <f>VLOOKUP(C360,Table4[[Tegevusala nimetus]:[Tegevusala koondnimetus]],2,FALSE)</f>
        <v>Haridus</v>
      </c>
      <c r="F360" s="14" t="s">
        <v>1870</v>
      </c>
      <c r="G360" s="14" t="s">
        <v>484</v>
      </c>
      <c r="H360" s="14">
        <v>1</v>
      </c>
      <c r="I360" s="14"/>
      <c r="J360" s="14">
        <v>724</v>
      </c>
      <c r="K360" s="14">
        <f t="shared" si="17"/>
        <v>724</v>
      </c>
      <c r="L360" s="14">
        <v>12</v>
      </c>
      <c r="M360" s="14"/>
      <c r="N360" s="44">
        <f>(K360*Table110[[#This Row],[Ühik2]])+M360</f>
        <v>8688</v>
      </c>
      <c r="O360" s="44">
        <f>Table110[[#This Row],[2020. EA ]]*0.338</f>
        <v>2936.5440000000003</v>
      </c>
      <c r="P360" s="14"/>
    </row>
    <row r="361" spans="1:16" x14ac:dyDescent="0.25">
      <c r="A361" s="14" t="str">
        <f t="shared" si="16"/>
        <v>09</v>
      </c>
      <c r="B361" t="s">
        <v>340</v>
      </c>
      <c r="C361" s="14" t="str">
        <f>VLOOKUP(B361,Table4[],2,FALSE)</f>
        <v xml:space="preserve"> Muuga-laekvere kool-Laekvere õppehoone</v>
      </c>
      <c r="D361" s="39" t="str">
        <f>VLOOKUP(Table110[[#This Row],[Tegevusala]],Table4[[Tegevusala kood]:[Tegevusala alanimetus]],4,FALSE)</f>
        <v>Põhihariduse otsekulud</v>
      </c>
      <c r="E361" s="14" t="str">
        <f>VLOOKUP(C361,Table4[[Tegevusala nimetus]:[Tegevusala koondnimetus]],2,FALSE)</f>
        <v>Haridus</v>
      </c>
      <c r="F361" s="14" t="s">
        <v>1870</v>
      </c>
      <c r="G361" s="14" t="s">
        <v>484</v>
      </c>
      <c r="H361" s="14">
        <v>0</v>
      </c>
      <c r="I361" s="14"/>
      <c r="J361" s="14">
        <v>632</v>
      </c>
      <c r="K361" s="14">
        <f t="shared" si="17"/>
        <v>0</v>
      </c>
      <c r="L361" s="14">
        <v>12</v>
      </c>
      <c r="M361" s="14"/>
      <c r="N361" s="44">
        <f>(K361*Table110[[#This Row],[Ühik2]])+M361</f>
        <v>0</v>
      </c>
      <c r="O361" s="44">
        <f>Table110[[#This Row],[2020. EA ]]*0.338</f>
        <v>0</v>
      </c>
      <c r="P361" s="14"/>
    </row>
    <row r="362" spans="1:16" x14ac:dyDescent="0.25">
      <c r="A362" s="14" t="str">
        <f t="shared" si="16"/>
        <v>09</v>
      </c>
      <c r="B362" t="s">
        <v>340</v>
      </c>
      <c r="C362" s="14" t="str">
        <f>VLOOKUP(B362,Table4[],2,FALSE)</f>
        <v xml:space="preserve"> Muuga-laekvere kool-Laekvere õppehoone</v>
      </c>
      <c r="D362" s="39" t="str">
        <f>VLOOKUP(Table110[[#This Row],[Tegevusala]],Table4[[Tegevusala kood]:[Tegevusala alanimetus]],4,FALSE)</f>
        <v>Põhihariduse otsekulud</v>
      </c>
      <c r="E362" s="14" t="str">
        <f>VLOOKUP(C362,Table4[[Tegevusala nimetus]:[Tegevusala koondnimetus]],2,FALSE)</f>
        <v>Haridus</v>
      </c>
      <c r="F362" s="14" t="s">
        <v>1870</v>
      </c>
      <c r="G362" s="14" t="s">
        <v>1891</v>
      </c>
      <c r="H362" s="14">
        <v>1</v>
      </c>
      <c r="I362" s="14"/>
      <c r="J362" s="14">
        <v>632</v>
      </c>
      <c r="K362" s="14">
        <f t="shared" si="17"/>
        <v>632</v>
      </c>
      <c r="L362" s="14">
        <v>12</v>
      </c>
      <c r="M362" s="14"/>
      <c r="N362" s="44">
        <f>(K362*Table110[[#This Row],[Ühik2]])+M362</f>
        <v>7584</v>
      </c>
      <c r="O362" s="44">
        <f>Table110[[#This Row],[2020. EA ]]*0.338</f>
        <v>2563.3920000000003</v>
      </c>
      <c r="P362" s="14"/>
    </row>
    <row r="363" spans="1:16" x14ac:dyDescent="0.25">
      <c r="A363" s="14" t="str">
        <f t="shared" si="16"/>
        <v>09</v>
      </c>
      <c r="B363" t="s">
        <v>340</v>
      </c>
      <c r="C363" s="14" t="str">
        <f>VLOOKUP(B363,Table4[],2,FALSE)</f>
        <v xml:space="preserve"> Muuga-laekvere kool-Laekvere õppehoone</v>
      </c>
      <c r="D363" s="39" t="str">
        <f>VLOOKUP(Table110[[#This Row],[Tegevusala]],Table4[[Tegevusala kood]:[Tegevusala alanimetus]],4,FALSE)</f>
        <v>Põhihariduse otsekulud</v>
      </c>
      <c r="E363" s="14" t="str">
        <f>VLOOKUP(C363,Table4[[Tegevusala nimetus]:[Tegevusala koondnimetus]],2,FALSE)</f>
        <v>Haridus</v>
      </c>
      <c r="F363" s="14" t="s">
        <v>1870</v>
      </c>
      <c r="G363" s="14" t="s">
        <v>1398</v>
      </c>
      <c r="H363" s="14">
        <v>0</v>
      </c>
      <c r="I363" s="14"/>
      <c r="J363" s="14">
        <v>853</v>
      </c>
      <c r="K363" s="14">
        <f t="shared" si="17"/>
        <v>0</v>
      </c>
      <c r="L363" s="14">
        <v>12</v>
      </c>
      <c r="M363" s="14"/>
      <c r="N363" s="44">
        <f>(K363*Table110[[#This Row],[Ühik2]])+M363</f>
        <v>0</v>
      </c>
      <c r="O363" s="44">
        <f>Table110[[#This Row],[2020. EA ]]*0.338</f>
        <v>0</v>
      </c>
      <c r="P363" s="14"/>
    </row>
    <row r="364" spans="1:16" x14ac:dyDescent="0.25">
      <c r="A364" s="91" t="str">
        <f t="shared" si="16"/>
        <v>09</v>
      </c>
      <c r="B364" s="92" t="s">
        <v>340</v>
      </c>
      <c r="C364" s="91" t="str">
        <f>VLOOKUP(B364,Table4[],2,FALSE)</f>
        <v xml:space="preserve"> Muuga-laekvere kool-Laekvere õppehoone</v>
      </c>
      <c r="D364" s="95" t="str">
        <f>VLOOKUP(Table110[[#This Row],[Tegevusala]],Table4[[Tegevusala kood]:[Tegevusala alanimetus]],4,FALSE)</f>
        <v>Põhihariduse otsekulud</v>
      </c>
      <c r="E364" s="91" t="str">
        <f>VLOOKUP(C364,Table4[[Tegevusala nimetus]:[Tegevusala koondnimetus]],2,FALSE)</f>
        <v>Haridus</v>
      </c>
      <c r="F364" s="91" t="s">
        <v>1870</v>
      </c>
      <c r="G364" s="91" t="s">
        <v>1403</v>
      </c>
      <c r="H364" s="91">
        <v>0.3</v>
      </c>
      <c r="I364" s="91"/>
      <c r="J364" s="91">
        <v>584</v>
      </c>
      <c r="K364" s="91">
        <f t="shared" si="17"/>
        <v>175.2</v>
      </c>
      <c r="L364" s="91">
        <v>12</v>
      </c>
      <c r="M364" s="91"/>
      <c r="N364" s="93">
        <f>(K364*Table110[[#This Row],[Ühik2]])+M364</f>
        <v>2102.3999999999996</v>
      </c>
      <c r="O364" s="93">
        <f>Table110[[#This Row],[2020. EA ]]*0.338</f>
        <v>710.61119999999994</v>
      </c>
      <c r="P364" s="91"/>
    </row>
    <row r="365" spans="1:16" x14ac:dyDescent="0.25">
      <c r="A365" s="14" t="str">
        <f t="shared" si="16"/>
        <v>09</v>
      </c>
      <c r="B365" t="s">
        <v>340</v>
      </c>
      <c r="C365" s="14" t="str">
        <f>VLOOKUP(B365,Table4[],2,FALSE)</f>
        <v xml:space="preserve"> Muuga-laekvere kool-Laekvere õppehoone</v>
      </c>
      <c r="D365" s="39" t="str">
        <f>VLOOKUP(Table110[[#This Row],[Tegevusala]],Table4[[Tegevusala kood]:[Tegevusala alanimetus]],4,FALSE)</f>
        <v>Põhihariduse otsekulud</v>
      </c>
      <c r="E365" s="14" t="str">
        <f>VLOOKUP(C365,Table4[[Tegevusala nimetus]:[Tegevusala koondnimetus]],2,FALSE)</f>
        <v>Haridus</v>
      </c>
      <c r="F365" s="14" t="s">
        <v>1870</v>
      </c>
      <c r="G365" s="14" t="s">
        <v>1892</v>
      </c>
      <c r="H365" s="14">
        <v>1.29</v>
      </c>
      <c r="I365" s="14"/>
      <c r="J365" s="14">
        <v>664</v>
      </c>
      <c r="K365" s="14">
        <f t="shared" si="17"/>
        <v>856.56000000000006</v>
      </c>
      <c r="L365" s="14">
        <v>9</v>
      </c>
      <c r="M365" s="14"/>
      <c r="N365" s="44">
        <f>(K365*Table110[[#This Row],[Ühik2]])+M365</f>
        <v>7709.0400000000009</v>
      </c>
      <c r="O365" s="44">
        <f>Table110[[#This Row],[2020. EA ]]*0.338</f>
        <v>2605.6555200000003</v>
      </c>
      <c r="P365" s="14"/>
    </row>
    <row r="366" spans="1:16" x14ac:dyDescent="0.25">
      <c r="A366" s="14" t="str">
        <f t="shared" si="16"/>
        <v>09</v>
      </c>
      <c r="B366" s="49" t="s">
        <v>341</v>
      </c>
      <c r="C366" s="14" t="str">
        <f>VLOOKUP(B366,Table4[],2,FALSE)</f>
        <v xml:space="preserve"> Muuga Laekvere kool-Muuga õppehoone</v>
      </c>
      <c r="D366" s="39" t="str">
        <f>VLOOKUP(Table110[[#This Row],[Tegevusala]],Table4[[Tegevusala kood]:[Tegevusala alanimetus]],4,FALSE)</f>
        <v>Põhihariduse otsekulud</v>
      </c>
      <c r="E366" s="14" t="str">
        <f>VLOOKUP(C366,Table4[[Tegevusala nimetus]:[Tegevusala koondnimetus]],2,FALSE)</f>
        <v>Haridus</v>
      </c>
      <c r="F366" s="14" t="s">
        <v>1870</v>
      </c>
      <c r="G366" s="14" t="s">
        <v>1886</v>
      </c>
      <c r="H366" s="14">
        <v>0.25</v>
      </c>
      <c r="I366" s="14"/>
      <c r="J366" s="14">
        <v>1250</v>
      </c>
      <c r="K366" s="14">
        <f t="shared" si="17"/>
        <v>312.5</v>
      </c>
      <c r="L366" s="14">
        <v>12</v>
      </c>
      <c r="M366" s="14"/>
      <c r="N366" s="44">
        <f>(K366*Table110[[#This Row],[Ühik2]])+M366</f>
        <v>3750</v>
      </c>
      <c r="O366" s="44">
        <f>Table110[[#This Row],[2020. EA ]]*0.338</f>
        <v>1267.5</v>
      </c>
      <c r="P366" s="14"/>
    </row>
    <row r="367" spans="1:16" x14ac:dyDescent="0.25">
      <c r="A367" s="14" t="str">
        <f t="shared" ref="A367:A387" si="18">LEFT(B367,2)</f>
        <v>09</v>
      </c>
      <c r="B367" s="49" t="s">
        <v>341</v>
      </c>
      <c r="C367" s="14" t="str">
        <f>VLOOKUP(B367,Table4[],2,FALSE)</f>
        <v xml:space="preserve"> Muuga Laekvere kool-Muuga õppehoone</v>
      </c>
      <c r="D367" s="39" t="str">
        <f>VLOOKUP(Table110[[#This Row],[Tegevusala]],Table4[[Tegevusala kood]:[Tegevusala alanimetus]],4,FALSE)</f>
        <v>Põhihariduse otsekulud</v>
      </c>
      <c r="E367" s="14" t="str">
        <f>VLOOKUP(C367,Table4[[Tegevusala nimetus]:[Tegevusala koondnimetus]],2,FALSE)</f>
        <v>Haridus</v>
      </c>
      <c r="F367" s="14" t="s">
        <v>1870</v>
      </c>
      <c r="G367" s="14" t="s">
        <v>1311</v>
      </c>
      <c r="H367" s="14">
        <v>0.25</v>
      </c>
      <c r="I367" s="14"/>
      <c r="J367" s="14">
        <v>1250</v>
      </c>
      <c r="K367" s="14">
        <f t="shared" si="17"/>
        <v>312.5</v>
      </c>
      <c r="L367" s="14">
        <v>12</v>
      </c>
      <c r="M367" s="14"/>
      <c r="N367" s="44">
        <f>(K367*Table110[[#This Row],[Ühik2]])+M367</f>
        <v>3750</v>
      </c>
      <c r="O367" s="44">
        <f>Table110[[#This Row],[2020. EA ]]*0.338</f>
        <v>1267.5</v>
      </c>
      <c r="P367" s="14"/>
    </row>
    <row r="368" spans="1:16" x14ac:dyDescent="0.25">
      <c r="A368" s="14" t="str">
        <f t="shared" si="18"/>
        <v>09</v>
      </c>
      <c r="B368" s="49" t="s">
        <v>341</v>
      </c>
      <c r="C368" s="14" t="str">
        <f>VLOOKUP(B368,Table4[],2,FALSE)</f>
        <v xml:space="preserve"> Muuga Laekvere kool-Muuga õppehoone</v>
      </c>
      <c r="D368" s="39" t="str">
        <f>VLOOKUP(Table110[[#This Row],[Tegevusala]],Table4[[Tegevusala kood]:[Tegevusala alanimetus]],4,FALSE)</f>
        <v>Põhihariduse otsekulud</v>
      </c>
      <c r="E368" s="14" t="str">
        <f>VLOOKUP(C368,Table4[[Tegevusala nimetus]:[Tegevusala koondnimetus]],2,FALSE)</f>
        <v>Haridus</v>
      </c>
      <c r="F368" s="14" t="s">
        <v>1870</v>
      </c>
      <c r="G368" s="14" t="s">
        <v>1270</v>
      </c>
      <c r="H368" s="14">
        <v>0</v>
      </c>
      <c r="I368" s="14"/>
      <c r="J368" s="14">
        <v>702</v>
      </c>
      <c r="K368" s="14">
        <f t="shared" si="17"/>
        <v>0</v>
      </c>
      <c r="L368" s="14">
        <v>12</v>
      </c>
      <c r="M368" s="14"/>
      <c r="N368" s="44">
        <f>(K368*Table110[[#This Row],[Ühik2]])+M368</f>
        <v>0</v>
      </c>
      <c r="O368" s="44">
        <f>Table110[[#This Row],[2020. EA ]]*0.338</f>
        <v>0</v>
      </c>
      <c r="P368" s="14"/>
    </row>
    <row r="369" spans="1:16" x14ac:dyDescent="0.25">
      <c r="A369" s="14" t="str">
        <f t="shared" si="18"/>
        <v>09</v>
      </c>
      <c r="B369" s="49" t="s">
        <v>341</v>
      </c>
      <c r="C369" s="14" t="str">
        <f>VLOOKUP(B369,Table4[],2,FALSE)</f>
        <v xml:space="preserve"> Muuga Laekvere kool-Muuga õppehoone</v>
      </c>
      <c r="D369" s="39" t="str">
        <f>VLOOKUP(Table110[[#This Row],[Tegevusala]],Table4[[Tegevusala kood]:[Tegevusala alanimetus]],4,FALSE)</f>
        <v>Põhihariduse otsekulud</v>
      </c>
      <c r="E369" s="14" t="str">
        <f>VLOOKUP(C369,Table4[[Tegevusala nimetus]:[Tegevusala koondnimetus]],2,FALSE)</f>
        <v>Haridus</v>
      </c>
      <c r="F369" s="14" t="s">
        <v>1870</v>
      </c>
      <c r="G369" s="14" t="s">
        <v>1887</v>
      </c>
      <c r="H369" s="14">
        <v>0</v>
      </c>
      <c r="I369" s="14"/>
      <c r="J369" s="14">
        <v>702</v>
      </c>
      <c r="K369" s="14">
        <f t="shared" si="17"/>
        <v>0</v>
      </c>
      <c r="L369" s="14">
        <v>12</v>
      </c>
      <c r="M369" s="14"/>
      <c r="N369" s="44">
        <f>(K369*Table110[[#This Row],[Ühik2]])+M369</f>
        <v>0</v>
      </c>
      <c r="O369" s="44">
        <f>Table110[[#This Row],[2020. EA ]]*0.338</f>
        <v>0</v>
      </c>
      <c r="P369" s="14"/>
    </row>
    <row r="370" spans="1:16" x14ac:dyDescent="0.25">
      <c r="A370" s="14" t="str">
        <f t="shared" si="18"/>
        <v>09</v>
      </c>
      <c r="B370" s="49" t="s">
        <v>341</v>
      </c>
      <c r="C370" s="14" t="str">
        <f>VLOOKUP(B370,Table4[],2,FALSE)</f>
        <v xml:space="preserve"> Muuga Laekvere kool-Muuga õppehoone</v>
      </c>
      <c r="D370" s="39" t="str">
        <f>VLOOKUP(Table110[[#This Row],[Tegevusala]],Table4[[Tegevusala kood]:[Tegevusala alanimetus]],4,FALSE)</f>
        <v>Põhihariduse otsekulud</v>
      </c>
      <c r="E370" s="14" t="str">
        <f>VLOOKUP(C370,Table4[[Tegevusala nimetus]:[Tegevusala koondnimetus]],2,FALSE)</f>
        <v>Haridus</v>
      </c>
      <c r="F370" s="14" t="s">
        <v>1870</v>
      </c>
      <c r="G370" s="14" t="s">
        <v>1888</v>
      </c>
      <c r="H370" s="14">
        <v>0</v>
      </c>
      <c r="I370" s="14"/>
      <c r="J370" s="14">
        <v>1000</v>
      </c>
      <c r="K370" s="14">
        <f t="shared" si="17"/>
        <v>0</v>
      </c>
      <c r="L370" s="14">
        <v>12</v>
      </c>
      <c r="M370" s="14"/>
      <c r="N370" s="44">
        <f>(K370*Table110[[#This Row],[Ühik2]])+M370</f>
        <v>0</v>
      </c>
      <c r="O370" s="44">
        <f>Table110[[#This Row],[2020. EA ]]*0.338</f>
        <v>0</v>
      </c>
      <c r="P370" s="14"/>
    </row>
    <row r="371" spans="1:16" x14ac:dyDescent="0.25">
      <c r="A371" s="14" t="str">
        <f t="shared" si="18"/>
        <v>09</v>
      </c>
      <c r="B371" s="49" t="s">
        <v>341</v>
      </c>
      <c r="C371" s="14" t="str">
        <f>VLOOKUP(B371,Table4[],2,FALSE)</f>
        <v xml:space="preserve"> Muuga Laekvere kool-Muuga õppehoone</v>
      </c>
      <c r="D371" s="39" t="str">
        <f>VLOOKUP(Table110[[#This Row],[Tegevusala]],Table4[[Tegevusala kood]:[Tegevusala alanimetus]],4,FALSE)</f>
        <v>Põhihariduse otsekulud</v>
      </c>
      <c r="E371" s="14" t="str">
        <f>VLOOKUP(C371,Table4[[Tegevusala nimetus]:[Tegevusala koondnimetus]],2,FALSE)</f>
        <v>Haridus</v>
      </c>
      <c r="F371" s="14" t="s">
        <v>1870</v>
      </c>
      <c r="G371" s="14" t="s">
        <v>1889</v>
      </c>
      <c r="H371" s="14">
        <v>0.7</v>
      </c>
      <c r="I371" s="14"/>
      <c r="J371" s="14">
        <v>756</v>
      </c>
      <c r="K371" s="14">
        <f t="shared" si="17"/>
        <v>529.19999999999993</v>
      </c>
      <c r="L371" s="14">
        <v>12</v>
      </c>
      <c r="M371" s="14"/>
      <c r="N371" s="44">
        <f>(K371*Table110[[#This Row],[Ühik2]])+M371</f>
        <v>6350.4</v>
      </c>
      <c r="O371" s="44">
        <f>Table110[[#This Row],[2020. EA ]]*0.338</f>
        <v>2146.4351999999999</v>
      </c>
      <c r="P371" s="14"/>
    </row>
    <row r="372" spans="1:16" x14ac:dyDescent="0.25">
      <c r="A372" s="91" t="str">
        <f t="shared" si="18"/>
        <v>09</v>
      </c>
      <c r="B372" s="98" t="s">
        <v>341</v>
      </c>
      <c r="C372" s="91" t="str">
        <f>VLOOKUP(B372,Table4[],2,FALSE)</f>
        <v xml:space="preserve"> Muuga Laekvere kool-Muuga õppehoone</v>
      </c>
      <c r="D372" s="95" t="str">
        <f>VLOOKUP(Table110[[#This Row],[Tegevusala]],Table4[[Tegevusala kood]:[Tegevusala alanimetus]],4,FALSE)</f>
        <v>Põhihariduse otsekulud</v>
      </c>
      <c r="E372" s="91" t="str">
        <f>VLOOKUP(C372,Table4[[Tegevusala nimetus]:[Tegevusala koondnimetus]],2,FALSE)</f>
        <v>Haridus</v>
      </c>
      <c r="F372" s="91" t="s">
        <v>1870</v>
      </c>
      <c r="G372" s="91" t="s">
        <v>1402</v>
      </c>
      <c r="H372" s="91">
        <v>1</v>
      </c>
      <c r="I372" s="91"/>
      <c r="J372" s="91">
        <v>584</v>
      </c>
      <c r="K372" s="91">
        <f t="shared" si="17"/>
        <v>584</v>
      </c>
      <c r="L372" s="91">
        <v>12</v>
      </c>
      <c r="M372" s="91"/>
      <c r="N372" s="93">
        <f>(K372*Table110[[#This Row],[Ühik2]])+M372</f>
        <v>7008</v>
      </c>
      <c r="O372" s="93">
        <f>Table110[[#This Row],[2020. EA ]]*0.338</f>
        <v>2368.7040000000002</v>
      </c>
      <c r="P372" s="91"/>
    </row>
    <row r="373" spans="1:16" x14ac:dyDescent="0.25">
      <c r="A373" s="91" t="str">
        <f t="shared" si="18"/>
        <v>09</v>
      </c>
      <c r="B373" s="98" t="s">
        <v>341</v>
      </c>
      <c r="C373" s="91" t="str">
        <f>VLOOKUP(B373,Table4[],2,FALSE)</f>
        <v xml:space="preserve"> Muuga Laekvere kool-Muuga õppehoone</v>
      </c>
      <c r="D373" s="95" t="str">
        <f>VLOOKUP(Table110[[#This Row],[Tegevusala]],Table4[[Tegevusala kood]:[Tegevusala alanimetus]],4,FALSE)</f>
        <v>Põhihariduse otsekulud</v>
      </c>
      <c r="E373" s="91" t="str">
        <f>VLOOKUP(C373,Table4[[Tegevusala nimetus]:[Tegevusala koondnimetus]],2,FALSE)</f>
        <v>Haridus</v>
      </c>
      <c r="F373" s="91" t="s">
        <v>1870</v>
      </c>
      <c r="G373" s="91" t="s">
        <v>479</v>
      </c>
      <c r="H373" s="91">
        <v>1</v>
      </c>
      <c r="I373" s="91"/>
      <c r="J373" s="91">
        <v>584</v>
      </c>
      <c r="K373" s="91">
        <f t="shared" si="17"/>
        <v>584</v>
      </c>
      <c r="L373" s="91">
        <v>12</v>
      </c>
      <c r="M373" s="91"/>
      <c r="N373" s="93">
        <f>(K373*Table110[[#This Row],[Ühik2]])+M373</f>
        <v>7008</v>
      </c>
      <c r="O373" s="93">
        <f>Table110[[#This Row],[2020. EA ]]*0.338</f>
        <v>2368.7040000000002</v>
      </c>
      <c r="P373" s="91"/>
    </row>
    <row r="374" spans="1:16" x14ac:dyDescent="0.25">
      <c r="A374" s="14" t="str">
        <f t="shared" si="18"/>
        <v>09</v>
      </c>
      <c r="B374" s="49" t="s">
        <v>341</v>
      </c>
      <c r="C374" s="14" t="str">
        <f>VLOOKUP(B374,Table4[],2,FALSE)</f>
        <v xml:space="preserve"> Muuga Laekvere kool-Muuga õppehoone</v>
      </c>
      <c r="D374" s="39" t="str">
        <f>VLOOKUP(Table110[[#This Row],[Tegevusala]],Table4[[Tegevusala kood]:[Tegevusala alanimetus]],4,FALSE)</f>
        <v>Põhihariduse otsekulud</v>
      </c>
      <c r="E374" s="14" t="str">
        <f>VLOOKUP(C374,Table4[[Tegevusala nimetus]:[Tegevusala koondnimetus]],2,FALSE)</f>
        <v>Haridus</v>
      </c>
      <c r="F374" s="14" t="s">
        <v>1870</v>
      </c>
      <c r="G374" s="14" t="s">
        <v>1372</v>
      </c>
      <c r="H374" s="14">
        <v>0</v>
      </c>
      <c r="I374" s="14"/>
      <c r="J374" s="14">
        <v>805</v>
      </c>
      <c r="K374" s="14">
        <f t="shared" si="17"/>
        <v>0</v>
      </c>
      <c r="L374" s="14">
        <v>12</v>
      </c>
      <c r="M374" s="14"/>
      <c r="N374" s="44">
        <f>(K374*Table110[[#This Row],[Ühik2]])+M374</f>
        <v>0</v>
      </c>
      <c r="O374" s="44">
        <f>Table110[[#This Row],[2020. EA ]]*0.338</f>
        <v>0</v>
      </c>
      <c r="P374" s="14"/>
    </row>
    <row r="375" spans="1:16" x14ac:dyDescent="0.25">
      <c r="A375" s="14" t="str">
        <f t="shared" si="18"/>
        <v>09</v>
      </c>
      <c r="B375" s="49" t="s">
        <v>341</v>
      </c>
      <c r="C375" s="14" t="str">
        <f>VLOOKUP(B375,Table4[],2,FALSE)</f>
        <v xml:space="preserve"> Muuga Laekvere kool-Muuga õppehoone</v>
      </c>
      <c r="D375" s="39" t="str">
        <f>VLOOKUP(Table110[[#This Row],[Tegevusala]],Table4[[Tegevusala kood]:[Tegevusala alanimetus]],4,FALSE)</f>
        <v>Põhihariduse otsekulud</v>
      </c>
      <c r="E375" s="14" t="str">
        <f>VLOOKUP(C375,Table4[[Tegevusala nimetus]:[Tegevusala koondnimetus]],2,FALSE)</f>
        <v>Haridus</v>
      </c>
      <c r="F375" s="14" t="s">
        <v>1870</v>
      </c>
      <c r="G375" s="14" t="s">
        <v>1890</v>
      </c>
      <c r="H375" s="14">
        <v>1</v>
      </c>
      <c r="I375" s="14"/>
      <c r="J375" s="14">
        <v>691</v>
      </c>
      <c r="K375" s="14">
        <f t="shared" si="17"/>
        <v>691</v>
      </c>
      <c r="L375" s="14">
        <v>12</v>
      </c>
      <c r="M375" s="14"/>
      <c r="N375" s="44">
        <f>(K375*Table110[[#This Row],[Ühik2]])+M375</f>
        <v>8292</v>
      </c>
      <c r="O375" s="44">
        <f>Table110[[#This Row],[2020. EA ]]*0.338</f>
        <v>2802.6960000000004</v>
      </c>
      <c r="P375" s="14"/>
    </row>
    <row r="376" spans="1:16" x14ac:dyDescent="0.25">
      <c r="A376" s="14" t="str">
        <f t="shared" si="18"/>
        <v>09</v>
      </c>
      <c r="B376" s="49" t="s">
        <v>341</v>
      </c>
      <c r="C376" s="14" t="str">
        <f>VLOOKUP(B376,Table4[],2,FALSE)</f>
        <v xml:space="preserve"> Muuga Laekvere kool-Muuga õppehoone</v>
      </c>
      <c r="D376" s="39" t="str">
        <f>VLOOKUP(Table110[[#This Row],[Tegevusala]],Table4[[Tegevusala kood]:[Tegevusala alanimetus]],4,FALSE)</f>
        <v>Põhihariduse otsekulud</v>
      </c>
      <c r="E376" s="14" t="str">
        <f>VLOOKUP(C376,Table4[[Tegevusala nimetus]:[Tegevusala koondnimetus]],2,FALSE)</f>
        <v>Haridus</v>
      </c>
      <c r="F376" s="14" t="s">
        <v>1870</v>
      </c>
      <c r="G376" s="14" t="s">
        <v>484</v>
      </c>
      <c r="H376" s="14">
        <v>0</v>
      </c>
      <c r="I376" s="14"/>
      <c r="J376" s="14">
        <v>724</v>
      </c>
      <c r="K376" s="14">
        <f t="shared" si="17"/>
        <v>0</v>
      </c>
      <c r="L376" s="14">
        <v>12</v>
      </c>
      <c r="M376" s="14"/>
      <c r="N376" s="44">
        <f>(K376*Table110[[#This Row],[Ühik2]])+M376</f>
        <v>0</v>
      </c>
      <c r="O376" s="44">
        <f>Table110[[#This Row],[2020. EA ]]*0.338</f>
        <v>0</v>
      </c>
      <c r="P376" s="14"/>
    </row>
    <row r="377" spans="1:16" x14ac:dyDescent="0.25">
      <c r="A377" s="14" t="str">
        <f t="shared" si="18"/>
        <v>09</v>
      </c>
      <c r="B377" s="49" t="s">
        <v>341</v>
      </c>
      <c r="C377" s="14" t="str">
        <f>VLOOKUP(B377,Table4[],2,FALSE)</f>
        <v xml:space="preserve"> Muuga Laekvere kool-Muuga õppehoone</v>
      </c>
      <c r="D377" s="39" t="str">
        <f>VLOOKUP(Table110[[#This Row],[Tegevusala]],Table4[[Tegevusala kood]:[Tegevusala alanimetus]],4,FALSE)</f>
        <v>Põhihariduse otsekulud</v>
      </c>
      <c r="E377" s="14" t="str">
        <f>VLOOKUP(C377,Table4[[Tegevusala nimetus]:[Tegevusala koondnimetus]],2,FALSE)</f>
        <v>Haridus</v>
      </c>
      <c r="F377" s="14" t="s">
        <v>1870</v>
      </c>
      <c r="G377" s="14" t="s">
        <v>484</v>
      </c>
      <c r="H377" s="14">
        <v>1</v>
      </c>
      <c r="I377" s="14"/>
      <c r="J377" s="14">
        <v>632</v>
      </c>
      <c r="K377" s="14">
        <f t="shared" si="17"/>
        <v>632</v>
      </c>
      <c r="L377" s="14">
        <v>12</v>
      </c>
      <c r="M377" s="14"/>
      <c r="N377" s="44">
        <f>(K377*Table110[[#This Row],[Ühik2]])+M377</f>
        <v>7584</v>
      </c>
      <c r="O377" s="44">
        <f>Table110[[#This Row],[2020. EA ]]*0.338</f>
        <v>2563.3920000000003</v>
      </c>
      <c r="P377" s="14"/>
    </row>
    <row r="378" spans="1:16" x14ac:dyDescent="0.25">
      <c r="A378" s="14" t="str">
        <f t="shared" si="18"/>
        <v>09</v>
      </c>
      <c r="B378" s="49" t="s">
        <v>341</v>
      </c>
      <c r="C378" s="14" t="str">
        <f>VLOOKUP(B378,Table4[],2,FALSE)</f>
        <v xml:space="preserve"> Muuga Laekvere kool-Muuga õppehoone</v>
      </c>
      <c r="D378" s="39" t="str">
        <f>VLOOKUP(Table110[[#This Row],[Tegevusala]],Table4[[Tegevusala kood]:[Tegevusala alanimetus]],4,FALSE)</f>
        <v>Põhihariduse otsekulud</v>
      </c>
      <c r="E378" s="14" t="str">
        <f>VLOOKUP(C378,Table4[[Tegevusala nimetus]:[Tegevusala koondnimetus]],2,FALSE)</f>
        <v>Haridus</v>
      </c>
      <c r="F378" s="14" t="s">
        <v>1870</v>
      </c>
      <c r="G378" s="14" t="s">
        <v>1891</v>
      </c>
      <c r="H378" s="14">
        <v>0</v>
      </c>
      <c r="I378" s="14"/>
      <c r="J378" s="14">
        <v>632</v>
      </c>
      <c r="K378" s="14">
        <f t="shared" si="17"/>
        <v>0</v>
      </c>
      <c r="L378" s="14">
        <v>12</v>
      </c>
      <c r="M378" s="14"/>
      <c r="N378" s="44">
        <f>(K378*Table110[[#This Row],[Ühik2]])+M378</f>
        <v>0</v>
      </c>
      <c r="O378" s="44">
        <f>Table110[[#This Row],[2020. EA ]]*0.338</f>
        <v>0</v>
      </c>
      <c r="P378" s="14"/>
    </row>
    <row r="379" spans="1:16" x14ac:dyDescent="0.25">
      <c r="A379" s="14" t="str">
        <f t="shared" si="18"/>
        <v>09</v>
      </c>
      <c r="B379" s="49" t="s">
        <v>341</v>
      </c>
      <c r="C379" s="14" t="str">
        <f>VLOOKUP(B379,Table4[],2,FALSE)</f>
        <v xml:space="preserve"> Muuga Laekvere kool-Muuga õppehoone</v>
      </c>
      <c r="D379" s="39" t="str">
        <f>VLOOKUP(Table110[[#This Row],[Tegevusala]],Table4[[Tegevusala kood]:[Tegevusala alanimetus]],4,FALSE)</f>
        <v>Põhihariduse otsekulud</v>
      </c>
      <c r="E379" s="14" t="str">
        <f>VLOOKUP(C379,Table4[[Tegevusala nimetus]:[Tegevusala koondnimetus]],2,FALSE)</f>
        <v>Haridus</v>
      </c>
      <c r="F379" s="14" t="s">
        <v>1870</v>
      </c>
      <c r="G379" s="14" t="s">
        <v>1398</v>
      </c>
      <c r="H379" s="14">
        <v>0.25</v>
      </c>
      <c r="I379" s="14"/>
      <c r="J379" s="14">
        <v>853</v>
      </c>
      <c r="K379" s="14">
        <f t="shared" si="17"/>
        <v>213.25</v>
      </c>
      <c r="L379" s="14">
        <v>12</v>
      </c>
      <c r="M379" s="14"/>
      <c r="N379" s="44">
        <f>(K379*Table110[[#This Row],[Ühik2]])+M379</f>
        <v>2559</v>
      </c>
      <c r="O379" s="44">
        <f>Table110[[#This Row],[2020. EA ]]*0.338</f>
        <v>864.94200000000001</v>
      </c>
      <c r="P379" s="14"/>
    </row>
    <row r="380" spans="1:16" x14ac:dyDescent="0.25">
      <c r="A380" s="91" t="str">
        <f t="shared" si="18"/>
        <v>09</v>
      </c>
      <c r="B380" s="98" t="s">
        <v>341</v>
      </c>
      <c r="C380" s="91" t="str">
        <f>VLOOKUP(B380,Table4[],2,FALSE)</f>
        <v xml:space="preserve"> Muuga Laekvere kool-Muuga õppehoone</v>
      </c>
      <c r="D380" s="95" t="str">
        <f>VLOOKUP(Table110[[#This Row],[Tegevusala]],Table4[[Tegevusala kood]:[Tegevusala alanimetus]],4,FALSE)</f>
        <v>Põhihariduse otsekulud</v>
      </c>
      <c r="E380" s="91" t="str">
        <f>VLOOKUP(C380,Table4[[Tegevusala nimetus]:[Tegevusala koondnimetus]],2,FALSE)</f>
        <v>Haridus</v>
      </c>
      <c r="F380" s="91" t="s">
        <v>1870</v>
      </c>
      <c r="G380" s="91" t="s">
        <v>1403</v>
      </c>
      <c r="H380" s="91">
        <v>0</v>
      </c>
      <c r="I380" s="91"/>
      <c r="J380" s="91">
        <v>584</v>
      </c>
      <c r="K380" s="91">
        <f t="shared" si="17"/>
        <v>0</v>
      </c>
      <c r="L380" s="91">
        <v>12</v>
      </c>
      <c r="M380" s="91"/>
      <c r="N380" s="93">
        <f>(K380*Table110[[#This Row],[Ühik2]])+M380</f>
        <v>0</v>
      </c>
      <c r="O380" s="93">
        <f>Table110[[#This Row],[2020. EA ]]*0.338</f>
        <v>0</v>
      </c>
      <c r="P380" s="91"/>
    </row>
    <row r="381" spans="1:16" x14ac:dyDescent="0.25">
      <c r="A381" s="14" t="str">
        <f t="shared" si="18"/>
        <v>09</v>
      </c>
      <c r="B381" s="50" t="s">
        <v>341</v>
      </c>
      <c r="C381" s="14" t="str">
        <f>VLOOKUP(B381,Table4[],2,FALSE)</f>
        <v xml:space="preserve"> Muuga Laekvere kool-Muuga õppehoone</v>
      </c>
      <c r="D381" s="39" t="str">
        <f>VLOOKUP(Table110[[#This Row],[Tegevusala]],Table4[[Tegevusala kood]:[Tegevusala alanimetus]],4,FALSE)</f>
        <v>Põhihariduse otsekulud</v>
      </c>
      <c r="E381" s="14" t="str">
        <f>VLOOKUP(C381,Table4[[Tegevusala nimetus]:[Tegevusala koondnimetus]],2,FALSE)</f>
        <v>Haridus</v>
      </c>
      <c r="F381" s="14" t="s">
        <v>1870</v>
      </c>
      <c r="G381" s="14" t="s">
        <v>1911</v>
      </c>
      <c r="H381" s="14">
        <v>1.31</v>
      </c>
      <c r="I381" s="14"/>
      <c r="J381" s="14">
        <v>664</v>
      </c>
      <c r="K381" s="14">
        <f t="shared" si="17"/>
        <v>869.84</v>
      </c>
      <c r="L381" s="14">
        <v>9</v>
      </c>
      <c r="M381" s="14"/>
      <c r="N381" s="44">
        <f>(K381*Table110[[#This Row],[Ühik2]])+M381</f>
        <v>7828.56</v>
      </c>
      <c r="O381" s="44">
        <f>Table110[[#This Row],[2020. EA ]]*0.338</f>
        <v>2646.0532800000001</v>
      </c>
      <c r="P381" s="14"/>
    </row>
    <row r="382" spans="1:16" x14ac:dyDescent="0.25">
      <c r="A382" s="14" t="str">
        <f t="shared" si="18"/>
        <v>06</v>
      </c>
      <c r="B382" t="s">
        <v>263</v>
      </c>
      <c r="C382" s="14" t="str">
        <f>VLOOKUP(B382,Table4[],2,FALSE)</f>
        <v xml:space="preserve"> Vinni-Pajusti halduspiirkond</v>
      </c>
      <c r="D382" s="39" t="str">
        <f>VLOOKUP(Table110[[#This Row],[Tegevusala]],Table4[[Tegevusala kood]:[Tegevusala alanimetus]],4,FALSE)</f>
        <v>Muu elamu- ja kommunaalmajanduse tegevus</v>
      </c>
      <c r="E382" s="14" t="str">
        <f>VLOOKUP(C382,Table4[[Tegevusala nimetus]:[Tegevusala koondnimetus]],2,FALSE)</f>
        <v>Elamu- ja kommunaalmajandus</v>
      </c>
      <c r="F382" t="s">
        <v>1919</v>
      </c>
      <c r="G382" s="14" t="s">
        <v>1943</v>
      </c>
      <c r="H382" s="14">
        <v>1</v>
      </c>
      <c r="I382" s="14" t="s">
        <v>2027</v>
      </c>
      <c r="J382" s="14">
        <v>390</v>
      </c>
      <c r="K382" s="14">
        <f t="shared" si="17"/>
        <v>390</v>
      </c>
      <c r="L382" s="14">
        <v>12</v>
      </c>
      <c r="M382" s="14"/>
      <c r="N382" s="44">
        <f>(K382*Table110[[#This Row],[Ühik2]])+M382</f>
        <v>4680</v>
      </c>
      <c r="O382" s="44">
        <f>Table110[[#This Row],[2020. EA ]]*0.338</f>
        <v>1581.8400000000001</v>
      </c>
      <c r="P382" s="14"/>
    </row>
    <row r="383" spans="1:16" x14ac:dyDescent="0.25">
      <c r="A383" s="14" t="str">
        <f t="shared" si="18"/>
        <v>06</v>
      </c>
      <c r="B383" t="s">
        <v>263</v>
      </c>
      <c r="C383" s="14" t="str">
        <f>VLOOKUP(B383,Table4[],2,FALSE)</f>
        <v xml:space="preserve"> Vinni-Pajusti halduspiirkond</v>
      </c>
      <c r="D383" s="39" t="str">
        <f>VLOOKUP(Table110[[#This Row],[Tegevusala]],Table4[[Tegevusala kood]:[Tegevusala alanimetus]],4,FALSE)</f>
        <v>Muu elamu- ja kommunaalmajanduse tegevus</v>
      </c>
      <c r="E383" s="14" t="str">
        <f>VLOOKUP(C383,Table4[[Tegevusala nimetus]:[Tegevusala koondnimetus]],2,FALSE)</f>
        <v>Elamu- ja kommunaalmajandus</v>
      </c>
      <c r="F383" t="s">
        <v>1919</v>
      </c>
      <c r="G383" s="14" t="s">
        <v>1944</v>
      </c>
      <c r="H383" s="14">
        <v>170</v>
      </c>
      <c r="I383" s="14" t="s">
        <v>2192</v>
      </c>
      <c r="J383" s="14">
        <v>6</v>
      </c>
      <c r="K383" s="14">
        <f t="shared" si="17"/>
        <v>1020</v>
      </c>
      <c r="L383" s="14">
        <v>12</v>
      </c>
      <c r="M383" s="14"/>
      <c r="N383" s="44">
        <f>(K383*Table110[[#This Row],[Ühik2]])+M383</f>
        <v>12240</v>
      </c>
      <c r="O383" s="44">
        <f>Table110[[#This Row],[2020. EA ]]*0.338</f>
        <v>4137.12</v>
      </c>
      <c r="P383" s="14"/>
    </row>
    <row r="384" spans="1:16" x14ac:dyDescent="0.25">
      <c r="A384" s="14" t="str">
        <f t="shared" si="18"/>
        <v>06</v>
      </c>
      <c r="B384" t="s">
        <v>263</v>
      </c>
      <c r="C384" s="14" t="str">
        <f>VLOOKUP(B384,Table4[],2,FALSE)</f>
        <v xml:space="preserve"> Vinni-Pajusti halduspiirkond</v>
      </c>
      <c r="D384" s="39" t="str">
        <f>VLOOKUP(Table110[[#This Row],[Tegevusala]],Table4[[Tegevusala kood]:[Tegevusala alanimetus]],4,FALSE)</f>
        <v>Muu elamu- ja kommunaalmajanduse tegevus</v>
      </c>
      <c r="E384" s="14" t="str">
        <f>VLOOKUP(C384,Table4[[Tegevusala nimetus]:[Tegevusala koondnimetus]],2,FALSE)</f>
        <v>Elamu- ja kommunaalmajandus</v>
      </c>
      <c r="F384" t="s">
        <v>1919</v>
      </c>
      <c r="G384" s="14" t="s">
        <v>1944</v>
      </c>
      <c r="H384" s="14">
        <v>170</v>
      </c>
      <c r="I384" s="14" t="s">
        <v>2192</v>
      </c>
      <c r="J384" s="14">
        <v>6</v>
      </c>
      <c r="K384" s="14">
        <f t="shared" si="17"/>
        <v>1020</v>
      </c>
      <c r="L384" s="14">
        <v>12</v>
      </c>
      <c r="M384" s="14"/>
      <c r="N384" s="44">
        <f>(K384*Table110[[#This Row],[Ühik2]])+M384</f>
        <v>12240</v>
      </c>
      <c r="O384" s="44">
        <f>Table110[[#This Row],[2020. EA ]]*0.008</f>
        <v>97.92</v>
      </c>
      <c r="P384" s="14" t="s">
        <v>1946</v>
      </c>
    </row>
    <row r="385" spans="1:16" x14ac:dyDescent="0.25">
      <c r="A385" s="14" t="str">
        <f t="shared" si="18"/>
        <v>06</v>
      </c>
      <c r="B385" t="s">
        <v>263</v>
      </c>
      <c r="C385" s="14" t="str">
        <f>VLOOKUP(B385,Table4[],2,FALSE)</f>
        <v xml:space="preserve"> Vinni-Pajusti halduspiirkond</v>
      </c>
      <c r="D385" s="39" t="str">
        <f>VLOOKUP(Table110[[#This Row],[Tegevusala]],Table4[[Tegevusala kood]:[Tegevusala alanimetus]],4,FALSE)</f>
        <v>Muu elamu- ja kommunaalmajanduse tegevus</v>
      </c>
      <c r="E385" s="14" t="str">
        <f>VLOOKUP(C385,Table4[[Tegevusala nimetus]:[Tegevusala koondnimetus]],2,FALSE)</f>
        <v>Elamu- ja kommunaalmajandus</v>
      </c>
      <c r="F385" t="s">
        <v>1919</v>
      </c>
      <c r="G385" s="14" t="s">
        <v>1945</v>
      </c>
      <c r="H385" s="14">
        <v>170</v>
      </c>
      <c r="I385" s="14" t="s">
        <v>2192</v>
      </c>
      <c r="J385" s="14">
        <v>6</v>
      </c>
      <c r="K385" s="14">
        <f t="shared" si="17"/>
        <v>1020</v>
      </c>
      <c r="L385" s="14">
        <v>12</v>
      </c>
      <c r="M385" s="14"/>
      <c r="N385" s="44">
        <f>(K385*Table110[[#This Row],[Ühik2]])+M385</f>
        <v>12240</v>
      </c>
      <c r="O385" s="44">
        <f>Table110[[#This Row],[2020. EA ]]*0.338</f>
        <v>4137.12</v>
      </c>
      <c r="P385" s="14"/>
    </row>
    <row r="386" spans="1:16" x14ac:dyDescent="0.25">
      <c r="A386" s="14" t="str">
        <f t="shared" si="18"/>
        <v>06</v>
      </c>
      <c r="B386" t="s">
        <v>263</v>
      </c>
      <c r="C386" s="14" t="str">
        <f>VLOOKUP(B386,Table4[],2,FALSE)</f>
        <v xml:space="preserve"> Vinni-Pajusti halduspiirkond</v>
      </c>
      <c r="D386" s="39" t="str">
        <f>VLOOKUP(Table110[[#This Row],[Tegevusala]],Table4[[Tegevusala kood]:[Tegevusala alanimetus]],4,FALSE)</f>
        <v>Muu elamu- ja kommunaalmajanduse tegevus</v>
      </c>
      <c r="E386" s="14" t="str">
        <f>VLOOKUP(C386,Table4[[Tegevusala nimetus]:[Tegevusala koondnimetus]],2,FALSE)</f>
        <v>Elamu- ja kommunaalmajandus</v>
      </c>
      <c r="F386" t="s">
        <v>1919</v>
      </c>
      <c r="G386" s="14" t="s">
        <v>481</v>
      </c>
      <c r="H386" s="14">
        <v>170</v>
      </c>
      <c r="I386" s="14" t="s">
        <v>2192</v>
      </c>
      <c r="J386" s="14">
        <v>6</v>
      </c>
      <c r="K386" s="14">
        <f t="shared" ref="K386:K408" si="19">H386*J386</f>
        <v>1020</v>
      </c>
      <c r="L386" s="14">
        <v>12</v>
      </c>
      <c r="M386" s="14"/>
      <c r="N386" s="44">
        <f>(K386*Table110[[#This Row],[Ühik2]])+M386</f>
        <v>12240</v>
      </c>
      <c r="O386" s="44">
        <f>Table110[[#This Row],[2020. EA ]]*0.338</f>
        <v>4137.12</v>
      </c>
      <c r="P386" s="14"/>
    </row>
    <row r="387" spans="1:16" x14ac:dyDescent="0.25">
      <c r="A387" s="14" t="str">
        <f t="shared" si="18"/>
        <v>06</v>
      </c>
      <c r="B387" t="s">
        <v>263</v>
      </c>
      <c r="C387" s="14" t="str">
        <f>VLOOKUP(B387,Table4[],2,FALSE)</f>
        <v xml:space="preserve"> Vinni-Pajusti halduspiirkond</v>
      </c>
      <c r="D387" s="39" t="str">
        <f>VLOOKUP(Table110[[#This Row],[Tegevusala]],Table4[[Tegevusala kood]:[Tegevusala alanimetus]],4,FALSE)</f>
        <v>Muu elamu- ja kommunaalmajanduse tegevus</v>
      </c>
      <c r="E387" s="14" t="str">
        <f>VLOOKUP(C387,Table4[[Tegevusala nimetus]:[Tegevusala koondnimetus]],2,FALSE)</f>
        <v>Elamu- ja kommunaalmajandus</v>
      </c>
      <c r="F387" t="s">
        <v>1919</v>
      </c>
      <c r="G387" s="14" t="s">
        <v>935</v>
      </c>
      <c r="H387" s="14">
        <v>90</v>
      </c>
      <c r="I387" s="14" t="s">
        <v>2192</v>
      </c>
      <c r="J387" s="14">
        <v>5</v>
      </c>
      <c r="K387" s="14">
        <f t="shared" si="19"/>
        <v>450</v>
      </c>
      <c r="L387" s="14">
        <v>12</v>
      </c>
      <c r="M387" s="14"/>
      <c r="N387" s="44">
        <f>(K387*Table110[[#This Row],[Ühik2]])+M387</f>
        <v>5400</v>
      </c>
      <c r="O387" s="44">
        <f>Table110[[#This Row],[2020. EA ]]*0.338</f>
        <v>1825.2</v>
      </c>
      <c r="P387" s="14"/>
    </row>
    <row r="388" spans="1:16" x14ac:dyDescent="0.25">
      <c r="A388" s="14" t="str">
        <f>LEFT(B388,2)</f>
        <v>01</v>
      </c>
      <c r="B388" t="s">
        <v>15</v>
      </c>
      <c r="C388" s="14" t="str">
        <f>VLOOKUP(B388,Table4[],2,FALSE)</f>
        <v xml:space="preserve"> Valla- ja linnavalitsus</v>
      </c>
      <c r="D388" s="39" t="str">
        <f>VLOOKUP(Table110[[#This Row],[Tegevusala]],Table4[[Tegevusala kood]:[Tegevusala alanimetus]],4,FALSE)</f>
        <v>Valla- ja linnavalitsus</v>
      </c>
      <c r="E388" s="14" t="str">
        <f>VLOOKUP(C388,Table4[[Tegevusala nimetus]:[Tegevusala koondnimetus]],2,FALSE)</f>
        <v>Üldised valitsussektori teenused</v>
      </c>
      <c r="F388" s="14" t="s">
        <v>1971</v>
      </c>
      <c r="G388" s="14" t="s">
        <v>2007</v>
      </c>
      <c r="H388" s="14">
        <v>1</v>
      </c>
      <c r="I388" s="14"/>
      <c r="J388" s="14"/>
      <c r="K388" s="14">
        <f t="shared" si="19"/>
        <v>0</v>
      </c>
      <c r="L388" s="14">
        <v>1</v>
      </c>
      <c r="M388" s="14">
        <v>2000</v>
      </c>
      <c r="N388" s="44">
        <f>(K388*Table110[[#This Row],[Ühik2]])+M388</f>
        <v>2000</v>
      </c>
      <c r="O388" s="44">
        <f>Table110[[#This Row],[2020. EA ]]*0.338</f>
        <v>676</v>
      </c>
      <c r="P388" s="14"/>
    </row>
    <row r="389" spans="1:16" x14ac:dyDescent="0.25">
      <c r="A389" s="14" t="str">
        <f>LEFT(B389,2)</f>
        <v>01</v>
      </c>
      <c r="B389" t="s">
        <v>15</v>
      </c>
      <c r="C389" s="14" t="str">
        <f>VLOOKUP(B389,Table4[],2,FALSE)</f>
        <v xml:space="preserve"> Valla- ja linnavalitsus</v>
      </c>
      <c r="D389" s="39" t="str">
        <f>VLOOKUP(Table110[[#This Row],[Tegevusala]],Table4[[Tegevusala kood]:[Tegevusala alanimetus]],4,FALSE)</f>
        <v>Valla- ja linnavalitsus</v>
      </c>
      <c r="E389" s="14" t="str">
        <f>VLOOKUP(C389,Table4[[Tegevusala nimetus]:[Tegevusala koondnimetus]],2,FALSE)</f>
        <v>Üldised valitsussektori teenused</v>
      </c>
      <c r="F389" s="14" t="s">
        <v>1971</v>
      </c>
      <c r="G389" s="14" t="s">
        <v>2008</v>
      </c>
      <c r="H389" s="14">
        <v>1</v>
      </c>
      <c r="I389" s="14"/>
      <c r="J389" s="14"/>
      <c r="K389" s="14">
        <f t="shared" si="19"/>
        <v>0</v>
      </c>
      <c r="L389" s="14">
        <v>1</v>
      </c>
      <c r="M389" s="14">
        <v>6000</v>
      </c>
      <c r="N389" s="44">
        <f>(K389*Table110[[#This Row],[Ühik2]])+M389</f>
        <v>6000</v>
      </c>
      <c r="O389" s="44">
        <f>Table110[[#This Row],[2020. EA ]]*0.338</f>
        <v>2028.0000000000002</v>
      </c>
      <c r="P389" s="14"/>
    </row>
    <row r="390" spans="1:16" x14ac:dyDescent="0.25">
      <c r="A390" s="14" t="str">
        <f t="shared" ref="A390:A408" si="20">LEFT(B390,2)</f>
        <v>08</v>
      </c>
      <c r="B390" s="58" t="s">
        <v>314</v>
      </c>
      <c r="C390" s="14" t="str">
        <f>VLOOKUP(B390,Table4[],2,FALSE)</f>
        <v xml:space="preserve"> Pajusti klubi</v>
      </c>
      <c r="D390" s="39" t="str">
        <f>VLOOKUP(Table110[[#This Row],[Tegevusala]],Table4[[Tegevusala kood]:[Tegevusala alanimetus]],4,FALSE)</f>
        <v>Rahvakultuur</v>
      </c>
      <c r="E390" s="14" t="str">
        <f>VLOOKUP(C390,Table4[[Tegevusala nimetus]:[Tegevusala koondnimetus]],2,FALSE)</f>
        <v>Vabaaeg, kultuur ja religioon</v>
      </c>
      <c r="F390" s="14" t="s">
        <v>1845</v>
      </c>
      <c r="G390" s="14" t="s">
        <v>2045</v>
      </c>
      <c r="H390" s="14">
        <v>1</v>
      </c>
      <c r="I390" s="14"/>
      <c r="J390" s="14"/>
      <c r="K390" s="14">
        <f t="shared" si="19"/>
        <v>0</v>
      </c>
      <c r="L390" s="14"/>
      <c r="M390" s="14">
        <f>552*12</f>
        <v>6624</v>
      </c>
      <c r="N390" s="44">
        <f>(K390*Table110[[#This Row],[Ühik2]])+M390</f>
        <v>6624</v>
      </c>
      <c r="O390" s="44">
        <f>Table110[[#This Row],[2020. EA ]]*0.338</f>
        <v>2238.9120000000003</v>
      </c>
      <c r="P390" s="14"/>
    </row>
    <row r="391" spans="1:16" x14ac:dyDescent="0.25">
      <c r="A391" s="14" t="str">
        <f t="shared" si="20"/>
        <v>08</v>
      </c>
      <c r="B391" s="36" t="s">
        <v>2076</v>
      </c>
      <c r="C391" s="14" t="str">
        <f>VLOOKUP(B391,Table4[],2,FALSE)</f>
        <v>Vinni Vallamuuseum</v>
      </c>
      <c r="D391" s="39" t="str">
        <f>VLOOKUP(Table110[[#This Row],[Tegevusala]],Table4[[Tegevusala kood]:[Tegevusala alanimetus]],4,FALSE)</f>
        <v>Muuseumid</v>
      </c>
      <c r="E391" s="14" t="str">
        <f>VLOOKUP(C391,Table4[[Tegevusala nimetus]:[Tegevusala koondnimetus]],2,FALSE)</f>
        <v>Vabaaeg, kultuur ja religioon</v>
      </c>
      <c r="F391" s="14" t="s">
        <v>2081</v>
      </c>
      <c r="G391" s="14" t="s">
        <v>2089</v>
      </c>
      <c r="H391" s="14">
        <v>6</v>
      </c>
      <c r="I391" s="14" t="s">
        <v>2027</v>
      </c>
      <c r="J391" s="14">
        <v>747.38400000000001</v>
      </c>
      <c r="K391" s="14">
        <f t="shared" si="19"/>
        <v>4484.3040000000001</v>
      </c>
      <c r="L391" s="14">
        <v>3</v>
      </c>
      <c r="M391" s="14"/>
      <c r="N391" s="44">
        <f>(K391*Table110[[#This Row],[Ühik2]])+M391</f>
        <v>13452.912</v>
      </c>
      <c r="O391" s="44">
        <f>Table110[[#This Row],[2020. EA ]]*0.338</f>
        <v>4547.0842560000001</v>
      </c>
      <c r="P391" s="14"/>
    </row>
    <row r="392" spans="1:16" x14ac:dyDescent="0.25">
      <c r="A392" s="37" t="str">
        <f t="shared" si="20"/>
        <v>08</v>
      </c>
      <c r="B392" s="51" t="s">
        <v>2076</v>
      </c>
      <c r="C392" s="37" t="str">
        <f>VLOOKUP(B392,Table4[],2,FALSE)</f>
        <v>Vinni Vallamuuseum</v>
      </c>
      <c r="D392" s="48" t="str">
        <f>VLOOKUP(Table110[[#This Row],[Tegevusala]],Table4[[Tegevusala kood]:[Tegevusala alanimetus]],4,FALSE)</f>
        <v>Muuseumid</v>
      </c>
      <c r="E392" s="37" t="str">
        <f>VLOOKUP(C392,Table4[[Tegevusala nimetus]:[Tegevusala koondnimetus]],2,FALSE)</f>
        <v>Vabaaeg, kultuur ja religioon</v>
      </c>
      <c r="F392" s="37" t="s">
        <v>2081</v>
      </c>
      <c r="G392" s="37" t="s">
        <v>523</v>
      </c>
      <c r="H392" s="37">
        <v>1</v>
      </c>
      <c r="I392" s="37" t="s">
        <v>2027</v>
      </c>
      <c r="J392" s="37">
        <v>1200</v>
      </c>
      <c r="K392" s="37">
        <f t="shared" si="19"/>
        <v>1200</v>
      </c>
      <c r="L392" s="37">
        <v>12</v>
      </c>
      <c r="M392" s="37"/>
      <c r="N392" s="46">
        <f>(K392*Table110[[#This Row],[Ühik2]])+M392</f>
        <v>14400</v>
      </c>
      <c r="O392" s="46">
        <f>Table110[[#This Row],[2020. EA ]]*0.338</f>
        <v>4867.2000000000007</v>
      </c>
      <c r="P392" s="37"/>
    </row>
    <row r="393" spans="1:16" x14ac:dyDescent="0.25">
      <c r="A393" s="14" t="str">
        <f t="shared" si="20"/>
        <v>03</v>
      </c>
      <c r="B393" s="42" t="s">
        <v>27</v>
      </c>
      <c r="C393" s="14" t="str">
        <f>VLOOKUP(B393,Table4[],2,FALSE)</f>
        <v xml:space="preserve"> Päästeteenused</v>
      </c>
      <c r="D393" s="39" t="str">
        <f>VLOOKUP(Table110[[#This Row],[Tegevusala]],Table4[[Tegevusala kood]:[Tegevusala alanimetus]],4,FALSE)</f>
        <v>Päästeteenused</v>
      </c>
      <c r="E393" s="14" t="str">
        <f>VLOOKUP(C393,Table4[[Tegevusala nimetus]:[Tegevusala koondnimetus]],2,FALSE)</f>
        <v>Avalik kord ja julgeolek</v>
      </c>
      <c r="F393" s="14" t="s">
        <v>770</v>
      </c>
      <c r="G393" s="14" t="s">
        <v>2143</v>
      </c>
      <c r="H393" s="14">
        <v>7</v>
      </c>
      <c r="I393" s="14" t="s">
        <v>2027</v>
      </c>
      <c r="J393" s="14">
        <v>30</v>
      </c>
      <c r="K393" s="14">
        <f t="shared" si="19"/>
        <v>210</v>
      </c>
      <c r="L393" s="14">
        <v>4</v>
      </c>
      <c r="M393" s="14"/>
      <c r="N393" s="44">
        <f>(K393*Table110[[#This Row],[Ühik2]])+M393</f>
        <v>840</v>
      </c>
      <c r="O393" s="44">
        <f>Table110[[#This Row],[2020. EA ]]*0.338</f>
        <v>283.92</v>
      </c>
      <c r="P393" s="14"/>
    </row>
    <row r="394" spans="1:16" x14ac:dyDescent="0.25">
      <c r="A394" s="14" t="str">
        <f t="shared" si="20"/>
        <v>09</v>
      </c>
      <c r="B394" s="36" t="s">
        <v>51</v>
      </c>
      <c r="C394" s="14" t="str">
        <f>VLOOKUP(B394,Table4[],2,FALSE)</f>
        <v xml:space="preserve"> Noorte huviharidus ja huvitegevus</v>
      </c>
      <c r="D394" s="39" t="str">
        <f>VLOOKUP(Table110[[#This Row],[Tegevusala]],Table4[[Tegevusala kood]:[Tegevusala alanimetus]],4,FALSE)</f>
        <v>Noorte huviharidus ja huvitegevus</v>
      </c>
      <c r="E394" s="14" t="str">
        <f>VLOOKUP(C394,Table4[[Tegevusala nimetus]:[Tegevusala koondnimetus]],2,FALSE)</f>
        <v>Haridus</v>
      </c>
      <c r="F394" s="14" t="s">
        <v>770</v>
      </c>
      <c r="G394" s="14" t="s">
        <v>2166</v>
      </c>
      <c r="H394" s="14">
        <v>1</v>
      </c>
      <c r="I394" s="14" t="s">
        <v>241</v>
      </c>
      <c r="J394" s="14">
        <v>1440</v>
      </c>
      <c r="K394" s="14">
        <f t="shared" si="19"/>
        <v>1440</v>
      </c>
      <c r="L394" s="14">
        <v>1</v>
      </c>
      <c r="M394" s="14"/>
      <c r="N394" s="44">
        <f>(K394*Table110[[#This Row],[Ühik2]])+M394</f>
        <v>1440</v>
      </c>
      <c r="O394" s="44">
        <f>Table110[[#This Row],[2020. EA ]]*0.338</f>
        <v>486.72</v>
      </c>
      <c r="P394" s="14" t="s">
        <v>2161</v>
      </c>
    </row>
    <row r="395" spans="1:16" x14ac:dyDescent="0.25">
      <c r="A395" s="14" t="str">
        <f t="shared" si="20"/>
        <v>09</v>
      </c>
      <c r="B395" s="36" t="s">
        <v>51</v>
      </c>
      <c r="C395" s="14" t="str">
        <f>VLOOKUP(B395,Table4[],2,FALSE)</f>
        <v xml:space="preserve"> Noorte huviharidus ja huvitegevus</v>
      </c>
      <c r="D395" s="39" t="str">
        <f>VLOOKUP(Table110[[#This Row],[Tegevusala]],Table4[[Tegevusala kood]:[Tegevusala alanimetus]],4,FALSE)</f>
        <v>Noorte huviharidus ja huvitegevus</v>
      </c>
      <c r="E395" s="14" t="str">
        <f>VLOOKUP(C395,Table4[[Tegevusala nimetus]:[Tegevusala koondnimetus]],2,FALSE)</f>
        <v>Haridus</v>
      </c>
      <c r="F395" s="14" t="s">
        <v>770</v>
      </c>
      <c r="G395" s="14" t="s">
        <v>2166</v>
      </c>
      <c r="H395" s="14">
        <v>1</v>
      </c>
      <c r="I395" s="14" t="s">
        <v>241</v>
      </c>
      <c r="J395" s="14">
        <v>1440</v>
      </c>
      <c r="K395" s="14">
        <f t="shared" si="19"/>
        <v>1440</v>
      </c>
      <c r="L395" s="14">
        <v>1</v>
      </c>
      <c r="M395" s="14"/>
      <c r="N395" s="44">
        <f>(K395*Table110[[#This Row],[Ühik2]])+M395</f>
        <v>1440</v>
      </c>
      <c r="O395" s="44">
        <f>Table110[[#This Row],[2020. EA ]]*0.338</f>
        <v>486.72</v>
      </c>
      <c r="P395" s="14" t="s">
        <v>2167</v>
      </c>
    </row>
    <row r="396" spans="1:16" x14ac:dyDescent="0.25">
      <c r="A396" s="37" t="str">
        <f t="shared" si="20"/>
        <v>09</v>
      </c>
      <c r="B396" s="51" t="s">
        <v>247</v>
      </c>
      <c r="C396" s="37" t="str">
        <f>VLOOKUP(B396,Table4[],2,FALSE)</f>
        <v xml:space="preserve"> Roela kool</v>
      </c>
      <c r="D396" s="48" t="str">
        <f>VLOOKUP(Table110[[#This Row],[Tegevusala]],Table4[[Tegevusala kood]:[Tegevusala alanimetus]],4,FALSE)</f>
        <v>Põhihariduse otsekulud</v>
      </c>
      <c r="E396" s="37" t="str">
        <f>VLOOKUP(C396,Table4[[Tegevusala nimetus]:[Tegevusala koondnimetus]],2,FALSE)</f>
        <v>Haridus</v>
      </c>
      <c r="F396" s="37" t="s">
        <v>342</v>
      </c>
      <c r="G396" s="37" t="s">
        <v>2198</v>
      </c>
      <c r="H396" s="37">
        <v>1</v>
      </c>
      <c r="I396" s="37" t="s">
        <v>241</v>
      </c>
      <c r="J396" s="37">
        <v>5399.85</v>
      </c>
      <c r="K396" s="37">
        <f t="shared" si="19"/>
        <v>5399.85</v>
      </c>
      <c r="L396" s="37">
        <v>1</v>
      </c>
      <c r="M396" s="37"/>
      <c r="N396" s="46">
        <f>(K396*Table110[[#This Row],[Ühik2]])+M396</f>
        <v>5399.85</v>
      </c>
      <c r="O396" s="46">
        <f>Table110[[#This Row],[2020. EA ]]*0.338</f>
        <v>1825.1493000000003</v>
      </c>
      <c r="P396" s="37"/>
    </row>
    <row r="397" spans="1:16" x14ac:dyDescent="0.25">
      <c r="A397" s="37" t="str">
        <f t="shared" si="20"/>
        <v>09</v>
      </c>
      <c r="B397" s="51" t="s">
        <v>247</v>
      </c>
      <c r="C397" s="37" t="str">
        <f>VLOOKUP(B397,Table4[],2,FALSE)</f>
        <v xml:space="preserve"> Roela kool</v>
      </c>
      <c r="D397" s="48" t="str">
        <f>VLOOKUP(Table110[[#This Row],[Tegevusala]],Table4[[Tegevusala kood]:[Tegevusala alanimetus]],4,FALSE)</f>
        <v>Põhihariduse otsekulud</v>
      </c>
      <c r="E397" s="37" t="str">
        <f>VLOOKUP(C397,Table4[[Tegevusala nimetus]:[Tegevusala koondnimetus]],2,FALSE)</f>
        <v>Haridus</v>
      </c>
      <c r="F397" s="37" t="s">
        <v>342</v>
      </c>
      <c r="G397" s="37" t="s">
        <v>2172</v>
      </c>
      <c r="H397" s="37">
        <v>1</v>
      </c>
      <c r="I397" s="37"/>
      <c r="J397" s="37">
        <v>1250</v>
      </c>
      <c r="K397" s="37">
        <f t="shared" si="19"/>
        <v>1250</v>
      </c>
      <c r="L397" s="37">
        <v>12</v>
      </c>
      <c r="M397" s="37"/>
      <c r="N397" s="46">
        <f>(K397*Table110[[#This Row],[Ühik2]])+M397</f>
        <v>15000</v>
      </c>
      <c r="O397" s="46">
        <f>Table110[[#This Row],[2020. EA ]]*0.338</f>
        <v>5070</v>
      </c>
      <c r="P397" s="37"/>
    </row>
    <row r="398" spans="1:16" x14ac:dyDescent="0.25">
      <c r="A398" s="14" t="str">
        <f t="shared" si="20"/>
        <v>09</v>
      </c>
      <c r="B398" s="42" t="s">
        <v>343</v>
      </c>
      <c r="C398" s="14" t="str">
        <f>VLOOKUP(B398,Table4[],2,FALSE)</f>
        <v xml:space="preserve"> Tudu kool</v>
      </c>
      <c r="D398" s="39" t="str">
        <f>VLOOKUP(Table110[[#This Row],[Tegevusala]],Table4[[Tegevusala kood]:[Tegevusala alanimetus]],4,FALSE)</f>
        <v>Põhihariduse otsekulud</v>
      </c>
      <c r="E398" s="14" t="str">
        <f>VLOOKUP(C398,Table4[[Tegevusala nimetus]:[Tegevusala koondnimetus]],2,FALSE)</f>
        <v>Haridus</v>
      </c>
      <c r="F398" s="38" t="s">
        <v>1726</v>
      </c>
      <c r="G398" s="14" t="s">
        <v>2198</v>
      </c>
      <c r="H398" s="14">
        <v>1</v>
      </c>
      <c r="I398" s="14" t="s">
        <v>241</v>
      </c>
      <c r="J398" s="14">
        <v>5399.85</v>
      </c>
      <c r="K398" s="14">
        <f t="shared" si="19"/>
        <v>5399.85</v>
      </c>
      <c r="L398" s="14">
        <v>1</v>
      </c>
      <c r="M398" s="14"/>
      <c r="N398" s="44">
        <f>(K398*Table110[[#This Row],[Ühik2]])+M398</f>
        <v>5399.85</v>
      </c>
      <c r="O398" s="44">
        <f>Table110[[#This Row],[2020. EA ]]*0.338</f>
        <v>1825.1493000000003</v>
      </c>
      <c r="P398" s="14"/>
    </row>
    <row r="399" spans="1:16" x14ac:dyDescent="0.25">
      <c r="A399" s="14" t="str">
        <f t="shared" si="20"/>
        <v>09</v>
      </c>
      <c r="B399" t="s">
        <v>345</v>
      </c>
      <c r="C399" s="14" t="str">
        <f>VLOOKUP(B399,Table4[],2,FALSE)</f>
        <v xml:space="preserve"> Vinni pajusti Gümnaasium</v>
      </c>
      <c r="D399" s="39" t="str">
        <f>VLOOKUP(Table110[[#This Row],[Tegevusala]],Table4[[Tegevusala kood]:[Tegevusala alanimetus]],4,FALSE)</f>
        <v>Põhihariduse otsekulud</v>
      </c>
      <c r="E399" s="14" t="str">
        <f>VLOOKUP(C399,Table4[[Tegevusala nimetus]:[Tegevusala koondnimetus]],2,FALSE)</f>
        <v>Haridus</v>
      </c>
      <c r="F399" s="14" t="s">
        <v>1449</v>
      </c>
      <c r="G399" s="14" t="s">
        <v>2198</v>
      </c>
      <c r="H399" s="14">
        <v>1</v>
      </c>
      <c r="I399" s="14" t="s">
        <v>241</v>
      </c>
      <c r="J399" s="14">
        <v>50458.146000000001</v>
      </c>
      <c r="K399" s="14">
        <f t="shared" si="19"/>
        <v>50458.146000000001</v>
      </c>
      <c r="L399" s="14">
        <v>1</v>
      </c>
      <c r="M399" s="14"/>
      <c r="N399" s="44">
        <f>(K399*Table110[[#This Row],[Ühik2]])+M399</f>
        <v>50458.146000000001</v>
      </c>
      <c r="O399" s="44">
        <f>Table110[[#This Row],[2020. EA ]]*0.338</f>
        <v>17054.853348000001</v>
      </c>
      <c r="P399" s="14"/>
    </row>
    <row r="400" spans="1:16" x14ac:dyDescent="0.25">
      <c r="A400" s="14" t="str">
        <f t="shared" si="20"/>
        <v>06</v>
      </c>
      <c r="B400" s="76" t="s">
        <v>254</v>
      </c>
      <c r="C400" s="14" t="str">
        <f>VLOOKUP(B400,Table4[],2,FALSE)</f>
        <v>Laekvere halduspiirkond</v>
      </c>
      <c r="D400" s="39" t="str">
        <f>VLOOKUP(Table110[[#This Row],[Tegevusala]],Table4[[Tegevusala kood]:[Tegevusala alanimetus]],4,FALSE)</f>
        <v>Muu elamu- ja kommunaalmajanduse tegevus</v>
      </c>
      <c r="E400" s="14" t="str">
        <f>VLOOKUP(C400,Table4[[Tegevusala nimetus]:[Tegevusala koondnimetus]],2,FALSE)</f>
        <v>Elamu- ja kommunaalmajandus</v>
      </c>
      <c r="F400" s="14" t="s">
        <v>850</v>
      </c>
      <c r="G400" s="14" t="s">
        <v>2175</v>
      </c>
      <c r="H400" s="14">
        <v>1</v>
      </c>
      <c r="I400" s="14" t="s">
        <v>2027</v>
      </c>
      <c r="J400" s="14">
        <v>250</v>
      </c>
      <c r="K400" s="14">
        <f t="shared" si="19"/>
        <v>250</v>
      </c>
      <c r="L400" s="14">
        <v>12</v>
      </c>
      <c r="M400" s="14"/>
      <c r="N400" s="44">
        <f>(K400*Table110[[#This Row],[Ühik2]])+M400</f>
        <v>3000</v>
      </c>
      <c r="O400" s="44">
        <f>Table110[[#This Row],[2020. EA ]]*0.338</f>
        <v>1014.0000000000001</v>
      </c>
      <c r="P400" s="14"/>
    </row>
    <row r="401" spans="1:16" x14ac:dyDescent="0.25">
      <c r="A401" s="14" t="str">
        <f t="shared" si="20"/>
        <v>08</v>
      </c>
      <c r="B401" s="76" t="s">
        <v>320</v>
      </c>
      <c r="C401" s="14" t="str">
        <f>VLOOKUP(B401,Table4[],2,FALSE)</f>
        <v xml:space="preserve"> Laekvere Rahvamaja</v>
      </c>
      <c r="D401" s="39" t="str">
        <f>VLOOKUP(Table110[[#This Row],[Tegevusala]],Table4[[Tegevusala kood]:[Tegevusala alanimetus]],4,FALSE)</f>
        <v>Rahvakultuur</v>
      </c>
      <c r="E401" s="14" t="str">
        <f>VLOOKUP(C401,Table4[[Tegevusala nimetus]:[Tegevusala koondnimetus]],2,FALSE)</f>
        <v>Vabaaeg, kultuur ja religioon</v>
      </c>
      <c r="F401" s="38" t="s">
        <v>1110</v>
      </c>
      <c r="G401" s="14" t="s">
        <v>2178</v>
      </c>
      <c r="H401" s="14">
        <v>1</v>
      </c>
      <c r="I401" s="14" t="s">
        <v>241</v>
      </c>
      <c r="J401" s="14">
        <v>825.11</v>
      </c>
      <c r="K401" s="14">
        <f t="shared" si="19"/>
        <v>825.11</v>
      </c>
      <c r="L401" s="14">
        <v>1</v>
      </c>
      <c r="M401" s="14"/>
      <c r="N401" s="44">
        <f>(K401*Table110[[#This Row],[Ühik2]])+M401</f>
        <v>825.11</v>
      </c>
      <c r="O401" s="44">
        <f>Table110[[#This Row],[2020. EA ]]*0.338</f>
        <v>278.88718</v>
      </c>
      <c r="P401" s="14"/>
    </row>
    <row r="402" spans="1:16" x14ac:dyDescent="0.25">
      <c r="A402" s="14" t="str">
        <f t="shared" si="20"/>
        <v>09</v>
      </c>
      <c r="B402" s="101" t="s">
        <v>345</v>
      </c>
      <c r="C402" s="14" t="str">
        <f>VLOOKUP(B402,Table4[],2,FALSE)</f>
        <v xml:space="preserve"> Vinni pajusti Gümnaasium</v>
      </c>
      <c r="D402" s="39" t="str">
        <f>VLOOKUP(Table110[[#This Row],[Tegevusala]],Table4[[Tegevusala kood]:[Tegevusala alanimetus]],4,FALSE)</f>
        <v>Põhihariduse otsekulud</v>
      </c>
      <c r="E402" s="14" t="str">
        <f>VLOOKUP(C402,Table4[[Tegevusala nimetus]:[Tegevusala koondnimetus]],2,FALSE)</f>
        <v>Haridus</v>
      </c>
      <c r="F402" s="14" t="s">
        <v>1449</v>
      </c>
      <c r="G402" s="14" t="s">
        <v>2201</v>
      </c>
      <c r="H402" s="14">
        <v>1</v>
      </c>
      <c r="I402" s="14" t="s">
        <v>241</v>
      </c>
      <c r="J402" s="14">
        <v>470852.02</v>
      </c>
      <c r="K402" s="14">
        <f t="shared" si="19"/>
        <v>470852.02</v>
      </c>
      <c r="L402" s="14">
        <v>1</v>
      </c>
      <c r="M402" s="14"/>
      <c r="N402" s="44">
        <f>(K402*Table110[[#This Row],[Ühik2]])+M402</f>
        <v>470852.02</v>
      </c>
      <c r="O402" s="44">
        <f>Table110[[#This Row],[2020. EA ]]*0.338</f>
        <v>159147.98276000001</v>
      </c>
      <c r="P402" s="14"/>
    </row>
    <row r="403" spans="1:16" x14ac:dyDescent="0.25">
      <c r="A403" s="14" t="str">
        <f t="shared" si="20"/>
        <v>09</v>
      </c>
      <c r="B403" s="101" t="s">
        <v>350</v>
      </c>
      <c r="C403" s="14" t="str">
        <f>VLOOKUP(B403,Table4[],2,FALSE)</f>
        <v xml:space="preserve"> Vinni pajusti Gümnaasium</v>
      </c>
      <c r="D403" s="39" t="str">
        <f>VLOOKUP(Table110[[#This Row],[Tegevusala]],Table4[[Tegevusala kood]:[Tegevusala alanimetus]],4,FALSE)</f>
        <v>Üldkeskhariduse otsekulud</v>
      </c>
      <c r="E403" s="14" t="str">
        <f>VLOOKUP(C403,Table4[[Tegevusala nimetus]:[Tegevusala koondnimetus]],2,FALSE)</f>
        <v>Haridus</v>
      </c>
      <c r="F403" s="14" t="s">
        <v>1449</v>
      </c>
      <c r="G403" s="14" t="s">
        <v>2202</v>
      </c>
      <c r="H403" s="14">
        <v>1</v>
      </c>
      <c r="I403" s="14" t="s">
        <v>241</v>
      </c>
      <c r="J403" s="14">
        <v>82511.210999999996</v>
      </c>
      <c r="K403" s="14">
        <f t="shared" si="19"/>
        <v>82511.210999999996</v>
      </c>
      <c r="L403" s="14">
        <v>1</v>
      </c>
      <c r="M403" s="14"/>
      <c r="N403" s="44">
        <f>(K403*Table110[[#This Row],[Ühik2]])+M403</f>
        <v>82511.210999999996</v>
      </c>
      <c r="O403" s="44">
        <f>Table110[[#This Row],[2020. EA ]]*0.338</f>
        <v>27888.789317999999</v>
      </c>
      <c r="P403" s="14"/>
    </row>
    <row r="404" spans="1:16" x14ac:dyDescent="0.25">
      <c r="A404" s="14" t="str">
        <f t="shared" si="20"/>
        <v>09</v>
      </c>
      <c r="B404" s="101" t="s">
        <v>247</v>
      </c>
      <c r="C404" s="14" t="str">
        <f>VLOOKUP(B404,Table4[],2,FALSE)</f>
        <v xml:space="preserve"> Roela kool</v>
      </c>
      <c r="D404" s="39" t="str">
        <f>VLOOKUP(Table110[[#This Row],[Tegevusala]],Table4[[Tegevusala kood]:[Tegevusala alanimetus]],4,FALSE)</f>
        <v>Põhihariduse otsekulud</v>
      </c>
      <c r="E404" s="14" t="str">
        <f>VLOOKUP(C404,Table4[[Tegevusala nimetus]:[Tegevusala koondnimetus]],2,FALSE)</f>
        <v>Haridus</v>
      </c>
      <c r="F404" s="14" t="s">
        <v>342</v>
      </c>
      <c r="G404" s="14" t="s">
        <v>2201</v>
      </c>
      <c r="H404" s="14">
        <v>1</v>
      </c>
      <c r="I404" s="14" t="s">
        <v>241</v>
      </c>
      <c r="J404" s="14">
        <v>171898.356</v>
      </c>
      <c r="K404" s="14">
        <f t="shared" si="19"/>
        <v>171898.356</v>
      </c>
      <c r="L404" s="14">
        <v>1</v>
      </c>
      <c r="M404" s="14"/>
      <c r="N404" s="44">
        <f>(K404*Table110[[#This Row],[Ühik2]])+M404</f>
        <v>171898.356</v>
      </c>
      <c r="O404" s="44">
        <f>Table110[[#This Row],[2020. EA ]]*0.338</f>
        <v>58101.644328000002</v>
      </c>
      <c r="P404" s="14"/>
    </row>
    <row r="405" spans="1:16" x14ac:dyDescent="0.25">
      <c r="A405" s="14" t="str">
        <f t="shared" si="20"/>
        <v>09</v>
      </c>
      <c r="B405" s="42" t="s">
        <v>343</v>
      </c>
      <c r="C405" s="14" t="str">
        <f>VLOOKUP(B405,Table4[],2,FALSE)</f>
        <v xml:space="preserve"> Tudu kool</v>
      </c>
      <c r="D405" s="39" t="str">
        <f>VLOOKUP(Table110[[#This Row],[Tegevusala]],Table4[[Tegevusala kood]:[Tegevusala alanimetus]],4,FALSE)</f>
        <v>Põhihariduse otsekulud</v>
      </c>
      <c r="E405" s="14" t="str">
        <f>VLOOKUP(C405,Table4[[Tegevusala nimetus]:[Tegevusala koondnimetus]],2,FALSE)</f>
        <v>Haridus</v>
      </c>
      <c r="F405" s="38" t="s">
        <v>1726</v>
      </c>
      <c r="G405" s="14" t="s">
        <v>2204</v>
      </c>
      <c r="H405" s="14">
        <v>1</v>
      </c>
      <c r="I405" s="14" t="s">
        <v>241</v>
      </c>
      <c r="J405" s="14">
        <v>52316.89</v>
      </c>
      <c r="K405" s="14">
        <f t="shared" si="19"/>
        <v>52316.89</v>
      </c>
      <c r="L405" s="14">
        <v>1</v>
      </c>
      <c r="M405" s="14"/>
      <c r="N405" s="44">
        <f>(K405*Table110[[#This Row],[Ühik2]])+M405</f>
        <v>52316.89</v>
      </c>
      <c r="O405" s="44">
        <f>Table110[[#This Row],[2020. EA ]]*0.338</f>
        <v>17683.108820000001</v>
      </c>
      <c r="P405" s="14"/>
    </row>
    <row r="406" spans="1:16" x14ac:dyDescent="0.25">
      <c r="A406" s="14" t="str">
        <f t="shared" si="20"/>
        <v>09</v>
      </c>
      <c r="B406" s="101" t="s">
        <v>340</v>
      </c>
      <c r="C406" s="14" t="str">
        <f>VLOOKUP(B406,Table4[],2,FALSE)</f>
        <v xml:space="preserve"> Muuga-laekvere kool-Laekvere õppehoone</v>
      </c>
      <c r="D406" s="39" t="str">
        <f>VLOOKUP(Table110[[#This Row],[Tegevusala]],Table4[[Tegevusala kood]:[Tegevusala alanimetus]],4,FALSE)</f>
        <v>Põhihariduse otsekulud</v>
      </c>
      <c r="E406" s="14" t="str">
        <f>VLOOKUP(C406,Table4[[Tegevusala nimetus]:[Tegevusala koondnimetus]],2,FALSE)</f>
        <v>Haridus</v>
      </c>
      <c r="F406" s="14" t="s">
        <v>1870</v>
      </c>
      <c r="G406" s="14" t="s">
        <v>2198</v>
      </c>
      <c r="H406" s="14">
        <v>1</v>
      </c>
      <c r="I406" s="14" t="s">
        <v>241</v>
      </c>
      <c r="J406" s="14">
        <v>5399.85</v>
      </c>
      <c r="K406" s="14">
        <f t="shared" si="19"/>
        <v>5399.85</v>
      </c>
      <c r="L406" s="14">
        <v>1</v>
      </c>
      <c r="M406" s="14"/>
      <c r="N406" s="44">
        <f>(K406*Table110[[#This Row],[Ühik2]])+M406</f>
        <v>5399.85</v>
      </c>
      <c r="O406" s="44">
        <f>Table110[[#This Row],[2020. EA ]]*0.338</f>
        <v>1825.1493000000003</v>
      </c>
      <c r="P406" s="14"/>
    </row>
    <row r="407" spans="1:16" x14ac:dyDescent="0.25">
      <c r="A407" s="14" t="str">
        <f t="shared" si="20"/>
        <v>09</v>
      </c>
      <c r="B407" t="s">
        <v>340</v>
      </c>
      <c r="C407" s="14" t="str">
        <f>VLOOKUP(B407,Table4[],2,FALSE)</f>
        <v xml:space="preserve"> Muuga-laekvere kool-Laekvere õppehoone</v>
      </c>
      <c r="D407" s="39" t="str">
        <f>VLOOKUP(Table110[[#This Row],[Tegevusala]],Table4[[Tegevusala kood]:[Tegevusala alanimetus]],4,FALSE)</f>
        <v>Põhihariduse otsekulud</v>
      </c>
      <c r="E407" s="14" t="str">
        <f>VLOOKUP(C407,Table4[[Tegevusala nimetus]:[Tegevusala koondnimetus]],2,FALSE)</f>
        <v>Haridus</v>
      </c>
      <c r="F407" s="14" t="s">
        <v>1870</v>
      </c>
      <c r="G407" s="14" t="s">
        <v>2204</v>
      </c>
      <c r="H407" s="14">
        <v>1</v>
      </c>
      <c r="I407" s="14" t="s">
        <v>241</v>
      </c>
      <c r="J407" s="14">
        <v>313901.34499999997</v>
      </c>
      <c r="K407" s="14">
        <f t="shared" si="19"/>
        <v>313901.34499999997</v>
      </c>
      <c r="L407" s="14">
        <v>1</v>
      </c>
      <c r="M407" s="14"/>
      <c r="N407" s="44">
        <f>(K407*Table110[[#This Row],[Ühik2]])+M407</f>
        <v>313901.34499999997</v>
      </c>
      <c r="O407" s="44">
        <f>Table110[[#This Row],[2020. EA ]]*0.338</f>
        <v>106098.65461</v>
      </c>
      <c r="P407" s="14"/>
    </row>
    <row r="408" spans="1:16" x14ac:dyDescent="0.25">
      <c r="A408" s="14" t="str">
        <f t="shared" si="20"/>
        <v>09</v>
      </c>
      <c r="B408" s="36" t="s">
        <v>1577</v>
      </c>
      <c r="C408" s="14" t="str">
        <f>VLOOKUP(B408,Table4[],2,FALSE)</f>
        <v xml:space="preserve"> Halduse tagatavad kulud</v>
      </c>
      <c r="D408" s="39" t="str">
        <f>VLOOKUP(Table110[[#This Row],[Tegevusala]],Table4[[Tegevusala kood]:[Tegevusala alanimetus]],4,FALSE)</f>
        <v>Muu haridus, sh hariduse haldus</v>
      </c>
      <c r="E408" s="14" t="str">
        <f>VLOOKUP(C408,Table4[[Tegevusala nimetus]:[Tegevusala koondnimetus]],2,FALSE)</f>
        <v>Haridus</v>
      </c>
      <c r="F408" s="14" t="s">
        <v>1540</v>
      </c>
      <c r="G408" s="14" t="s">
        <v>2205</v>
      </c>
      <c r="H408" s="14">
        <v>1</v>
      </c>
      <c r="I408" s="14" t="s">
        <v>241</v>
      </c>
      <c r="J408" s="14">
        <v>58554.559999999998</v>
      </c>
      <c r="K408" s="14">
        <f t="shared" si="19"/>
        <v>58554.559999999998</v>
      </c>
      <c r="L408" s="14">
        <v>1</v>
      </c>
      <c r="M408" s="14"/>
      <c r="N408" s="44">
        <f>(K408*Table110[[#This Row],[Ühik2]])+M408</f>
        <v>58554.559999999998</v>
      </c>
      <c r="O408" s="44">
        <f>Table110[[#This Row],[2020. EA ]]*0.338</f>
        <v>19791.441279999999</v>
      </c>
      <c r="P408" s="14"/>
    </row>
    <row r="409" spans="1:16" x14ac:dyDescent="0.25">
      <c r="A409" s="14" t="str">
        <f t="shared" ref="A409:A411" si="21">LEFT(B409,2)</f>
        <v>10</v>
      </c>
      <c r="B409" t="s">
        <v>370</v>
      </c>
      <c r="C409" s="14" t="str">
        <f>VLOOKUP(B409,Table4[],2,FALSE)</f>
        <v xml:space="preserve"> Hooldajatoetused</v>
      </c>
      <c r="D409" s="39" t="str">
        <f>VLOOKUP(Table110[[#This Row],[Tegevusala]],Table4[[Tegevusala kood]:[Tegevusala alanimetus]],4,FALSE)</f>
        <v>Muu puuetega inimeste sotsiaalne kaitse</v>
      </c>
      <c r="E409" s="14" t="str">
        <f>VLOOKUP(C409,Table4[[Tegevusala nimetus]:[Tegevusala koondnimetus]],2,FALSE)</f>
        <v>Sotsiaalne kaitse</v>
      </c>
      <c r="F409" s="14" t="s">
        <v>462</v>
      </c>
      <c r="G409" s="14" t="s">
        <v>704</v>
      </c>
      <c r="H409" s="14"/>
      <c r="I409" s="14"/>
      <c r="J409" s="14"/>
      <c r="K409" s="14">
        <f t="shared" ref="K409:K411" si="22">H409*J409</f>
        <v>0</v>
      </c>
      <c r="L409" s="14"/>
      <c r="M409" s="14"/>
      <c r="N409" s="44">
        <v>4270</v>
      </c>
      <c r="O409" s="44">
        <v>0</v>
      </c>
      <c r="P409" s="14"/>
    </row>
    <row r="410" spans="1:16" x14ac:dyDescent="0.25">
      <c r="A410" s="14" t="str">
        <f t="shared" si="21"/>
        <v>10</v>
      </c>
      <c r="B410" t="s">
        <v>369</v>
      </c>
      <c r="C410" s="14" t="str">
        <f>VLOOKUP(B410,Table4[],2,FALSE)</f>
        <v xml:space="preserve"> Tugiisikud puuetega inimestele</v>
      </c>
      <c r="D410" s="39" t="str">
        <f>VLOOKUP(Table110[[#This Row],[Tegevusala]],Table4[[Tegevusala kood]:[Tegevusala alanimetus]],4,FALSE)</f>
        <v>Muu puuetega inimeste sotsiaalne kaitse</v>
      </c>
      <c r="E410" s="14" t="str">
        <f>VLOOKUP(C410,Table4[[Tegevusala nimetus]:[Tegevusala koondnimetus]],2,FALSE)</f>
        <v>Sotsiaalne kaitse</v>
      </c>
      <c r="F410" s="14" t="s">
        <v>462</v>
      </c>
      <c r="G410" s="14" t="s">
        <v>677</v>
      </c>
      <c r="H410" s="14"/>
      <c r="I410" s="14"/>
      <c r="J410" s="14"/>
      <c r="K410" s="14">
        <f t="shared" si="22"/>
        <v>0</v>
      </c>
      <c r="L410" s="14"/>
      <c r="M410" s="14"/>
      <c r="N410" s="44">
        <v>3000</v>
      </c>
      <c r="O410" s="44">
        <v>0</v>
      </c>
      <c r="P410" s="14"/>
    </row>
    <row r="411" spans="1:16" x14ac:dyDescent="0.25">
      <c r="A411" s="14" t="str">
        <f t="shared" si="21"/>
        <v>10</v>
      </c>
      <c r="B411" t="s">
        <v>55</v>
      </c>
      <c r="C411" s="14" t="str">
        <f>VLOOKUP(B411,Table4[],2,FALSE)</f>
        <v xml:space="preserve"> Puuetega inimeste sotsiaalhoolekandeasutused</v>
      </c>
      <c r="D411" s="39" t="str">
        <f>VLOOKUP(Table110[[#This Row],[Tegevusala]],Table4[[Tegevusala kood]:[Tegevusala alanimetus]],4,FALSE)</f>
        <v>Puuetega inimeste sotsiaalhoolekandeasutused</v>
      </c>
      <c r="E411" s="14" t="str">
        <f>VLOOKUP(C411,Table4[[Tegevusala nimetus]:[Tegevusala koondnimetus]],2,FALSE)</f>
        <v>Sotsiaalne kaitse</v>
      </c>
      <c r="F411" s="14" t="s">
        <v>462</v>
      </c>
      <c r="G411" s="14" t="s">
        <v>716</v>
      </c>
      <c r="H411" s="14"/>
      <c r="I411" s="14"/>
      <c r="J411" s="14"/>
      <c r="K411" s="14">
        <f t="shared" si="22"/>
        <v>0</v>
      </c>
      <c r="L411" s="14"/>
      <c r="M411" s="14"/>
      <c r="N411" s="44">
        <v>8368</v>
      </c>
      <c r="O411" s="44">
        <v>0</v>
      </c>
      <c r="P411" s="14"/>
    </row>
  </sheetData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8"/>
  <sheetViews>
    <sheetView topLeftCell="D367" zoomScale="85" zoomScaleNormal="85" workbookViewId="0">
      <selection sqref="A1:P408"/>
    </sheetView>
  </sheetViews>
  <sheetFormatPr defaultRowHeight="15" x14ac:dyDescent="0.25"/>
  <cols>
    <col min="1" max="1" width="11.5703125" customWidth="1"/>
    <col min="2" max="2" width="12.85546875" customWidth="1"/>
    <col min="3" max="3" width="58" customWidth="1"/>
    <col min="4" max="4" width="21.7109375" customWidth="1"/>
    <col min="5" max="5" width="26.28515625" customWidth="1"/>
    <col min="6" max="6" width="21.28515625" customWidth="1"/>
    <col min="7" max="7" width="41.5703125" customWidth="1"/>
    <col min="8" max="8" width="29.42578125" customWidth="1"/>
    <col min="9" max="11" width="17.85546875" customWidth="1"/>
    <col min="12" max="12" width="21.85546875" customWidth="1"/>
    <col min="13" max="13" width="12.42578125" customWidth="1"/>
    <col min="14" max="14" width="12.140625" customWidth="1"/>
    <col min="15" max="15" width="12" customWidth="1"/>
  </cols>
  <sheetData>
    <row r="1" spans="1:16" x14ac:dyDescent="0.25">
      <c r="A1" s="11" t="s">
        <v>7</v>
      </c>
      <c r="B1" s="12" t="s">
        <v>1</v>
      </c>
      <c r="C1" s="12" t="s">
        <v>246</v>
      </c>
      <c r="D1" t="s">
        <v>490</v>
      </c>
      <c r="E1" s="12" t="s">
        <v>67</v>
      </c>
      <c r="F1" s="12" t="s">
        <v>5</v>
      </c>
      <c r="G1" s="12" t="s">
        <v>464</v>
      </c>
      <c r="H1" s="12" t="s">
        <v>961</v>
      </c>
      <c r="I1" s="12" t="s">
        <v>627</v>
      </c>
      <c r="J1" s="12" t="s">
        <v>466</v>
      </c>
      <c r="K1" s="12" t="s">
        <v>467</v>
      </c>
      <c r="L1" s="12" t="s">
        <v>2026</v>
      </c>
      <c r="M1" s="12" t="s">
        <v>465</v>
      </c>
      <c r="N1" s="13" t="s">
        <v>398</v>
      </c>
      <c r="O1" s="13" t="s">
        <v>488</v>
      </c>
      <c r="P1" s="13" t="s">
        <v>165</v>
      </c>
    </row>
    <row r="2" spans="1:16" x14ac:dyDescent="0.25">
      <c r="A2" t="str">
        <f>LEFT(B2,2)</f>
        <v>08</v>
      </c>
      <c r="B2" s="10" t="s">
        <v>300</v>
      </c>
      <c r="C2" t="str">
        <f>VLOOKUP(B2,Table4[],2,FALSE)</f>
        <v xml:space="preserve"> Roela Raamatukogu</v>
      </c>
      <c r="D2" s="1" t="str">
        <f>VLOOKUP(Table1[[#This Row],[Tegevusala]],Table4[[Tegevusala kood]:[Tegevusala alanimetus]],4,FALSE)</f>
        <v>Raamatukogud</v>
      </c>
      <c r="E2" t="str">
        <f>VLOOKUP(C2,Table4[[Tegevusala nimetus]:[Tegevusala koondnimetus]],2,FALSE)</f>
        <v>Vabaaeg, kultuur ja religioon</v>
      </c>
      <c r="F2" t="s">
        <v>450</v>
      </c>
      <c r="G2" t="s">
        <v>489</v>
      </c>
      <c r="H2">
        <v>1</v>
      </c>
      <c r="I2" t="s">
        <v>2027</v>
      </c>
      <c r="J2">
        <v>762</v>
      </c>
      <c r="K2">
        <f t="shared" ref="K2:K64" si="0">H2*J2</f>
        <v>762</v>
      </c>
      <c r="L2">
        <v>12</v>
      </c>
      <c r="N2" s="40">
        <f>(K2*Table1[[#This Row],[Ühik2]])+M2</f>
        <v>9144</v>
      </c>
      <c r="O2" s="40">
        <f>Table1[[#This Row],[2020. EA ]]*0.338</f>
        <v>3090.672</v>
      </c>
    </row>
    <row r="3" spans="1:16" x14ac:dyDescent="0.25">
      <c r="A3" s="14" t="str">
        <f t="shared" ref="A3:A24" si="1">LEFT(B3,2)</f>
        <v>09</v>
      </c>
      <c r="B3" t="s">
        <v>247</v>
      </c>
      <c r="C3" s="14" t="str">
        <f>VLOOKUP(B3,Table4[],2,FALSE)</f>
        <v xml:space="preserve"> Roela kool</v>
      </c>
      <c r="D3" s="14" t="str">
        <f>VLOOKUP(Table1[[#This Row],[Tegevusala]],Table4[[Tegevusala kood]:[Tegevusala alanimetus]],4,FALSE)</f>
        <v>Põhihariduse otsekulud</v>
      </c>
      <c r="E3" s="14" t="str">
        <f>VLOOKUP(C3,Table4[[Tegevusala nimetus]:[Tegevusala koondnimetus]],2,FALSE)</f>
        <v>Haridus</v>
      </c>
      <c r="F3" s="14" t="s">
        <v>342</v>
      </c>
      <c r="G3" s="38" t="s">
        <v>468</v>
      </c>
      <c r="H3" s="14">
        <v>0.5</v>
      </c>
      <c r="I3" s="14"/>
      <c r="J3" s="14">
        <v>1250</v>
      </c>
      <c r="K3">
        <f t="shared" si="0"/>
        <v>625</v>
      </c>
      <c r="L3" s="14">
        <v>5</v>
      </c>
      <c r="M3" s="14"/>
      <c r="N3" s="44">
        <f>(K3*Table1[[#This Row],[Ühik2]])+M3</f>
        <v>3125</v>
      </c>
      <c r="O3" s="44">
        <f>Table1[[#This Row],[2020. EA ]]*0.338</f>
        <v>1056.25</v>
      </c>
      <c r="P3" s="14"/>
    </row>
    <row r="4" spans="1:16" x14ac:dyDescent="0.25">
      <c r="A4" s="14" t="str">
        <f t="shared" si="1"/>
        <v>09</v>
      </c>
      <c r="B4" t="s">
        <v>247</v>
      </c>
      <c r="C4" s="14" t="str">
        <f>VLOOKUP(B4,Table4[],2,FALSE)</f>
        <v xml:space="preserve"> Roela kool</v>
      </c>
      <c r="D4" s="14" t="str">
        <f>VLOOKUP(Table1[[#This Row],[Tegevusala]],Table4[[Tegevusala kood]:[Tegevusala alanimetus]],4,FALSE)</f>
        <v>Põhihariduse otsekulud</v>
      </c>
      <c r="E4" s="14" t="str">
        <f>VLOOKUP(C4,Table4[[Tegevusala nimetus]:[Tegevusala koondnimetus]],2,FALSE)</f>
        <v>Haridus</v>
      </c>
      <c r="F4" s="14" t="s">
        <v>342</v>
      </c>
      <c r="G4" s="38" t="s">
        <v>469</v>
      </c>
      <c r="H4" s="14">
        <v>0.32</v>
      </c>
      <c r="I4" s="14"/>
      <c r="J4" s="14">
        <v>1250</v>
      </c>
      <c r="K4">
        <f t="shared" si="0"/>
        <v>400</v>
      </c>
      <c r="L4" s="14">
        <v>12</v>
      </c>
      <c r="M4" s="14"/>
      <c r="N4" s="44">
        <f>(K4*Table1[[#This Row],[Ühik2]])+M4</f>
        <v>4800</v>
      </c>
      <c r="O4" s="44">
        <f>Table1[[#This Row],[2020. EA ]]*0.338</f>
        <v>1622.4</v>
      </c>
      <c r="P4" s="14"/>
    </row>
    <row r="5" spans="1:16" x14ac:dyDescent="0.25">
      <c r="A5" s="14" t="str">
        <f t="shared" si="1"/>
        <v>09</v>
      </c>
      <c r="B5" t="s">
        <v>247</v>
      </c>
      <c r="C5" s="14" t="str">
        <f>VLOOKUP(B5,Table4[],2,FALSE)</f>
        <v xml:space="preserve"> Roela kool</v>
      </c>
      <c r="D5" s="14" t="str">
        <f>VLOOKUP(Table1[[#This Row],[Tegevusala]],Table4[[Tegevusala kood]:[Tegevusala alanimetus]],4,FALSE)</f>
        <v>Põhihariduse otsekulud</v>
      </c>
      <c r="E5" s="14" t="str">
        <f>VLOOKUP(C5,Table4[[Tegevusala nimetus]:[Tegevusala koondnimetus]],2,FALSE)</f>
        <v>Haridus</v>
      </c>
      <c r="F5" s="14" t="s">
        <v>342</v>
      </c>
      <c r="G5" s="38" t="s">
        <v>470</v>
      </c>
      <c r="H5" s="14">
        <v>0.5</v>
      </c>
      <c r="I5" s="14"/>
      <c r="J5" s="14">
        <v>998</v>
      </c>
      <c r="K5">
        <f t="shared" si="0"/>
        <v>499</v>
      </c>
      <c r="L5" s="14">
        <v>12</v>
      </c>
      <c r="M5" s="14"/>
      <c r="N5" s="44">
        <f>(K5*Table1[[#This Row],[Ühik2]])+M5</f>
        <v>5988</v>
      </c>
      <c r="O5" s="44">
        <f>Table1[[#This Row],[2020. EA ]]*0.338</f>
        <v>2023.9440000000002</v>
      </c>
      <c r="P5" s="14"/>
    </row>
    <row r="6" spans="1:16" x14ac:dyDescent="0.25">
      <c r="A6" s="14" t="str">
        <f t="shared" si="1"/>
        <v>09</v>
      </c>
      <c r="B6" t="s">
        <v>247</v>
      </c>
      <c r="C6" s="14" t="str">
        <f>VLOOKUP(B6,Table4[],2,FALSE)</f>
        <v xml:space="preserve"> Roela kool</v>
      </c>
      <c r="D6" s="14" t="str">
        <f>VLOOKUP(Table1[[#This Row],[Tegevusala]],Table4[[Tegevusala kood]:[Tegevusala alanimetus]],4,FALSE)</f>
        <v>Põhihariduse otsekulud</v>
      </c>
      <c r="E6" s="14" t="str">
        <f>VLOOKUP(C6,Table4[[Tegevusala nimetus]:[Tegevusala koondnimetus]],2,FALSE)</f>
        <v>Haridus</v>
      </c>
      <c r="F6" s="14" t="s">
        <v>342</v>
      </c>
      <c r="G6" s="38" t="s">
        <v>2171</v>
      </c>
      <c r="H6" s="14">
        <v>1</v>
      </c>
      <c r="I6" s="14"/>
      <c r="J6" s="14">
        <v>951</v>
      </c>
      <c r="K6">
        <f t="shared" si="0"/>
        <v>951</v>
      </c>
      <c r="L6" s="14">
        <v>12</v>
      </c>
      <c r="M6" s="14"/>
      <c r="N6" s="44">
        <f>(K6*Table1[[#This Row],[Ühik2]])+M6</f>
        <v>11412</v>
      </c>
      <c r="O6" s="44">
        <f>Table1[[#This Row],[2020. EA ]]*0.338</f>
        <v>3857.2560000000003</v>
      </c>
      <c r="P6" s="14"/>
    </row>
    <row r="7" spans="1:16" x14ac:dyDescent="0.25">
      <c r="A7" s="14" t="str">
        <f t="shared" si="1"/>
        <v>09</v>
      </c>
      <c r="B7" t="s">
        <v>247</v>
      </c>
      <c r="C7" s="14" t="str">
        <f>VLOOKUP(B7,Table4[],2,FALSE)</f>
        <v xml:space="preserve"> Roela kool</v>
      </c>
      <c r="D7" s="14" t="str">
        <f>VLOOKUP(Table1[[#This Row],[Tegevusala]],Table4[[Tegevusala kood]:[Tegevusala alanimetus]],4,FALSE)</f>
        <v>Põhihariduse otsekulud</v>
      </c>
      <c r="E7" s="14" t="str">
        <f>VLOOKUP(C7,Table4[[Tegevusala nimetus]:[Tegevusala koondnimetus]],2,FALSE)</f>
        <v>Haridus</v>
      </c>
      <c r="F7" s="14" t="s">
        <v>342</v>
      </c>
      <c r="G7" s="38" t="s">
        <v>472</v>
      </c>
      <c r="H7" s="14">
        <v>1.2</v>
      </c>
      <c r="I7" s="14"/>
      <c r="J7" s="14">
        <v>704</v>
      </c>
      <c r="K7">
        <f t="shared" si="0"/>
        <v>844.8</v>
      </c>
      <c r="L7" s="37">
        <v>10</v>
      </c>
      <c r="M7" s="14"/>
      <c r="N7" s="44">
        <f>(K7*Table1[[#This Row],[Ühik2]])+M7</f>
        <v>8448</v>
      </c>
      <c r="O7" s="44">
        <f>Table1[[#This Row],[2020. EA ]]*0.338</f>
        <v>2855.424</v>
      </c>
      <c r="P7" s="14"/>
    </row>
    <row r="8" spans="1:16" x14ac:dyDescent="0.25">
      <c r="A8" s="14" t="str">
        <f t="shared" si="1"/>
        <v>09</v>
      </c>
      <c r="B8" t="s">
        <v>247</v>
      </c>
      <c r="C8" s="14" t="str">
        <f>VLOOKUP(B8,Table4[],2,FALSE)</f>
        <v xml:space="preserve"> Roela kool</v>
      </c>
      <c r="D8" s="14" t="str">
        <f>VLOOKUP(Table1[[#This Row],[Tegevusala]],Table4[[Tegevusala kood]:[Tegevusala alanimetus]],4,FALSE)</f>
        <v>Põhihariduse otsekulud</v>
      </c>
      <c r="E8" s="14" t="str">
        <f>VLOOKUP(C8,Table4[[Tegevusala nimetus]:[Tegevusala koondnimetus]],2,FALSE)</f>
        <v>Haridus</v>
      </c>
      <c r="F8" s="14" t="s">
        <v>342</v>
      </c>
      <c r="G8" s="38" t="s">
        <v>2174</v>
      </c>
      <c r="H8" s="14">
        <v>0.45</v>
      </c>
      <c r="I8" s="14"/>
      <c r="J8" s="14">
        <v>704</v>
      </c>
      <c r="K8">
        <f t="shared" si="0"/>
        <v>316.8</v>
      </c>
      <c r="L8" s="37">
        <v>10</v>
      </c>
      <c r="M8" s="14"/>
      <c r="N8" s="44">
        <f>(K8*Table1[[#This Row],[Ühik2]])+M8</f>
        <v>3168</v>
      </c>
      <c r="O8" s="44">
        <f>Table1[[#This Row],[2020. EA ]]*0.338</f>
        <v>1070.7840000000001</v>
      </c>
      <c r="P8" s="14"/>
    </row>
    <row r="9" spans="1:16" x14ac:dyDescent="0.25">
      <c r="A9" s="14" t="str">
        <f t="shared" ref="A9:A15" si="2">LEFT(B9,2)</f>
        <v>09</v>
      </c>
      <c r="B9" t="s">
        <v>245</v>
      </c>
      <c r="C9" s="14" t="str">
        <f>VLOOKUP(B9,Table4[],2,FALSE)</f>
        <v xml:space="preserve"> Roela Lasteaed</v>
      </c>
      <c r="D9" s="14" t="str">
        <f>VLOOKUP(Table1[[#This Row],[Tegevusala]],Table4[[Tegevusala kood]:[Tegevusala alanimetus]],4,FALSE)</f>
        <v>Alusharidus</v>
      </c>
      <c r="E9" s="14" t="str">
        <f>VLOOKUP(C9,Table4[[Tegevusala nimetus]:[Tegevusala koondnimetus]],2,FALSE)</f>
        <v>Haridus</v>
      </c>
      <c r="F9" s="14" t="s">
        <v>342</v>
      </c>
      <c r="G9" s="38" t="s">
        <v>473</v>
      </c>
      <c r="H9" s="14">
        <v>1</v>
      </c>
      <c r="I9" s="14"/>
      <c r="J9" s="14">
        <v>660</v>
      </c>
      <c r="K9">
        <f t="shared" ref="K9:K15" si="3">H9*J9</f>
        <v>660</v>
      </c>
      <c r="L9" s="14">
        <v>12</v>
      </c>
      <c r="M9" s="14"/>
      <c r="N9" s="44">
        <f>(K9*Table1[[#This Row],[Ühik2]])+M9</f>
        <v>7920</v>
      </c>
      <c r="O9" s="44">
        <f>Table1[[#This Row],[2020. EA ]]*0.338</f>
        <v>2676.96</v>
      </c>
      <c r="P9" s="14"/>
    </row>
    <row r="10" spans="1:16" x14ac:dyDescent="0.25">
      <c r="A10" s="14" t="str">
        <f t="shared" si="2"/>
        <v>09</v>
      </c>
      <c r="B10" t="s">
        <v>245</v>
      </c>
      <c r="C10" s="14" t="str">
        <f>VLOOKUP(B10,Table4[],2,FALSE)</f>
        <v xml:space="preserve"> Roela Lasteaed</v>
      </c>
      <c r="D10" s="14" t="str">
        <f>VLOOKUP(Table1[[#This Row],[Tegevusala]],Table4[[Tegevusala kood]:[Tegevusala alanimetus]],4,FALSE)</f>
        <v>Alusharidus</v>
      </c>
      <c r="E10" s="14" t="str">
        <f>VLOOKUP(C10,Table4[[Tegevusala nimetus]:[Tegevusala koondnimetus]],2,FALSE)</f>
        <v>Haridus</v>
      </c>
      <c r="F10" s="14" t="s">
        <v>342</v>
      </c>
      <c r="G10" s="38" t="s">
        <v>473</v>
      </c>
      <c r="H10" s="14">
        <v>1</v>
      </c>
      <c r="I10" s="14"/>
      <c r="J10" s="14">
        <v>758</v>
      </c>
      <c r="K10">
        <f t="shared" si="3"/>
        <v>758</v>
      </c>
      <c r="L10" s="14">
        <v>12</v>
      </c>
      <c r="M10" s="14"/>
      <c r="N10" s="44">
        <f>(K10*Table1[[#This Row],[Ühik2]])+M10</f>
        <v>9096</v>
      </c>
      <c r="O10" s="44">
        <f>Table1[[#This Row],[2020. EA ]]*0.338</f>
        <v>3074.4480000000003</v>
      </c>
      <c r="P10" s="14"/>
    </row>
    <row r="11" spans="1:16" x14ac:dyDescent="0.25">
      <c r="A11" s="14" t="str">
        <f t="shared" si="2"/>
        <v>09</v>
      </c>
      <c r="B11" t="s">
        <v>245</v>
      </c>
      <c r="C11" s="14" t="str">
        <f>VLOOKUP(B11,Table4[],2,FALSE)</f>
        <v xml:space="preserve"> Roela Lasteaed</v>
      </c>
      <c r="D11" s="14" t="str">
        <f>VLOOKUP(Table1[[#This Row],[Tegevusala]],Table4[[Tegevusala kood]:[Tegevusala alanimetus]],4,FALSE)</f>
        <v>Alusharidus</v>
      </c>
      <c r="E11" s="14" t="str">
        <f>VLOOKUP(C11,Table4[[Tegevusala nimetus]:[Tegevusala koondnimetus]],2,FALSE)</f>
        <v>Haridus</v>
      </c>
      <c r="F11" s="14" t="s">
        <v>342</v>
      </c>
      <c r="G11" s="38" t="s">
        <v>474</v>
      </c>
      <c r="H11" s="14">
        <v>3.39</v>
      </c>
      <c r="I11" s="14"/>
      <c r="J11" s="14">
        <v>1315</v>
      </c>
      <c r="K11">
        <f t="shared" si="3"/>
        <v>4457.8500000000004</v>
      </c>
      <c r="L11" s="14">
        <v>12</v>
      </c>
      <c r="M11" s="14"/>
      <c r="N11" s="44">
        <f>(K11*Table1[[#This Row],[Ühik2]])+M11</f>
        <v>53494.200000000004</v>
      </c>
      <c r="O11" s="44">
        <f>Table1[[#This Row],[2020. EA ]]*0.338</f>
        <v>18081.039600000004</v>
      </c>
      <c r="P11" s="14"/>
    </row>
    <row r="12" spans="1:16" x14ac:dyDescent="0.25">
      <c r="A12" s="14" t="str">
        <f t="shared" si="2"/>
        <v>09</v>
      </c>
      <c r="B12" t="s">
        <v>245</v>
      </c>
      <c r="C12" s="14" t="str">
        <f>VLOOKUP(B12,Table4[],2,FALSE)</f>
        <v xml:space="preserve"> Roela Lasteaed</v>
      </c>
      <c r="D12" s="14" t="str">
        <f>VLOOKUP(Table1[[#This Row],[Tegevusala]],Table4[[Tegevusala kood]:[Tegevusala alanimetus]],4,FALSE)</f>
        <v>Alusharidus</v>
      </c>
      <c r="E12" s="14" t="str">
        <f>VLOOKUP(C12,Table4[[Tegevusala nimetus]:[Tegevusala koondnimetus]],2,FALSE)</f>
        <v>Haridus</v>
      </c>
      <c r="F12" s="14" t="s">
        <v>342</v>
      </c>
      <c r="G12" s="38" t="s">
        <v>475</v>
      </c>
      <c r="H12" s="14">
        <v>0.15</v>
      </c>
      <c r="I12" s="14"/>
      <c r="J12" s="14">
        <v>1315</v>
      </c>
      <c r="K12">
        <f t="shared" si="3"/>
        <v>197.25</v>
      </c>
      <c r="L12" s="14">
        <v>12</v>
      </c>
      <c r="M12" s="14"/>
      <c r="N12" s="44">
        <f>(K12*Table1[[#This Row],[Ühik2]])+M12</f>
        <v>2367</v>
      </c>
      <c r="O12" s="44">
        <f>Table1[[#This Row],[2020. EA ]]*0.338</f>
        <v>800.04600000000005</v>
      </c>
      <c r="P12" s="14"/>
    </row>
    <row r="13" spans="1:16" x14ac:dyDescent="0.25">
      <c r="A13" s="14" t="str">
        <f t="shared" si="2"/>
        <v>09</v>
      </c>
      <c r="B13" t="s">
        <v>245</v>
      </c>
      <c r="C13" s="14" t="str">
        <f>VLOOKUP(B13,Table4[],2,FALSE)</f>
        <v xml:space="preserve"> Roela Lasteaed</v>
      </c>
      <c r="D13" s="14" t="str">
        <f>VLOOKUP(Table1[[#This Row],[Tegevusala]],Table4[[Tegevusala kood]:[Tegevusala alanimetus]],4,FALSE)</f>
        <v>Alusharidus</v>
      </c>
      <c r="E13" s="14" t="str">
        <f>VLOOKUP(C13,Table4[[Tegevusala nimetus]:[Tegevusala koondnimetus]],2,FALSE)</f>
        <v>Haridus</v>
      </c>
      <c r="F13" s="14" t="s">
        <v>342</v>
      </c>
      <c r="G13" s="38" t="s">
        <v>476</v>
      </c>
      <c r="H13" s="14">
        <v>0.25</v>
      </c>
      <c r="I13" s="14"/>
      <c r="J13" s="14">
        <v>1315</v>
      </c>
      <c r="K13">
        <f t="shared" si="3"/>
        <v>328.75</v>
      </c>
      <c r="L13" s="14">
        <v>12</v>
      </c>
      <c r="M13" s="14"/>
      <c r="N13" s="44">
        <f>(K13*Table1[[#This Row],[Ühik2]])+M13</f>
        <v>3945</v>
      </c>
      <c r="O13" s="44">
        <f>Table1[[#This Row],[2020. EA ]]*0.338</f>
        <v>1333.41</v>
      </c>
      <c r="P13" s="14"/>
    </row>
    <row r="14" spans="1:16" x14ac:dyDescent="0.25">
      <c r="A14" s="14" t="str">
        <f t="shared" si="2"/>
        <v>09</v>
      </c>
      <c r="B14" t="s">
        <v>245</v>
      </c>
      <c r="C14" s="14" t="str">
        <f>VLOOKUP(B14,Table4[],2,FALSE)</f>
        <v xml:space="preserve"> Roela Lasteaed</v>
      </c>
      <c r="D14" s="14" t="str">
        <f>VLOOKUP(Table1[[#This Row],[Tegevusala]],Table4[[Tegevusala kood]:[Tegevusala alanimetus]],4,FALSE)</f>
        <v>Alusharidus</v>
      </c>
      <c r="E14" s="14" t="str">
        <f>VLOOKUP(C14,Table4[[Tegevusala nimetus]:[Tegevusala koondnimetus]],2,FALSE)</f>
        <v>Haridus</v>
      </c>
      <c r="F14" s="14" t="s">
        <v>342</v>
      </c>
      <c r="G14" s="38" t="s">
        <v>477</v>
      </c>
      <c r="H14" s="14">
        <v>0.15</v>
      </c>
      <c r="I14" s="14"/>
      <c r="J14" s="14">
        <v>1315</v>
      </c>
      <c r="K14">
        <f t="shared" si="3"/>
        <v>197.25</v>
      </c>
      <c r="L14" s="14">
        <v>12</v>
      </c>
      <c r="M14" s="14"/>
      <c r="N14" s="44">
        <f>(K14*Table1[[#This Row],[Ühik2]])+M14</f>
        <v>2367</v>
      </c>
      <c r="O14" s="44">
        <f>Table1[[#This Row],[2020. EA ]]*0.338</f>
        <v>800.04600000000005</v>
      </c>
      <c r="P14" s="14"/>
    </row>
    <row r="15" spans="1:16" x14ac:dyDescent="0.25">
      <c r="A15" s="91" t="str">
        <f t="shared" si="2"/>
        <v>09</v>
      </c>
      <c r="B15" s="92" t="s">
        <v>245</v>
      </c>
      <c r="C15" s="91" t="str">
        <f>VLOOKUP(B15,Table4[],2,FALSE)</f>
        <v xml:space="preserve"> Roela Lasteaed</v>
      </c>
      <c r="D15" s="91" t="str">
        <f>VLOOKUP(Table1[[#This Row],[Tegevusala]],Table4[[Tegevusala kood]:[Tegevusala alanimetus]],4,FALSE)</f>
        <v>Alusharidus</v>
      </c>
      <c r="E15" s="91" t="str">
        <f>VLOOKUP(C15,Table4[[Tegevusala nimetus]:[Tegevusala koondnimetus]],2,FALSE)</f>
        <v>Haridus</v>
      </c>
      <c r="F15" s="91" t="s">
        <v>342</v>
      </c>
      <c r="G15" s="91" t="s">
        <v>478</v>
      </c>
      <c r="H15" s="91">
        <v>0.5</v>
      </c>
      <c r="I15" s="91"/>
      <c r="J15" s="91">
        <v>584</v>
      </c>
      <c r="K15" s="92">
        <f t="shared" si="3"/>
        <v>292</v>
      </c>
      <c r="L15" s="91">
        <v>12</v>
      </c>
      <c r="M15" s="91"/>
      <c r="N15" s="93">
        <f>(K15*Table1[[#This Row],[Ühik2]])+M15</f>
        <v>3504</v>
      </c>
      <c r="O15" s="93">
        <f>Table1[[#This Row],[2020. EA ]]*0.338</f>
        <v>1184.3520000000001</v>
      </c>
      <c r="P15" s="91"/>
    </row>
    <row r="16" spans="1:16" x14ac:dyDescent="0.25">
      <c r="A16" s="91" t="str">
        <f t="shared" si="1"/>
        <v>09</v>
      </c>
      <c r="B16" s="92" t="s">
        <v>247</v>
      </c>
      <c r="C16" s="91" t="str">
        <f>VLOOKUP(B16,Table4[],2,FALSE)</f>
        <v xml:space="preserve"> Roela kool</v>
      </c>
      <c r="D16" s="91" t="str">
        <f>VLOOKUP(Table1[[#This Row],[Tegevusala]],Table4[[Tegevusala kood]:[Tegevusala alanimetus]],4,FALSE)</f>
        <v>Põhihariduse otsekulud</v>
      </c>
      <c r="E16" s="91" t="str">
        <f>VLOOKUP(C16,Table4[[Tegevusala nimetus]:[Tegevusala koondnimetus]],2,FALSE)</f>
        <v>Haridus</v>
      </c>
      <c r="F16" s="91" t="s">
        <v>342</v>
      </c>
      <c r="G16" s="91" t="s">
        <v>479</v>
      </c>
      <c r="H16" s="91">
        <v>0.6</v>
      </c>
      <c r="I16" s="91"/>
      <c r="J16" s="91">
        <v>584</v>
      </c>
      <c r="K16" s="92">
        <f t="shared" si="0"/>
        <v>350.4</v>
      </c>
      <c r="L16" s="91">
        <v>12</v>
      </c>
      <c r="M16" s="91"/>
      <c r="N16" s="93">
        <f>(K16*Table1[[#This Row],[Ühik2]])+M16</f>
        <v>4204.7999999999993</v>
      </c>
      <c r="O16" s="93">
        <f>Table1[[#This Row],[2020. EA ]]*0.338</f>
        <v>1421.2223999999999</v>
      </c>
      <c r="P16" s="91"/>
    </row>
    <row r="17" spans="1:16" x14ac:dyDescent="0.25">
      <c r="A17" s="91" t="str">
        <f t="shared" si="1"/>
        <v>09</v>
      </c>
      <c r="B17" s="92" t="s">
        <v>247</v>
      </c>
      <c r="C17" s="91" t="str">
        <f>VLOOKUP(B17,Table4[],2,FALSE)</f>
        <v xml:space="preserve"> Roela kool</v>
      </c>
      <c r="D17" s="91" t="str">
        <f>VLOOKUP(Table1[[#This Row],[Tegevusala]],Table4[[Tegevusala kood]:[Tegevusala alanimetus]],4,FALSE)</f>
        <v>Põhihariduse otsekulud</v>
      </c>
      <c r="E17" s="91" t="str">
        <f>VLOOKUP(C17,Table4[[Tegevusala nimetus]:[Tegevusala koondnimetus]],2,FALSE)</f>
        <v>Haridus</v>
      </c>
      <c r="F17" s="91" t="s">
        <v>342</v>
      </c>
      <c r="G17" s="91" t="s">
        <v>480</v>
      </c>
      <c r="H17" s="91">
        <v>0.5</v>
      </c>
      <c r="I17" s="91"/>
      <c r="J17" s="91">
        <v>584</v>
      </c>
      <c r="K17" s="92">
        <f t="shared" si="0"/>
        <v>292</v>
      </c>
      <c r="L17" s="91">
        <v>12</v>
      </c>
      <c r="M17" s="91"/>
      <c r="N17" s="93">
        <f>(K17*Table1[[#This Row],[Ühik2]])+M17</f>
        <v>3504</v>
      </c>
      <c r="O17" s="93">
        <f>Table1[[#This Row],[2020. EA ]]*0.338</f>
        <v>1184.3520000000001</v>
      </c>
      <c r="P17" s="91"/>
    </row>
    <row r="18" spans="1:16" x14ac:dyDescent="0.25">
      <c r="A18" s="91" t="str">
        <f t="shared" si="1"/>
        <v>09</v>
      </c>
      <c r="B18" s="92" t="s">
        <v>247</v>
      </c>
      <c r="C18" s="91" t="str">
        <f>VLOOKUP(B18,Table4[],2,FALSE)</f>
        <v xml:space="preserve"> Roela kool</v>
      </c>
      <c r="D18" s="91" t="str">
        <f>VLOOKUP(Table1[[#This Row],[Tegevusala]],Table4[[Tegevusala kood]:[Tegevusala alanimetus]],4,FALSE)</f>
        <v>Põhihariduse otsekulud</v>
      </c>
      <c r="E18" s="91" t="str">
        <f>VLOOKUP(C18,Table4[[Tegevusala nimetus]:[Tegevusala koondnimetus]],2,FALSE)</f>
        <v>Haridus</v>
      </c>
      <c r="F18" s="91" t="s">
        <v>342</v>
      </c>
      <c r="G18" s="91" t="s">
        <v>481</v>
      </c>
      <c r="H18" s="91">
        <v>1</v>
      </c>
      <c r="I18" s="91"/>
      <c r="J18" s="91">
        <v>584</v>
      </c>
      <c r="K18" s="92">
        <f t="shared" si="0"/>
        <v>584</v>
      </c>
      <c r="L18" s="91">
        <v>12</v>
      </c>
      <c r="M18" s="91"/>
      <c r="N18" s="93">
        <f>(K18*Table1[[#This Row],[Ühik2]])+M18</f>
        <v>7008</v>
      </c>
      <c r="O18" s="93">
        <f>Table1[[#This Row],[2020. EA ]]*0.338</f>
        <v>2368.7040000000002</v>
      </c>
      <c r="P18" s="91"/>
    </row>
    <row r="19" spans="1:16" x14ac:dyDescent="0.25">
      <c r="A19" s="91" t="str">
        <f t="shared" si="1"/>
        <v>09</v>
      </c>
      <c r="B19" s="92" t="s">
        <v>247</v>
      </c>
      <c r="C19" s="91" t="str">
        <f>VLOOKUP(B19,Table4[],2,FALSE)</f>
        <v xml:space="preserve"> Roela kool</v>
      </c>
      <c r="D19" s="91" t="str">
        <f>VLOOKUP(Table1[[#This Row],[Tegevusala]],Table4[[Tegevusala kood]:[Tegevusala alanimetus]],4,FALSE)</f>
        <v>Põhihariduse otsekulud</v>
      </c>
      <c r="E19" s="91" t="str">
        <f>VLOOKUP(C19,Table4[[Tegevusala nimetus]:[Tegevusala koondnimetus]],2,FALSE)</f>
        <v>Haridus</v>
      </c>
      <c r="F19" s="91" t="s">
        <v>342</v>
      </c>
      <c r="G19" s="91" t="s">
        <v>482</v>
      </c>
      <c r="H19" s="91">
        <v>4.4000000000000004</v>
      </c>
      <c r="I19" s="91"/>
      <c r="J19" s="91">
        <v>584</v>
      </c>
      <c r="K19" s="92">
        <f t="shared" si="0"/>
        <v>2569.6000000000004</v>
      </c>
      <c r="L19" s="91">
        <v>12</v>
      </c>
      <c r="M19" s="91"/>
      <c r="N19" s="93">
        <f>(K19*Table1[[#This Row],[Ühik2]])+M19</f>
        <v>30835.200000000004</v>
      </c>
      <c r="O19" s="93">
        <f>Table1[[#This Row],[2020. EA ]]*0.338</f>
        <v>10422.297600000002</v>
      </c>
      <c r="P19" s="91"/>
    </row>
    <row r="20" spans="1:16" x14ac:dyDescent="0.25">
      <c r="A20" s="14" t="str">
        <f t="shared" si="1"/>
        <v>09</v>
      </c>
      <c r="B20" t="s">
        <v>247</v>
      </c>
      <c r="C20" s="14" t="str">
        <f>VLOOKUP(B20,Table4[],2,FALSE)</f>
        <v xml:space="preserve"> Roela kool</v>
      </c>
      <c r="D20" s="14" t="str">
        <f>VLOOKUP(Table1[[#This Row],[Tegevusala]],Table4[[Tegevusala kood]:[Tegevusala alanimetus]],4,FALSE)</f>
        <v>Põhihariduse otsekulud</v>
      </c>
      <c r="E20" s="14" t="str">
        <f>VLOOKUP(C20,Table4[[Tegevusala nimetus]:[Tegevusala koondnimetus]],2,FALSE)</f>
        <v>Haridus</v>
      </c>
      <c r="F20" s="14" t="s">
        <v>342</v>
      </c>
      <c r="G20" s="38" t="s">
        <v>483</v>
      </c>
      <c r="H20" s="14">
        <v>0.5</v>
      </c>
      <c r="I20" s="14"/>
      <c r="J20" s="14">
        <v>735</v>
      </c>
      <c r="K20">
        <f t="shared" si="0"/>
        <v>367.5</v>
      </c>
      <c r="L20" s="14">
        <v>12</v>
      </c>
      <c r="M20" s="14">
        <v>1800</v>
      </c>
      <c r="N20" s="44">
        <f>(K20*Table1[[#This Row],[Ühik2]])+M20</f>
        <v>6210</v>
      </c>
      <c r="O20" s="44">
        <f>Table1[[#This Row],[2020. EA ]]*0.338</f>
        <v>2098.98</v>
      </c>
      <c r="P20" s="14"/>
    </row>
    <row r="21" spans="1:16" x14ac:dyDescent="0.25">
      <c r="A21" s="38" t="str">
        <f t="shared" si="1"/>
        <v>09</v>
      </c>
      <c r="B21" s="33" t="s">
        <v>247</v>
      </c>
      <c r="C21" s="38" t="str">
        <f>VLOOKUP(B21,Table4[],2,FALSE)</f>
        <v xml:space="preserve"> Roela kool</v>
      </c>
      <c r="D21" s="38" t="str">
        <f>VLOOKUP(Table1[[#This Row],[Tegevusala]],Table4[[Tegevusala kood]:[Tegevusala alanimetus]],4,FALSE)</f>
        <v>Põhihariduse otsekulud</v>
      </c>
      <c r="E21" s="38" t="str">
        <f>VLOOKUP(C21,Table4[[Tegevusala nimetus]:[Tegevusala koondnimetus]],2,FALSE)</f>
        <v>Haridus</v>
      </c>
      <c r="F21" s="38" t="s">
        <v>342</v>
      </c>
      <c r="G21" s="38" t="s">
        <v>484</v>
      </c>
      <c r="H21" s="38">
        <v>1</v>
      </c>
      <c r="I21" s="38"/>
      <c r="J21" s="38">
        <v>760</v>
      </c>
      <c r="K21" s="33">
        <f t="shared" si="0"/>
        <v>760</v>
      </c>
      <c r="L21" s="38">
        <v>12</v>
      </c>
      <c r="M21" s="38"/>
      <c r="N21" s="45">
        <f>(K21*Table1[[#This Row],[Ühik2]])+M21</f>
        <v>9120</v>
      </c>
      <c r="O21" s="45">
        <f>Table1[[#This Row],[2020. EA ]]*0.338</f>
        <v>3082.5600000000004</v>
      </c>
      <c r="P21" s="38"/>
    </row>
    <row r="22" spans="1:16" x14ac:dyDescent="0.25">
      <c r="A22" s="14" t="str">
        <f t="shared" si="1"/>
        <v>09</v>
      </c>
      <c r="B22" t="s">
        <v>247</v>
      </c>
      <c r="C22" s="14" t="str">
        <f>VLOOKUP(B22,Table4[],2,FALSE)</f>
        <v xml:space="preserve"> Roela kool</v>
      </c>
      <c r="D22" s="14" t="str">
        <f>VLOOKUP(Table1[[#This Row],[Tegevusala]],Table4[[Tegevusala kood]:[Tegevusala alanimetus]],4,FALSE)</f>
        <v>Põhihariduse otsekulud</v>
      </c>
      <c r="E22" s="14" t="str">
        <f>VLOOKUP(C22,Table4[[Tegevusala nimetus]:[Tegevusala koondnimetus]],2,FALSE)</f>
        <v>Haridus</v>
      </c>
      <c r="F22" s="14" t="s">
        <v>342</v>
      </c>
      <c r="G22" s="14" t="s">
        <v>485</v>
      </c>
      <c r="H22" s="14"/>
      <c r="I22" s="14"/>
      <c r="J22" s="14"/>
      <c r="K22">
        <f t="shared" si="0"/>
        <v>0</v>
      </c>
      <c r="L22" s="14">
        <v>12</v>
      </c>
      <c r="M22" s="14">
        <v>576</v>
      </c>
      <c r="N22" s="44">
        <f>(K22*Table1[[#This Row],[Ühik2]])+M22</f>
        <v>576</v>
      </c>
      <c r="O22" s="44">
        <f>Table1[[#This Row],[2020. EA ]]*0.338</f>
        <v>194.68800000000002</v>
      </c>
      <c r="P22" s="14"/>
    </row>
    <row r="23" spans="1:16" x14ac:dyDescent="0.25">
      <c r="A23" s="91" t="str">
        <f t="shared" si="1"/>
        <v>09</v>
      </c>
      <c r="B23" s="92" t="s">
        <v>247</v>
      </c>
      <c r="C23" s="91" t="str">
        <f>VLOOKUP(B23,Table4[],2,FALSE)</f>
        <v xml:space="preserve"> Roela kool</v>
      </c>
      <c r="D23" s="91" t="str">
        <f>VLOOKUP(Table1[[#This Row],[Tegevusala]],Table4[[Tegevusala kood]:[Tegevusala alanimetus]],4,FALSE)</f>
        <v>Põhihariduse otsekulud</v>
      </c>
      <c r="E23" s="91" t="str">
        <f>VLOOKUP(C23,Table4[[Tegevusala nimetus]:[Tegevusala koondnimetus]],2,FALSE)</f>
        <v>Haridus</v>
      </c>
      <c r="F23" s="91" t="s">
        <v>342</v>
      </c>
      <c r="G23" s="91" t="s">
        <v>486</v>
      </c>
      <c r="H23" s="91">
        <v>1</v>
      </c>
      <c r="I23" s="91"/>
      <c r="J23" s="91">
        <v>584</v>
      </c>
      <c r="K23" s="92">
        <f t="shared" si="0"/>
        <v>584</v>
      </c>
      <c r="L23" s="91">
        <v>12</v>
      </c>
      <c r="M23" s="91"/>
      <c r="N23" s="93">
        <f>(K23*Table1[[#This Row],[Ühik2]])+M23</f>
        <v>7008</v>
      </c>
      <c r="O23" s="93">
        <f>Table1[[#This Row],[2020. EA ]]*0.338</f>
        <v>2368.7040000000002</v>
      </c>
      <c r="P23" s="91"/>
    </row>
    <row r="24" spans="1:16" x14ac:dyDescent="0.25">
      <c r="A24" s="14" t="str">
        <f t="shared" si="1"/>
        <v>09</v>
      </c>
      <c r="B24" t="s">
        <v>247</v>
      </c>
      <c r="C24" s="14" t="str">
        <f>VLOOKUP(B24,Table4[],2,FALSE)</f>
        <v xml:space="preserve"> Roela kool</v>
      </c>
      <c r="D24" s="14" t="str">
        <f>VLOOKUP(Table1[[#This Row],[Tegevusala]],Table4[[Tegevusala kood]:[Tegevusala alanimetus]],4,FALSE)</f>
        <v>Põhihariduse otsekulud</v>
      </c>
      <c r="E24" s="14" t="str">
        <f>VLOOKUP(C24,Table4[[Tegevusala nimetus]:[Tegevusala koondnimetus]],2,FALSE)</f>
        <v>Haridus</v>
      </c>
      <c r="F24" s="14" t="s">
        <v>342</v>
      </c>
      <c r="G24" s="14" t="s">
        <v>485</v>
      </c>
      <c r="H24" s="14"/>
      <c r="I24" s="14"/>
      <c r="J24" s="14"/>
      <c r="K24">
        <f t="shared" si="0"/>
        <v>0</v>
      </c>
      <c r="L24" s="14">
        <v>12</v>
      </c>
      <c r="M24" s="14">
        <v>117</v>
      </c>
      <c r="N24" s="44">
        <f>(K24*Table1[[#This Row],[Ühik2]])+M24</f>
        <v>117</v>
      </c>
      <c r="O24" s="44">
        <f>Table1[[#This Row],[2020. EA ]]*0.338</f>
        <v>39.545999999999999</v>
      </c>
      <c r="P24" s="14"/>
    </row>
    <row r="25" spans="1:16" x14ac:dyDescent="0.25">
      <c r="A25" s="91" t="str">
        <f>LEFT(B25,2)</f>
        <v>10</v>
      </c>
      <c r="B25" s="92" t="s">
        <v>378</v>
      </c>
      <c r="C25" s="91" t="str">
        <f>VLOOKUP(B25,Table4[],2,FALSE)</f>
        <v xml:space="preserve"> Vinni Päevakeskus</v>
      </c>
      <c r="D25" s="91" t="str">
        <f>VLOOKUP(Table1[[#This Row],[Tegevusala]],Table4[[Tegevusala kood]:[Tegevusala alanimetus]],4,FALSE)</f>
        <v>Eakate sotsiaalhoolekande asutused</v>
      </c>
      <c r="E25" s="91" t="str">
        <f>VLOOKUP(C25,Table4[[Tegevusala nimetus]:[Tegevusala koondnimetus]],2,FALSE)</f>
        <v>Sotsiaalne kaitse</v>
      </c>
      <c r="F25" s="92" t="s">
        <v>437</v>
      </c>
      <c r="G25" s="91" t="s">
        <v>487</v>
      </c>
      <c r="H25" s="91">
        <v>1</v>
      </c>
      <c r="I25" s="91"/>
      <c r="J25" s="91">
        <v>584</v>
      </c>
      <c r="K25" s="92">
        <f t="shared" si="0"/>
        <v>584</v>
      </c>
      <c r="L25" s="91">
        <v>12</v>
      </c>
      <c r="M25" s="91"/>
      <c r="N25" s="93">
        <f>(K25*Table1[[#This Row],[Ühik2]])+M25</f>
        <v>7008</v>
      </c>
      <c r="O25" s="93">
        <f>Table1[[#This Row],[2020. EA ]]*0.338</f>
        <v>2368.7040000000002</v>
      </c>
      <c r="P25" s="91"/>
    </row>
    <row r="26" spans="1:16" x14ac:dyDescent="0.25">
      <c r="A26" s="14" t="str">
        <f>LEFT(B26,2)</f>
        <v>01</v>
      </c>
      <c r="B26" t="s">
        <v>15</v>
      </c>
      <c r="C26" s="14" t="str">
        <f>VLOOKUP(B26,Table4[],2,FALSE)</f>
        <v xml:space="preserve"> Valla- ja linnavalitsus</v>
      </c>
      <c r="D26" s="14" t="str">
        <f>VLOOKUP(Table1[[#This Row],[Tegevusala]],Table4[[Tegevusala kood]:[Tegevusala alanimetus]],4,FALSE)</f>
        <v>Valla- ja linnavalitsus</v>
      </c>
      <c r="E26" s="14" t="str">
        <f>VLOOKUP(C26,Table4[[Tegevusala nimetus]:[Tegevusala koondnimetus]],2,FALSE)</f>
        <v>Üldised valitsussektori teenused</v>
      </c>
      <c r="F26" s="14" t="s">
        <v>491</v>
      </c>
      <c r="G26" s="14" t="s">
        <v>492</v>
      </c>
      <c r="H26" s="14">
        <v>1</v>
      </c>
      <c r="I26" s="14"/>
      <c r="J26" s="14">
        <v>2000</v>
      </c>
      <c r="K26">
        <f t="shared" si="0"/>
        <v>2000</v>
      </c>
      <c r="L26" s="14">
        <v>12</v>
      </c>
      <c r="M26" s="14"/>
      <c r="N26" s="44">
        <f>(K26*Table1[[#This Row],[Ühik2]])+M26</f>
        <v>24000</v>
      </c>
      <c r="O26" s="44">
        <f>Table1[[#This Row],[2020. EA ]]*0.338</f>
        <v>8112.0000000000009</v>
      </c>
      <c r="P26" s="14"/>
    </row>
    <row r="27" spans="1:16" x14ac:dyDescent="0.25">
      <c r="A27" s="14" t="str">
        <f>LEFT(B27,2)</f>
        <v>01</v>
      </c>
      <c r="B27" t="s">
        <v>15</v>
      </c>
      <c r="C27" s="14" t="str">
        <f>VLOOKUP(B27,Table4[],2,FALSE)</f>
        <v xml:space="preserve"> Valla- ja linnavalitsus</v>
      </c>
      <c r="D27" s="14" t="str">
        <f>VLOOKUP(Table1[[#This Row],[Tegevusala]],Table4[[Tegevusala kood]:[Tegevusala alanimetus]],4,FALSE)</f>
        <v>Valla- ja linnavalitsus</v>
      </c>
      <c r="E27" s="14" t="str">
        <f>VLOOKUP(C27,Table4[[Tegevusala nimetus]:[Tegevusala koondnimetus]],2,FALSE)</f>
        <v>Üldised valitsussektori teenused</v>
      </c>
      <c r="F27" s="14" t="s">
        <v>491</v>
      </c>
      <c r="G27" s="14" t="s">
        <v>493</v>
      </c>
      <c r="H27" s="14">
        <v>1</v>
      </c>
      <c r="I27" s="14"/>
      <c r="J27" s="14">
        <v>1750</v>
      </c>
      <c r="K27">
        <f t="shared" si="0"/>
        <v>1750</v>
      </c>
      <c r="L27" s="14">
        <v>12</v>
      </c>
      <c r="M27" s="14"/>
      <c r="N27" s="44">
        <f>(K27*Table1[[#This Row],[Ühik2]])+M27</f>
        <v>21000</v>
      </c>
      <c r="O27" s="44">
        <f>Table1[[#This Row],[2020. EA ]]*0.338</f>
        <v>7098.0000000000009</v>
      </c>
      <c r="P27" s="14"/>
    </row>
    <row r="28" spans="1:16" x14ac:dyDescent="0.25">
      <c r="A28" s="14" t="str">
        <f>LEFT(B28,2)</f>
        <v>01</v>
      </c>
      <c r="B28" t="s">
        <v>15</v>
      </c>
      <c r="C28" s="14" t="str">
        <f>VLOOKUP(B28,Table4[],2,FALSE)</f>
        <v xml:space="preserve"> Valla- ja linnavalitsus</v>
      </c>
      <c r="D28" s="14" t="str">
        <f>VLOOKUP(Table1[[#This Row],[Tegevusala]],Table4[[Tegevusala kood]:[Tegevusala alanimetus]],4,FALSE)</f>
        <v>Valla- ja linnavalitsus</v>
      </c>
      <c r="E28" s="14" t="str">
        <f>VLOOKUP(C28,Table4[[Tegevusala nimetus]:[Tegevusala koondnimetus]],2,FALSE)</f>
        <v>Üldised valitsussektori teenused</v>
      </c>
      <c r="F28" s="14" t="s">
        <v>491</v>
      </c>
      <c r="G28" s="14" t="s">
        <v>494</v>
      </c>
      <c r="H28" s="14">
        <v>2</v>
      </c>
      <c r="I28" s="14"/>
      <c r="J28" s="14">
        <v>1250</v>
      </c>
      <c r="K28">
        <f t="shared" si="0"/>
        <v>2500</v>
      </c>
      <c r="L28" s="14">
        <v>12</v>
      </c>
      <c r="M28" s="14"/>
      <c r="N28" s="44">
        <f>(K28*Table1[[#This Row],[Ühik2]])+M28</f>
        <v>30000</v>
      </c>
      <c r="O28" s="44">
        <f>Table1[[#This Row],[2020. EA ]]*0.338</f>
        <v>10140</v>
      </c>
      <c r="P28" s="14"/>
    </row>
    <row r="29" spans="1:16" x14ac:dyDescent="0.25">
      <c r="A29" s="14" t="str">
        <f t="shared" ref="A29:A32" si="4">LEFT(B29,2)</f>
        <v>08</v>
      </c>
      <c r="B29" t="s">
        <v>273</v>
      </c>
      <c r="C29" s="14" t="str">
        <f>VLOOKUP(B29,Table4[],2,FALSE)</f>
        <v xml:space="preserve"> Muuga Spordihoone</v>
      </c>
      <c r="D29" s="14" t="str">
        <f>VLOOKUP(Table1[[#This Row],[Tegevusala]],Table4[[Tegevusala kood]:[Tegevusala alanimetus]],4,FALSE)</f>
        <v>Sport</v>
      </c>
      <c r="E29" s="14" t="str">
        <f>VLOOKUP(C29,Table4[[Tegevusala nimetus]:[Tegevusala koondnimetus]],2,FALSE)</f>
        <v>Vabaaeg, kultuur ja religioon</v>
      </c>
      <c r="F29" s="14" t="s">
        <v>505</v>
      </c>
      <c r="G29" s="14" t="s">
        <v>523</v>
      </c>
      <c r="H29" s="14">
        <v>1</v>
      </c>
      <c r="I29" s="14"/>
      <c r="J29" s="14">
        <v>700</v>
      </c>
      <c r="K29">
        <f t="shared" si="0"/>
        <v>700</v>
      </c>
      <c r="L29" s="14">
        <v>12</v>
      </c>
      <c r="M29" s="14"/>
      <c r="N29" s="44">
        <f>(K29*Table1[[#This Row],[Ühik2]])+M29</f>
        <v>8400</v>
      </c>
      <c r="O29" s="44">
        <f>Table1[[#This Row],[2020. EA ]]*0.338</f>
        <v>2839.2000000000003</v>
      </c>
      <c r="P29" s="14"/>
    </row>
    <row r="30" spans="1:16" x14ac:dyDescent="0.25">
      <c r="A30" s="91" t="str">
        <f t="shared" si="4"/>
        <v>08</v>
      </c>
      <c r="B30" s="92" t="s">
        <v>273</v>
      </c>
      <c r="C30" s="91" t="str">
        <f>VLOOKUP(B30,Table4[],2,FALSE)</f>
        <v xml:space="preserve"> Muuga Spordihoone</v>
      </c>
      <c r="D30" s="91" t="str">
        <f>VLOOKUP(Table1[[#This Row],[Tegevusala]],Table4[[Tegevusala kood]:[Tegevusala alanimetus]],4,FALSE)</f>
        <v>Sport</v>
      </c>
      <c r="E30" s="91" t="str">
        <f>VLOOKUP(C30,Table4[[Tegevusala nimetus]:[Tegevusala koondnimetus]],2,FALSE)</f>
        <v>Vabaaeg, kultuur ja religioon</v>
      </c>
      <c r="F30" s="91" t="s">
        <v>505</v>
      </c>
      <c r="G30" s="91" t="s">
        <v>524</v>
      </c>
      <c r="H30" s="91">
        <v>1</v>
      </c>
      <c r="I30" s="91"/>
      <c r="J30" s="91">
        <v>584</v>
      </c>
      <c r="K30" s="92">
        <f t="shared" si="0"/>
        <v>584</v>
      </c>
      <c r="L30" s="91">
        <v>12</v>
      </c>
      <c r="M30" s="91"/>
      <c r="N30" s="93">
        <f>(K30*Table1[[#This Row],[Ühik2]])+M30</f>
        <v>7008</v>
      </c>
      <c r="O30" s="93">
        <f>Table1[[#This Row],[2020. EA ]]*0.338</f>
        <v>2368.7040000000002</v>
      </c>
      <c r="P30" s="91"/>
    </row>
    <row r="31" spans="1:16" x14ac:dyDescent="0.25">
      <c r="A31" s="14" t="str">
        <f t="shared" si="4"/>
        <v>08</v>
      </c>
      <c r="B31" t="s">
        <v>273</v>
      </c>
      <c r="C31" s="14" t="str">
        <f>VLOOKUP(B31,Table4[],2,FALSE)</f>
        <v xml:space="preserve"> Muuga Spordihoone</v>
      </c>
      <c r="D31" s="14" t="str">
        <f>VLOOKUP(Table1[[#This Row],[Tegevusala]],Table4[[Tegevusala kood]:[Tegevusala alanimetus]],4,FALSE)</f>
        <v>Sport</v>
      </c>
      <c r="E31" s="14" t="str">
        <f>VLOOKUP(C31,Table4[[Tegevusala nimetus]:[Tegevusala koondnimetus]],2,FALSE)</f>
        <v>Vabaaeg, kultuur ja religioon</v>
      </c>
      <c r="F31" s="14" t="s">
        <v>505</v>
      </c>
      <c r="G31" s="14" t="s">
        <v>525</v>
      </c>
      <c r="H31" s="14"/>
      <c r="I31" s="14"/>
      <c r="J31" s="14"/>
      <c r="K31">
        <f t="shared" si="0"/>
        <v>0</v>
      </c>
      <c r="L31" s="14">
        <v>1</v>
      </c>
      <c r="M31" s="14">
        <v>360</v>
      </c>
      <c r="N31" s="44">
        <f>(K31*Table1[[#This Row],[Ühik2]])+M31</f>
        <v>360</v>
      </c>
      <c r="O31" s="44">
        <f>Table1[[#This Row],[2020. EA ]]*0.338</f>
        <v>121.68</v>
      </c>
      <c r="P31" s="14"/>
    </row>
    <row r="32" spans="1:16" x14ac:dyDescent="0.25">
      <c r="A32" s="14" t="str">
        <f t="shared" si="4"/>
        <v>08</v>
      </c>
      <c r="B32" t="s">
        <v>273</v>
      </c>
      <c r="C32" s="14" t="str">
        <f>VLOOKUP(B32,Table4[],2,FALSE)</f>
        <v xml:space="preserve"> Muuga Spordihoone</v>
      </c>
      <c r="D32" s="14" t="str">
        <f>VLOOKUP(Table1[[#This Row],[Tegevusala]],Table4[[Tegevusala kood]:[Tegevusala alanimetus]],4,FALSE)</f>
        <v>Sport</v>
      </c>
      <c r="E32" s="14" t="str">
        <f>VLOOKUP(C32,Table4[[Tegevusala nimetus]:[Tegevusala koondnimetus]],2,FALSE)</f>
        <v>Vabaaeg, kultuur ja religioon</v>
      </c>
      <c r="F32" s="14" t="s">
        <v>505</v>
      </c>
      <c r="G32" s="14" t="s">
        <v>526</v>
      </c>
      <c r="H32" s="14"/>
      <c r="I32" s="14"/>
      <c r="J32" s="14"/>
      <c r="K32">
        <f t="shared" si="0"/>
        <v>0</v>
      </c>
      <c r="L32" s="14">
        <v>1</v>
      </c>
      <c r="M32" s="14">
        <v>215</v>
      </c>
      <c r="N32" s="44">
        <f>(K32*Table1[[#This Row],[Ühik2]])+M32</f>
        <v>215</v>
      </c>
      <c r="O32" s="44">
        <f>Table1[[#This Row],[2020. EA ]]*0.338</f>
        <v>72.67</v>
      </c>
      <c r="P32" s="14"/>
    </row>
    <row r="33" spans="1:16" x14ac:dyDescent="0.25">
      <c r="A33" s="14" t="str">
        <f t="shared" ref="A33:A34" si="5">LEFT(B33,2)</f>
        <v>08</v>
      </c>
      <c r="B33" t="s">
        <v>306</v>
      </c>
      <c r="C33" s="14" t="str">
        <f>VLOOKUP(B33,Table4[],2,FALSE)</f>
        <v xml:space="preserve"> Laekvere Raamatukogu</v>
      </c>
      <c r="D33" s="14" t="str">
        <f>VLOOKUP(Table1[[#This Row],[Tegevusala]],Table4[[Tegevusala kood]:[Tegevusala alanimetus]],4,FALSE)</f>
        <v>Raamatukogud</v>
      </c>
      <c r="E33" s="14" t="str">
        <f>VLOOKUP(C33,Table4[[Tegevusala nimetus]:[Tegevusala koondnimetus]],2,FALSE)</f>
        <v>Vabaaeg, kultuur ja religioon</v>
      </c>
      <c r="F33" s="14" t="s">
        <v>529</v>
      </c>
      <c r="G33" s="14" t="s">
        <v>527</v>
      </c>
      <c r="H33" s="14">
        <v>1</v>
      </c>
      <c r="I33" s="14"/>
      <c r="J33" s="14">
        <v>966</v>
      </c>
      <c r="K33">
        <f t="shared" si="0"/>
        <v>966</v>
      </c>
      <c r="L33" s="14">
        <v>12</v>
      </c>
      <c r="M33" s="14"/>
      <c r="N33" s="44">
        <f>(K33*Table1[[#This Row],[Ühik2]])+M33</f>
        <v>11592</v>
      </c>
      <c r="O33" s="44">
        <f>Table1[[#This Row],[2020. EA ]]*0.338</f>
        <v>3918.0960000000005</v>
      </c>
      <c r="P33" s="14"/>
    </row>
    <row r="34" spans="1:16" x14ac:dyDescent="0.25">
      <c r="A34" s="14" t="str">
        <f t="shared" si="5"/>
        <v>08</v>
      </c>
      <c r="B34" t="s">
        <v>306</v>
      </c>
      <c r="C34" s="14" t="str">
        <f>VLOOKUP(B34,Table4[],2,FALSE)</f>
        <v xml:space="preserve"> Laekvere Raamatukogu</v>
      </c>
      <c r="D34" s="14" t="str">
        <f>VLOOKUP(Table1[[#This Row],[Tegevusala]],Table4[[Tegevusala kood]:[Tegevusala alanimetus]],4,FALSE)</f>
        <v>Raamatukogud</v>
      </c>
      <c r="E34" s="14" t="str">
        <f>VLOOKUP(C34,Table4[[Tegevusala nimetus]:[Tegevusala koondnimetus]],2,FALSE)</f>
        <v>Vabaaeg, kultuur ja religioon</v>
      </c>
      <c r="F34" s="14" t="s">
        <v>529</v>
      </c>
      <c r="G34" s="14" t="s">
        <v>528</v>
      </c>
      <c r="H34" s="14">
        <v>1</v>
      </c>
      <c r="I34" s="14"/>
      <c r="J34" s="14">
        <v>736</v>
      </c>
      <c r="K34">
        <f t="shared" si="0"/>
        <v>736</v>
      </c>
      <c r="L34" s="14">
        <v>12</v>
      </c>
      <c r="M34" s="14"/>
      <c r="N34" s="44">
        <f>(K34*Table1[[#This Row],[Ühik2]])+M34</f>
        <v>8832</v>
      </c>
      <c r="O34" s="44">
        <f>Table1[[#This Row],[2020. EA ]]*0.338</f>
        <v>2985.2160000000003</v>
      </c>
      <c r="P34" s="14"/>
    </row>
    <row r="35" spans="1:16" x14ac:dyDescent="0.25">
      <c r="A35" s="14" t="str">
        <f t="shared" ref="A35:A41" si="6">LEFT(B35,2)</f>
        <v>08</v>
      </c>
      <c r="B35" t="s">
        <v>275</v>
      </c>
      <c r="C35" s="14" t="str">
        <f>VLOOKUP(B35,Table4[],2,FALSE)</f>
        <v xml:space="preserve"> Staadion</v>
      </c>
      <c r="D35" s="14" t="str">
        <f>VLOOKUP(Table1[[#This Row],[Tegevusala]],Table4[[Tegevusala kood]:[Tegevusala alanimetus]],4,FALSE)</f>
        <v>Sport</v>
      </c>
      <c r="E35" s="14" t="str">
        <f>VLOOKUP(C35,Table4[[Tegevusala nimetus]:[Tegevusala koondnimetus]],2,FALSE)</f>
        <v>Vabaaeg, kultuur ja religioon</v>
      </c>
      <c r="F35" s="14" t="s">
        <v>648</v>
      </c>
      <c r="G35" s="14" t="s">
        <v>647</v>
      </c>
      <c r="H35" s="14">
        <v>1</v>
      </c>
      <c r="I35" s="14"/>
      <c r="J35" s="14">
        <v>1008</v>
      </c>
      <c r="K35" s="14">
        <f t="shared" si="0"/>
        <v>1008</v>
      </c>
      <c r="L35" s="14">
        <v>5</v>
      </c>
      <c r="M35" s="14"/>
      <c r="N35" s="44">
        <f>(K35*Table1[[#This Row],[Ühik2]])+M35</f>
        <v>5040</v>
      </c>
      <c r="O35" s="44">
        <f>Table1[[#This Row],[2020. EA ]]*0.338</f>
        <v>1703.5200000000002</v>
      </c>
      <c r="P35" s="14"/>
    </row>
    <row r="36" spans="1:16" x14ac:dyDescent="0.25">
      <c r="A36" s="91" t="str">
        <f t="shared" si="6"/>
        <v>10</v>
      </c>
      <c r="B36" s="92" t="s">
        <v>380</v>
      </c>
      <c r="C36" s="91" t="str">
        <f>VLOOKUP(B36,Table4[],2,FALSE)</f>
        <v xml:space="preserve"> Hooldajad</v>
      </c>
      <c r="D36" s="91" t="str">
        <f>VLOOKUP(Table1[[#This Row],[Tegevusala]],Table4[[Tegevusala kood]:[Tegevusala alanimetus]],4,FALSE)</f>
        <v>Muu eakate sotsiaalne kaitse</v>
      </c>
      <c r="E36" s="91" t="str">
        <f>VLOOKUP(C36,Table4[[Tegevusala nimetus]:[Tegevusala koondnimetus]],2,FALSE)</f>
        <v>Sotsiaalne kaitse</v>
      </c>
      <c r="F36" s="91" t="s">
        <v>462</v>
      </c>
      <c r="G36" s="91" t="s">
        <v>723</v>
      </c>
      <c r="H36" s="91">
        <v>1</v>
      </c>
      <c r="I36" s="91"/>
      <c r="J36" s="91">
        <v>584</v>
      </c>
      <c r="K36" s="91">
        <f t="shared" si="0"/>
        <v>584</v>
      </c>
      <c r="L36" s="91">
        <v>12</v>
      </c>
      <c r="M36" s="91"/>
      <c r="N36" s="93">
        <f>(K36*Table1[[#This Row],[Ühik2]])+M36</f>
        <v>7008</v>
      </c>
      <c r="O36" s="93">
        <f>Table1[[#This Row],[2020. EA ]]*0.338</f>
        <v>2368.7040000000002</v>
      </c>
      <c r="P36" s="91"/>
    </row>
    <row r="37" spans="1:16" x14ac:dyDescent="0.25">
      <c r="A37" s="14" t="str">
        <f t="shared" si="6"/>
        <v>10</v>
      </c>
      <c r="B37" t="s">
        <v>380</v>
      </c>
      <c r="C37" s="14" t="str">
        <f>VLOOKUP(B37,Table4[],2,FALSE)</f>
        <v xml:space="preserve"> Hooldajad</v>
      </c>
      <c r="D37" s="14" t="str">
        <f>VLOOKUP(Table1[[#This Row],[Tegevusala]],Table4[[Tegevusala kood]:[Tegevusala alanimetus]],4,FALSE)</f>
        <v>Muu eakate sotsiaalne kaitse</v>
      </c>
      <c r="E37" s="14" t="str">
        <f>VLOOKUP(C37,Table4[[Tegevusala nimetus]:[Tegevusala koondnimetus]],2,FALSE)</f>
        <v>Sotsiaalne kaitse</v>
      </c>
      <c r="F37" s="14" t="s">
        <v>462</v>
      </c>
      <c r="G37" s="14" t="s">
        <v>724</v>
      </c>
      <c r="H37" s="14">
        <v>1</v>
      </c>
      <c r="I37" s="14"/>
      <c r="J37" s="14">
        <v>723</v>
      </c>
      <c r="K37" s="14">
        <f t="shared" si="0"/>
        <v>723</v>
      </c>
      <c r="L37" s="14">
        <v>1</v>
      </c>
      <c r="M37" s="14"/>
      <c r="N37" s="44">
        <f>(K37*Table1[[#This Row],[Ühik2]])+M37</f>
        <v>723</v>
      </c>
      <c r="O37" s="44">
        <f>Table1[[#This Row],[2020. EA ]]*0.338</f>
        <v>244.37400000000002</v>
      </c>
      <c r="P37" s="14"/>
    </row>
    <row r="38" spans="1:16" x14ac:dyDescent="0.25">
      <c r="A38" s="14" t="str">
        <f t="shared" si="6"/>
        <v>10</v>
      </c>
      <c r="B38" t="s">
        <v>380</v>
      </c>
      <c r="C38" s="14" t="str">
        <f>VLOOKUP(B38,Table4[],2,FALSE)</f>
        <v xml:space="preserve"> Hooldajad</v>
      </c>
      <c r="D38" s="14" t="str">
        <f>VLOOKUP(Table1[[#This Row],[Tegevusala]],Table4[[Tegevusala kood]:[Tegevusala alanimetus]],4,FALSE)</f>
        <v>Muu eakate sotsiaalne kaitse</v>
      </c>
      <c r="E38" s="14" t="str">
        <f>VLOOKUP(C38,Table4[[Tegevusala nimetus]:[Tegevusala koondnimetus]],2,FALSE)</f>
        <v>Sotsiaalne kaitse</v>
      </c>
      <c r="F38" s="14" t="s">
        <v>462</v>
      </c>
      <c r="G38" s="14" t="s">
        <v>725</v>
      </c>
      <c r="H38" s="14">
        <v>1</v>
      </c>
      <c r="I38" s="14"/>
      <c r="J38" s="14">
        <v>600</v>
      </c>
      <c r="K38" s="14">
        <f t="shared" si="0"/>
        <v>600</v>
      </c>
      <c r="L38" s="14">
        <v>12</v>
      </c>
      <c r="M38" s="14"/>
      <c r="N38" s="44">
        <f>(K38*Table1[[#This Row],[Ühik2]])+M38</f>
        <v>7200</v>
      </c>
      <c r="O38" s="44">
        <f>Table1[[#This Row],[2020. EA ]]*0.338</f>
        <v>2433.6000000000004</v>
      </c>
      <c r="P38" s="14"/>
    </row>
    <row r="39" spans="1:16" x14ac:dyDescent="0.25">
      <c r="A39" s="14" t="str">
        <f t="shared" si="6"/>
        <v>10</v>
      </c>
      <c r="B39" t="s">
        <v>380</v>
      </c>
      <c r="C39" s="14" t="str">
        <f>VLOOKUP(B39,Table4[],2,FALSE)</f>
        <v xml:space="preserve"> Hooldajad</v>
      </c>
      <c r="D39" s="14" t="str">
        <f>VLOOKUP(Table1[[#This Row],[Tegevusala]],Table4[[Tegevusala kood]:[Tegevusala alanimetus]],4,FALSE)</f>
        <v>Muu eakate sotsiaalne kaitse</v>
      </c>
      <c r="E39" s="14" t="str">
        <f>VLOOKUP(C39,Table4[[Tegevusala nimetus]:[Tegevusala koondnimetus]],2,FALSE)</f>
        <v>Sotsiaalne kaitse</v>
      </c>
      <c r="F39" s="14" t="s">
        <v>462</v>
      </c>
      <c r="G39" s="14" t="s">
        <v>724</v>
      </c>
      <c r="H39" s="14">
        <v>1</v>
      </c>
      <c r="I39" s="14"/>
      <c r="J39" s="14">
        <v>803</v>
      </c>
      <c r="K39" s="14">
        <f t="shared" si="0"/>
        <v>803</v>
      </c>
      <c r="L39" s="14">
        <v>1</v>
      </c>
      <c r="M39" s="14"/>
      <c r="N39" s="44">
        <f>(K39*Table1[[#This Row],[Ühik2]])+M39</f>
        <v>803</v>
      </c>
      <c r="O39" s="44">
        <f>Table1[[#This Row],[2020. EA ]]*0.338</f>
        <v>271.41400000000004</v>
      </c>
      <c r="P39" s="14"/>
    </row>
    <row r="40" spans="1:16" x14ac:dyDescent="0.25">
      <c r="A40" s="14" t="str">
        <f t="shared" si="6"/>
        <v>10</v>
      </c>
      <c r="B40" t="s">
        <v>380</v>
      </c>
      <c r="C40" s="14" t="str">
        <f>VLOOKUP(B40,Table4[],2,FALSE)</f>
        <v xml:space="preserve"> Hooldajad</v>
      </c>
      <c r="D40" s="14" t="str">
        <f>VLOOKUP(Table1[[#This Row],[Tegevusala]],Table4[[Tegevusala kood]:[Tegevusala alanimetus]],4,FALSE)</f>
        <v>Muu eakate sotsiaalne kaitse</v>
      </c>
      <c r="E40" s="14" t="str">
        <f>VLOOKUP(C40,Table4[[Tegevusala nimetus]:[Tegevusala koondnimetus]],2,FALSE)</f>
        <v>Sotsiaalne kaitse</v>
      </c>
      <c r="F40" s="14" t="s">
        <v>462</v>
      </c>
      <c r="G40" s="14" t="s">
        <v>726</v>
      </c>
      <c r="H40" s="14">
        <v>1</v>
      </c>
      <c r="I40" s="14"/>
      <c r="J40" s="14">
        <v>630</v>
      </c>
      <c r="K40" s="14">
        <f t="shared" si="0"/>
        <v>630</v>
      </c>
      <c r="L40" s="14">
        <v>12</v>
      </c>
      <c r="M40" s="14"/>
      <c r="N40" s="44">
        <f>(K40*Table1[[#This Row],[Ühik2]])+M40</f>
        <v>7560</v>
      </c>
      <c r="O40" s="44">
        <f>Table1[[#This Row],[2020. EA ]]*0.338</f>
        <v>2555.2800000000002</v>
      </c>
      <c r="P40" s="14"/>
    </row>
    <row r="41" spans="1:16" x14ac:dyDescent="0.25">
      <c r="A41" s="14" t="str">
        <f t="shared" si="6"/>
        <v>10</v>
      </c>
      <c r="B41" t="s">
        <v>380</v>
      </c>
      <c r="C41" s="14" t="str">
        <f>VLOOKUP(B41,Table4[],2,FALSE)</f>
        <v xml:space="preserve"> Hooldajad</v>
      </c>
      <c r="D41" s="14" t="str">
        <f>VLOOKUP(Table1[[#This Row],[Tegevusala]],Table4[[Tegevusala kood]:[Tegevusala alanimetus]],4,FALSE)</f>
        <v>Muu eakate sotsiaalne kaitse</v>
      </c>
      <c r="E41" s="14" t="str">
        <f>VLOOKUP(C41,Table4[[Tegevusala nimetus]:[Tegevusala koondnimetus]],2,FALSE)</f>
        <v>Sotsiaalne kaitse</v>
      </c>
      <c r="F41" s="14" t="s">
        <v>462</v>
      </c>
      <c r="G41" s="14" t="s">
        <v>724</v>
      </c>
      <c r="H41" s="14">
        <v>1</v>
      </c>
      <c r="I41" s="14"/>
      <c r="J41" s="14">
        <v>977</v>
      </c>
      <c r="K41" s="14">
        <f t="shared" si="0"/>
        <v>977</v>
      </c>
      <c r="L41" s="14">
        <v>1</v>
      </c>
      <c r="M41" s="14"/>
      <c r="N41" s="44">
        <f>(K41*Table1[[#This Row],[Ühik2]])+M41</f>
        <v>977</v>
      </c>
      <c r="O41" s="44">
        <f>Table1[[#This Row],[2020. EA ]]*0.338</f>
        <v>330.226</v>
      </c>
      <c r="P41" s="14"/>
    </row>
    <row r="42" spans="1:16" x14ac:dyDescent="0.25">
      <c r="A42" s="14" t="str">
        <f t="shared" ref="A42:A49" si="7">LEFT(B42,2)</f>
        <v>10</v>
      </c>
      <c r="B42" t="s">
        <v>65</v>
      </c>
      <c r="C42" s="14" t="str">
        <f>VLOOKUP(B42,Table4[],2,FALSE)</f>
        <v xml:space="preserve"> Muu sotsiaalne kaitse, sh sotsiaalse kaitse haldus</v>
      </c>
      <c r="D42" s="14" t="str">
        <f>VLOOKUP(Table1[[#This Row],[Tegevusala]],Table4[[Tegevusala kood]:[Tegevusala alanimetus]],4,FALSE)</f>
        <v>Muu sotsiaalne kaitse, sh sotsiaalse kaitse haldus</v>
      </c>
      <c r="E42" s="14" t="str">
        <f>VLOOKUP(C42,Table4[[Tegevusala nimetus]:[Tegevusala koondnimetus]],2,FALSE)</f>
        <v>Sotsiaalne kaitse</v>
      </c>
      <c r="F42" s="14" t="s">
        <v>462</v>
      </c>
      <c r="G42" s="14" t="s">
        <v>742</v>
      </c>
      <c r="H42" s="14">
        <v>1</v>
      </c>
      <c r="I42" s="14"/>
      <c r="J42" s="14">
        <v>2000</v>
      </c>
      <c r="K42" s="14">
        <f t="shared" si="0"/>
        <v>2000</v>
      </c>
      <c r="L42" s="14">
        <v>12</v>
      </c>
      <c r="M42" s="14"/>
      <c r="N42" s="44">
        <f>(K42*Table1[[#This Row],[Ühik2]])+M42</f>
        <v>24000</v>
      </c>
      <c r="O42" s="44">
        <f>Table1[[#This Row],[2020. EA ]]*0.338</f>
        <v>8112.0000000000009</v>
      </c>
      <c r="P42" s="14"/>
    </row>
    <row r="43" spans="1:16" x14ac:dyDescent="0.25">
      <c r="A43" s="14" t="str">
        <f t="shared" si="7"/>
        <v>10</v>
      </c>
      <c r="B43" t="s">
        <v>65</v>
      </c>
      <c r="C43" s="14" t="str">
        <f>VLOOKUP(B43,Table4[],2,FALSE)</f>
        <v xml:space="preserve"> Muu sotsiaalne kaitse, sh sotsiaalse kaitse haldus</v>
      </c>
      <c r="D43" s="14" t="str">
        <f>VLOOKUP(Table1[[#This Row],[Tegevusala]],Table4[[Tegevusala kood]:[Tegevusala alanimetus]],4,FALSE)</f>
        <v>Muu sotsiaalne kaitse, sh sotsiaalse kaitse haldus</v>
      </c>
      <c r="E43" s="14" t="str">
        <f>VLOOKUP(C43,Table4[[Tegevusala nimetus]:[Tegevusala koondnimetus]],2,FALSE)</f>
        <v>Sotsiaalne kaitse</v>
      </c>
      <c r="F43" s="14" t="s">
        <v>462</v>
      </c>
      <c r="G43" s="14" t="s">
        <v>744</v>
      </c>
      <c r="H43" s="14">
        <v>2</v>
      </c>
      <c r="I43" s="14"/>
      <c r="J43" s="14">
        <v>1200</v>
      </c>
      <c r="K43" s="14">
        <f t="shared" si="0"/>
        <v>2400</v>
      </c>
      <c r="L43" s="14">
        <v>12</v>
      </c>
      <c r="M43" s="14"/>
      <c r="N43" s="44">
        <f>(K43*Table1[[#This Row],[Ühik2]])+M43</f>
        <v>28800</v>
      </c>
      <c r="O43" s="44">
        <f>Table1[[#This Row],[2020. EA ]]*0.338</f>
        <v>9734.4000000000015</v>
      </c>
      <c r="P43" s="14"/>
    </row>
    <row r="44" spans="1:16" x14ac:dyDescent="0.25">
      <c r="A44" s="14" t="str">
        <f t="shared" si="7"/>
        <v>10</v>
      </c>
      <c r="B44" t="s">
        <v>65</v>
      </c>
      <c r="C44" s="14" t="str">
        <f>VLOOKUP(B44,Table4[],2,FALSE)</f>
        <v xml:space="preserve"> Muu sotsiaalne kaitse, sh sotsiaalse kaitse haldus</v>
      </c>
      <c r="D44" s="14" t="str">
        <f>VLOOKUP(Table1[[#This Row],[Tegevusala]],Table4[[Tegevusala kood]:[Tegevusala alanimetus]],4,FALSE)</f>
        <v>Muu sotsiaalne kaitse, sh sotsiaalse kaitse haldus</v>
      </c>
      <c r="E44" s="14" t="str">
        <f>VLOOKUP(C44,Table4[[Tegevusala nimetus]:[Tegevusala koondnimetus]],2,FALSE)</f>
        <v>Sotsiaalne kaitse</v>
      </c>
      <c r="F44" s="14" t="s">
        <v>462</v>
      </c>
      <c r="G44" s="14" t="s">
        <v>744</v>
      </c>
      <c r="H44" s="14">
        <v>1</v>
      </c>
      <c r="I44" s="14"/>
      <c r="J44" s="14">
        <v>1560</v>
      </c>
      <c r="K44" s="14">
        <f t="shared" si="0"/>
        <v>1560</v>
      </c>
      <c r="L44" s="14">
        <v>12</v>
      </c>
      <c r="M44" s="14"/>
      <c r="N44" s="44">
        <f>(K44*Table1[[#This Row],[Ühik2]])+M44</f>
        <v>18720</v>
      </c>
      <c r="O44" s="44">
        <f>Table1[[#This Row],[2020. EA ]]*0.338</f>
        <v>6327.3600000000006</v>
      </c>
      <c r="P44" s="14"/>
    </row>
    <row r="45" spans="1:16" x14ac:dyDescent="0.25">
      <c r="A45" s="14" t="str">
        <f t="shared" si="7"/>
        <v>10</v>
      </c>
      <c r="B45" t="s">
        <v>65</v>
      </c>
      <c r="C45" s="14" t="str">
        <f>VLOOKUP(B45,Table4[],2,FALSE)</f>
        <v xml:space="preserve"> Muu sotsiaalne kaitse, sh sotsiaalse kaitse haldus</v>
      </c>
      <c r="D45" s="14" t="str">
        <f>VLOOKUP(Table1[[#This Row],[Tegevusala]],Table4[[Tegevusala kood]:[Tegevusala alanimetus]],4,FALSE)</f>
        <v>Muu sotsiaalne kaitse, sh sotsiaalse kaitse haldus</v>
      </c>
      <c r="E45" s="14" t="str">
        <f>VLOOKUP(C45,Table4[[Tegevusala nimetus]:[Tegevusala koondnimetus]],2,FALSE)</f>
        <v>Sotsiaalne kaitse</v>
      </c>
      <c r="F45" s="14" t="s">
        <v>462</v>
      </c>
      <c r="G45" s="14" t="s">
        <v>745</v>
      </c>
      <c r="H45" s="14">
        <v>1</v>
      </c>
      <c r="I45" s="14"/>
      <c r="J45" s="14">
        <v>1560</v>
      </c>
      <c r="K45" s="14">
        <f t="shared" si="0"/>
        <v>1560</v>
      </c>
      <c r="L45" s="14">
        <v>12</v>
      </c>
      <c r="M45" s="14"/>
      <c r="N45" s="44">
        <f>(K45*Table1[[#This Row],[Ühik2]])+M45</f>
        <v>18720</v>
      </c>
      <c r="O45" s="44">
        <f>Table1[[#This Row],[2020. EA ]]*0.338</f>
        <v>6327.3600000000006</v>
      </c>
      <c r="P45" s="14"/>
    </row>
    <row r="46" spans="1:16" x14ac:dyDescent="0.25">
      <c r="A46" s="38" t="str">
        <f t="shared" si="7"/>
        <v>08</v>
      </c>
      <c r="B46" s="31" t="s">
        <v>642</v>
      </c>
      <c r="C46" s="38" t="str">
        <f>VLOOKUP(B46,Table4[],2,FALSE)</f>
        <v xml:space="preserve"> Lastelaagrid</v>
      </c>
      <c r="D46" s="38" t="str">
        <f>VLOOKUP(Table1[[#This Row],[Tegevusala]],Table4[[Tegevusala kood]:[Tegevusala alanimetus]],4,FALSE)</f>
        <v>Noorsootöö ja noortekeskused</v>
      </c>
      <c r="E46" s="38" t="str">
        <f>VLOOKUP(C46,Table4[[Tegevusala nimetus]:[Tegevusala koondnimetus]],2,FALSE)</f>
        <v>Vabaaeg, kultuur ja religioon</v>
      </c>
      <c r="F46" s="33" t="s">
        <v>770</v>
      </c>
      <c r="G46" s="38" t="s">
        <v>771</v>
      </c>
      <c r="H46" s="38">
        <v>1</v>
      </c>
      <c r="I46" s="38"/>
      <c r="J46" s="38">
        <v>10687.59</v>
      </c>
      <c r="K46" s="38">
        <f t="shared" si="0"/>
        <v>10687.59</v>
      </c>
      <c r="L46" s="38">
        <v>1</v>
      </c>
      <c r="M46" s="38"/>
      <c r="N46" s="45">
        <f>(K46*Table1[[#This Row],[Ühik2]])+M46</f>
        <v>10687.59</v>
      </c>
      <c r="O46" s="45">
        <f>Table1[[#This Row],[2020. EA ]]*0.338</f>
        <v>3612.4054200000005</v>
      </c>
      <c r="P46" s="38"/>
    </row>
    <row r="47" spans="1:16" x14ac:dyDescent="0.25">
      <c r="A47" s="14" t="str">
        <f t="shared" si="7"/>
        <v>08</v>
      </c>
      <c r="B47" t="s">
        <v>281</v>
      </c>
      <c r="C47" s="14" t="str">
        <f>VLOOKUP(B47,Table4[],2,FALSE)</f>
        <v xml:space="preserve"> Noorsootöö haldus</v>
      </c>
      <c r="D47" s="14" t="str">
        <f>VLOOKUP(Table1[[#This Row],[Tegevusala]],Table4[[Tegevusala kood]:[Tegevusala alanimetus]],4,FALSE)</f>
        <v>Noorsootöö ja noortekeskused</v>
      </c>
      <c r="E47" s="14" t="str">
        <f>VLOOKUP(C47,Table4[[Tegevusala nimetus]:[Tegevusala koondnimetus]],2,FALSE)</f>
        <v>Vabaaeg, kultuur ja religioon</v>
      </c>
      <c r="F47" s="14" t="s">
        <v>770</v>
      </c>
      <c r="G47" s="14" t="s">
        <v>770</v>
      </c>
      <c r="H47" s="14">
        <v>1</v>
      </c>
      <c r="I47" s="14"/>
      <c r="J47" s="14">
        <v>1560</v>
      </c>
      <c r="K47" s="14">
        <f t="shared" si="0"/>
        <v>1560</v>
      </c>
      <c r="L47" s="14">
        <v>12</v>
      </c>
      <c r="M47" s="14"/>
      <c r="N47" s="44">
        <f>(K47*Table1[[#This Row],[Ühik2]])+M47</f>
        <v>18720</v>
      </c>
      <c r="O47" s="44">
        <f>Table1[[#This Row],[2020. EA ]]*0.338</f>
        <v>6327.3600000000006</v>
      </c>
      <c r="P47" s="14"/>
    </row>
    <row r="48" spans="1:16" x14ac:dyDescent="0.25">
      <c r="A48" s="14" t="str">
        <f t="shared" si="7"/>
        <v>01</v>
      </c>
      <c r="B48" t="s">
        <v>19</v>
      </c>
      <c r="C48" s="14" t="str">
        <f>VLOOKUP(B48,Table4[],2,FALSE)</f>
        <v xml:space="preserve"> Muud üldised valitsussektori teenused</v>
      </c>
      <c r="D48" s="14" t="str">
        <f>VLOOKUP(Table1[[#This Row],[Tegevusala]],Table4[[Tegevusala kood]:[Tegevusala alanimetus]],4,FALSE)</f>
        <v>Muud üldised valitsussektori teenused</v>
      </c>
      <c r="E48" s="14" t="str">
        <f>VLOOKUP(C48,Table4[[Tegevusala nimetus]:[Tegevusala koondnimetus]],2,FALSE)</f>
        <v>Üldised valitsussektori teenused</v>
      </c>
      <c r="F48" s="14" t="s">
        <v>797</v>
      </c>
      <c r="G48" s="14" t="s">
        <v>796</v>
      </c>
      <c r="H48" s="14">
        <v>1</v>
      </c>
      <c r="I48" s="14" t="s">
        <v>2027</v>
      </c>
      <c r="J48" s="14">
        <v>255</v>
      </c>
      <c r="K48" s="14">
        <f t="shared" si="0"/>
        <v>255</v>
      </c>
      <c r="L48" s="14">
        <v>1</v>
      </c>
      <c r="M48" s="14"/>
      <c r="N48" s="44">
        <f>(K48*Table1[[#This Row],[Ühik2]])+M48</f>
        <v>255</v>
      </c>
      <c r="O48" s="44">
        <f>Table1[[#This Row],[2020. EA ]]*0.338</f>
        <v>86.190000000000012</v>
      </c>
      <c r="P48" s="14"/>
    </row>
    <row r="49" spans="1:16" x14ac:dyDescent="0.25">
      <c r="A49" s="14" t="str">
        <f t="shared" si="7"/>
        <v>09</v>
      </c>
      <c r="B49" t="s">
        <v>53</v>
      </c>
      <c r="C49" s="14" t="str">
        <f>VLOOKUP(B49,Table4[],2,FALSE)</f>
        <v xml:space="preserve"> Koolitransport</v>
      </c>
      <c r="D49" s="14" t="str">
        <f>VLOOKUP(Table1[[#This Row],[Tegevusala]],Table4[[Tegevusala kood]:[Tegevusala alanimetus]],4,FALSE)</f>
        <v>Koolitransport</v>
      </c>
      <c r="E49" s="14" t="str">
        <f>VLOOKUP(C49,Table4[[Tegevusala nimetus]:[Tegevusala koondnimetus]],2,FALSE)</f>
        <v>Haridus</v>
      </c>
      <c r="F49" t="s">
        <v>805</v>
      </c>
      <c r="G49" s="14" t="s">
        <v>808</v>
      </c>
      <c r="H49" s="14">
        <v>1</v>
      </c>
      <c r="I49" s="14"/>
      <c r="J49" s="14">
        <v>1000</v>
      </c>
      <c r="K49" s="14">
        <f t="shared" si="0"/>
        <v>1000</v>
      </c>
      <c r="L49" s="14">
        <v>12</v>
      </c>
      <c r="M49" s="14"/>
      <c r="N49" s="44">
        <f>(K49*Table1[[#This Row],[Ühik2]])+M49</f>
        <v>12000</v>
      </c>
      <c r="O49" s="44">
        <f>Table1[[#This Row],[2020. EA ]]*0.338</f>
        <v>4056.0000000000005</v>
      </c>
      <c r="P49" s="14"/>
    </row>
    <row r="50" spans="1:16" x14ac:dyDescent="0.25">
      <c r="A50" s="14" t="str">
        <f t="shared" ref="A50:A55" si="8">LEFT(B50,2)</f>
        <v>01</v>
      </c>
      <c r="B50" t="s">
        <v>15</v>
      </c>
      <c r="C50" s="14" t="str">
        <f>VLOOKUP(B50,Table4[],2,FALSE)</f>
        <v xml:space="preserve"> Valla- ja linnavalitsus</v>
      </c>
      <c r="D50" s="14" t="str">
        <f>VLOOKUP(Table1[[#This Row],[Tegevusala]],Table4[[Tegevusala kood]:[Tegevusala alanimetus]],4,FALSE)</f>
        <v>Valla- ja linnavalitsus</v>
      </c>
      <c r="E50" s="14" t="str">
        <f>VLOOKUP(C50,Table4[[Tegevusala nimetus]:[Tegevusala koondnimetus]],2,FALSE)</f>
        <v>Üldised valitsussektori teenused</v>
      </c>
      <c r="F50" s="14" t="s">
        <v>818</v>
      </c>
      <c r="G50" s="14" t="s">
        <v>818</v>
      </c>
      <c r="H50" s="14">
        <v>1</v>
      </c>
      <c r="I50" s="14"/>
      <c r="J50" s="14">
        <v>2800</v>
      </c>
      <c r="K50" s="14">
        <f t="shared" si="0"/>
        <v>2800</v>
      </c>
      <c r="L50" s="14">
        <v>12</v>
      </c>
      <c r="M50" s="14"/>
      <c r="N50" s="44">
        <f>(K50*Table1[[#This Row],[Ühik2]])+M50</f>
        <v>33600</v>
      </c>
      <c r="O50" s="44">
        <f>Table1[[#This Row],[2020. EA ]]*0.338</f>
        <v>11356.800000000001</v>
      </c>
      <c r="P50" s="14"/>
    </row>
    <row r="51" spans="1:16" x14ac:dyDescent="0.25">
      <c r="A51" s="14" t="str">
        <f t="shared" si="8"/>
        <v>01</v>
      </c>
      <c r="B51" t="s">
        <v>15</v>
      </c>
      <c r="C51" s="14" t="str">
        <f>VLOOKUP(B51,Table4[],2,FALSE)</f>
        <v xml:space="preserve"> Valla- ja linnavalitsus</v>
      </c>
      <c r="D51" s="14" t="str">
        <f>VLOOKUP(Table1[[#This Row],[Tegevusala]],Table4[[Tegevusala kood]:[Tegevusala alanimetus]],4,FALSE)</f>
        <v>Valla- ja linnavalitsus</v>
      </c>
      <c r="E51" s="14" t="str">
        <f>VLOOKUP(C51,Table4[[Tegevusala nimetus]:[Tegevusala koondnimetus]],2,FALSE)</f>
        <v>Üldised valitsussektori teenused</v>
      </c>
      <c r="F51" s="14" t="s">
        <v>818</v>
      </c>
      <c r="G51" s="14" t="s">
        <v>819</v>
      </c>
      <c r="H51" s="14">
        <v>1</v>
      </c>
      <c r="I51" s="14"/>
      <c r="J51" s="14">
        <v>2200</v>
      </c>
      <c r="K51" s="14">
        <f t="shared" si="0"/>
        <v>2200</v>
      </c>
      <c r="L51" s="14">
        <v>12</v>
      </c>
      <c r="M51" s="14"/>
      <c r="N51" s="44">
        <f>(K51*Table1[[#This Row],[Ühik2]])+M51</f>
        <v>26400</v>
      </c>
      <c r="O51" s="44">
        <f>Table1[[#This Row],[2020. EA ]]*0.338</f>
        <v>8923.2000000000007</v>
      </c>
      <c r="P51" s="14"/>
    </row>
    <row r="52" spans="1:16" x14ac:dyDescent="0.25">
      <c r="A52" s="14" t="str">
        <f t="shared" si="8"/>
        <v>01</v>
      </c>
      <c r="B52" t="s">
        <v>15</v>
      </c>
      <c r="C52" s="14" t="str">
        <f>VLOOKUP(B52,Table4[],2,FALSE)</f>
        <v xml:space="preserve"> Valla- ja linnavalitsus</v>
      </c>
      <c r="D52" s="14" t="str">
        <f>VLOOKUP(Table1[[#This Row],[Tegevusala]],Table4[[Tegevusala kood]:[Tegevusala alanimetus]],4,FALSE)</f>
        <v>Valla- ja linnavalitsus</v>
      </c>
      <c r="E52" s="14" t="str">
        <f>VLOOKUP(C52,Table4[[Tegevusala nimetus]:[Tegevusala koondnimetus]],2,FALSE)</f>
        <v>Üldised valitsussektori teenused</v>
      </c>
      <c r="F52" s="14" t="s">
        <v>818</v>
      </c>
      <c r="G52" s="14" t="s">
        <v>820</v>
      </c>
      <c r="H52" s="14">
        <v>1</v>
      </c>
      <c r="I52" s="14"/>
      <c r="J52" s="14">
        <v>2000</v>
      </c>
      <c r="K52" s="14">
        <f t="shared" si="0"/>
        <v>2000</v>
      </c>
      <c r="L52" s="14">
        <v>12</v>
      </c>
      <c r="M52" s="14"/>
      <c r="N52" s="44">
        <f>(K52*Table1[[#This Row],[Ühik2]])+M52</f>
        <v>24000</v>
      </c>
      <c r="O52" s="44">
        <f>Table1[[#This Row],[2020. EA ]]*0.338</f>
        <v>8112.0000000000009</v>
      </c>
      <c r="P52" s="14"/>
    </row>
    <row r="53" spans="1:16" x14ac:dyDescent="0.25">
      <c r="A53" s="14" t="str">
        <f t="shared" si="8"/>
        <v>01</v>
      </c>
      <c r="B53" t="s">
        <v>15</v>
      </c>
      <c r="C53" s="14" t="str">
        <f>VLOOKUP(B53,Table4[],2,FALSE)</f>
        <v xml:space="preserve"> Valla- ja linnavalitsus</v>
      </c>
      <c r="D53" s="14" t="str">
        <f>VLOOKUP(Table1[[#This Row],[Tegevusala]],Table4[[Tegevusala kood]:[Tegevusala alanimetus]],4,FALSE)</f>
        <v>Valla- ja linnavalitsus</v>
      </c>
      <c r="E53" s="14" t="str">
        <f>VLOOKUP(C53,Table4[[Tegevusala nimetus]:[Tegevusala koondnimetus]],2,FALSE)</f>
        <v>Üldised valitsussektori teenused</v>
      </c>
      <c r="F53" s="14" t="s">
        <v>818</v>
      </c>
      <c r="G53" s="14" t="s">
        <v>821</v>
      </c>
      <c r="H53" s="14">
        <v>1</v>
      </c>
      <c r="I53" s="14"/>
      <c r="J53" s="14">
        <v>1250</v>
      </c>
      <c r="K53" s="14">
        <f t="shared" si="0"/>
        <v>1250</v>
      </c>
      <c r="L53" s="14">
        <v>12</v>
      </c>
      <c r="M53" s="14"/>
      <c r="N53" s="44">
        <f>(K53*Table1[[#This Row],[Ühik2]])+M53</f>
        <v>15000</v>
      </c>
      <c r="O53" s="44">
        <f>Table1[[#This Row],[2020. EA ]]*0.338</f>
        <v>5070</v>
      </c>
      <c r="P53" s="14"/>
    </row>
    <row r="54" spans="1:16" x14ac:dyDescent="0.25">
      <c r="A54" s="14" t="str">
        <f t="shared" si="8"/>
        <v>01</v>
      </c>
      <c r="B54" t="s">
        <v>15</v>
      </c>
      <c r="C54" s="14" t="str">
        <f>VLOOKUP(B54,Table4[],2,FALSE)</f>
        <v xml:space="preserve"> Valla- ja linnavalitsus</v>
      </c>
      <c r="D54" s="14" t="str">
        <f>VLOOKUP(Table1[[#This Row],[Tegevusala]],Table4[[Tegevusala kood]:[Tegevusala alanimetus]],4,FALSE)</f>
        <v>Valla- ja linnavalitsus</v>
      </c>
      <c r="E54" s="14" t="str">
        <f>VLOOKUP(C54,Table4[[Tegevusala nimetus]:[Tegevusala koondnimetus]],2,FALSE)</f>
        <v>Üldised valitsussektori teenused</v>
      </c>
      <c r="F54" s="14" t="s">
        <v>818</v>
      </c>
      <c r="G54" s="14" t="s">
        <v>822</v>
      </c>
      <c r="H54" s="14">
        <v>1</v>
      </c>
      <c r="I54" s="14"/>
      <c r="J54" s="14">
        <v>1750</v>
      </c>
      <c r="K54" s="14">
        <f t="shared" si="0"/>
        <v>1750</v>
      </c>
      <c r="L54" s="14">
        <v>12</v>
      </c>
      <c r="M54" s="14"/>
      <c r="N54" s="44">
        <f>(K54*Table1[[#This Row],[Ühik2]])+M54</f>
        <v>21000</v>
      </c>
      <c r="O54" s="44">
        <f>Table1[[#This Row],[2020. EA ]]*0.338</f>
        <v>7098.0000000000009</v>
      </c>
      <c r="P54" s="14"/>
    </row>
    <row r="55" spans="1:16" x14ac:dyDescent="0.25">
      <c r="A55" s="14" t="str">
        <f t="shared" si="8"/>
        <v>01</v>
      </c>
      <c r="B55" t="s">
        <v>15</v>
      </c>
      <c r="C55" s="14" t="str">
        <f>VLOOKUP(B55,Table4[],2,FALSE)</f>
        <v xml:space="preserve"> Valla- ja linnavalitsus</v>
      </c>
      <c r="D55" s="14" t="str">
        <f>VLOOKUP(Table1[[#This Row],[Tegevusala]],Table4[[Tegevusala kood]:[Tegevusala alanimetus]],4,FALSE)</f>
        <v>Valla- ja linnavalitsus</v>
      </c>
      <c r="E55" s="14" t="str">
        <f>VLOOKUP(C55,Table4[[Tegevusala nimetus]:[Tegevusala koondnimetus]],2,FALSE)</f>
        <v>Üldised valitsussektori teenused</v>
      </c>
      <c r="F55" s="14" t="s">
        <v>818</v>
      </c>
      <c r="G55" s="14" t="s">
        <v>823</v>
      </c>
      <c r="H55" s="14">
        <v>2</v>
      </c>
      <c r="I55" s="14"/>
      <c r="J55" s="14">
        <v>1250</v>
      </c>
      <c r="K55" s="14">
        <f t="shared" si="0"/>
        <v>2500</v>
      </c>
      <c r="L55" s="14">
        <v>12</v>
      </c>
      <c r="M55" s="14"/>
      <c r="N55" s="44">
        <f>(K55*Table1[[#This Row],[Ühik2]])+M55</f>
        <v>30000</v>
      </c>
      <c r="O55" s="44">
        <f>Table1[[#This Row],[2020. EA ]]*0.338</f>
        <v>10140</v>
      </c>
      <c r="P55" s="14"/>
    </row>
    <row r="56" spans="1:16" x14ac:dyDescent="0.25">
      <c r="A56" s="14" t="str">
        <f t="shared" ref="A56:A60" si="9">LEFT(B56,2)</f>
        <v>01</v>
      </c>
      <c r="B56" t="s">
        <v>13</v>
      </c>
      <c r="C56" s="14" t="str">
        <f>VLOOKUP(B56,Table4[],2,FALSE)</f>
        <v xml:space="preserve"> Valla- ja linnavolikogu</v>
      </c>
      <c r="D56" s="14" t="str">
        <f>VLOOKUP(Table1[[#This Row],[Tegevusala]],Table4[[Tegevusala kood]:[Tegevusala alanimetus]],4,FALSE)</f>
        <v>Valla- ja linnavolikogu</v>
      </c>
      <c r="E56" s="14" t="str">
        <f>VLOOKUP(C56,Table4[[Tegevusala nimetus]:[Tegevusala koondnimetus]],2,FALSE)</f>
        <v>Üldised valitsussektori teenused</v>
      </c>
      <c r="F56" s="14" t="s">
        <v>828</v>
      </c>
      <c r="G56" s="14" t="s">
        <v>828</v>
      </c>
      <c r="H56" s="14">
        <v>1</v>
      </c>
      <c r="I56" s="14"/>
      <c r="J56" s="14">
        <v>1000</v>
      </c>
      <c r="K56" s="14">
        <f t="shared" si="0"/>
        <v>1000</v>
      </c>
      <c r="L56" s="14">
        <v>12</v>
      </c>
      <c r="M56" s="14"/>
      <c r="N56" s="44">
        <f>(K56*Table1[[#This Row],[Ühik2]])+M56</f>
        <v>12000</v>
      </c>
      <c r="O56" s="44">
        <f>Table1[[#This Row],[2020. EA ]]*0.338</f>
        <v>4056.0000000000005</v>
      </c>
      <c r="P56" s="14"/>
    </row>
    <row r="57" spans="1:16" x14ac:dyDescent="0.25">
      <c r="A57" s="14" t="str">
        <f t="shared" si="9"/>
        <v>01</v>
      </c>
      <c r="B57" t="s">
        <v>13</v>
      </c>
      <c r="C57" s="14" t="str">
        <f>VLOOKUP(B57,Table4[],2,FALSE)</f>
        <v xml:space="preserve"> Valla- ja linnavolikogu</v>
      </c>
      <c r="D57" s="14" t="str">
        <f>VLOOKUP(Table1[[#This Row],[Tegevusala]],Table4[[Tegevusala kood]:[Tegevusala alanimetus]],4,FALSE)</f>
        <v>Valla- ja linnavolikogu</v>
      </c>
      <c r="E57" s="14" t="str">
        <f>VLOOKUP(C57,Table4[[Tegevusala nimetus]:[Tegevusala koondnimetus]],2,FALSE)</f>
        <v>Üldised valitsussektori teenused</v>
      </c>
      <c r="F57" s="14" t="s">
        <v>828</v>
      </c>
      <c r="G57" s="14" t="s">
        <v>829</v>
      </c>
      <c r="H57" s="14">
        <v>4</v>
      </c>
      <c r="I57" s="14" t="s">
        <v>2027</v>
      </c>
      <c r="J57" s="14">
        <v>90</v>
      </c>
      <c r="K57" s="14">
        <f t="shared" si="0"/>
        <v>360</v>
      </c>
      <c r="L57" s="14">
        <v>11</v>
      </c>
      <c r="M57" s="14"/>
      <c r="N57" s="44">
        <f>(K57*Table1[[#This Row],[Ühik2]])+M57</f>
        <v>3960</v>
      </c>
      <c r="O57" s="44">
        <f>Table1[[#This Row],[2020. EA ]]*0.338</f>
        <v>1338.48</v>
      </c>
      <c r="P57" s="14"/>
    </row>
    <row r="58" spans="1:16" x14ac:dyDescent="0.25">
      <c r="A58" s="14" t="str">
        <f t="shared" si="9"/>
        <v>01</v>
      </c>
      <c r="B58" t="s">
        <v>13</v>
      </c>
      <c r="C58" s="14" t="str">
        <f>VLOOKUP(B58,Table4[],2,FALSE)</f>
        <v xml:space="preserve"> Valla- ja linnavolikogu</v>
      </c>
      <c r="D58" s="14" t="str">
        <f>VLOOKUP(Table1[[#This Row],[Tegevusala]],Table4[[Tegevusala kood]:[Tegevusala alanimetus]],4,FALSE)</f>
        <v>Valla- ja linnavolikogu</v>
      </c>
      <c r="E58" s="14" t="str">
        <f>VLOOKUP(C58,Table4[[Tegevusala nimetus]:[Tegevusala koondnimetus]],2,FALSE)</f>
        <v>Üldised valitsussektori teenused</v>
      </c>
      <c r="F58" s="14" t="s">
        <v>828</v>
      </c>
      <c r="G58" s="14" t="s">
        <v>837</v>
      </c>
      <c r="H58" s="14">
        <v>16</v>
      </c>
      <c r="I58" s="14" t="s">
        <v>2027</v>
      </c>
      <c r="J58" s="14">
        <v>40</v>
      </c>
      <c r="K58" s="14">
        <f t="shared" si="0"/>
        <v>640</v>
      </c>
      <c r="L58" s="14">
        <v>5</v>
      </c>
      <c r="M58" s="14"/>
      <c r="N58" s="44">
        <f>(K58*Table1[[#This Row],[Ühik2]])+M58</f>
        <v>3200</v>
      </c>
      <c r="O58" s="44">
        <f>Table1[[#This Row],[2020. EA ]]*0.338</f>
        <v>1081.6000000000001</v>
      </c>
      <c r="P58" s="14"/>
    </row>
    <row r="59" spans="1:16" x14ac:dyDescent="0.25">
      <c r="A59" s="14" t="str">
        <f>LEFT(B59,2)</f>
        <v>01</v>
      </c>
      <c r="B59" t="s">
        <v>13</v>
      </c>
      <c r="C59" s="14" t="str">
        <f>VLOOKUP(B59,Table4[],2,FALSE)</f>
        <v xml:space="preserve"> Valla- ja linnavolikogu</v>
      </c>
      <c r="D59" s="14" t="str">
        <f>VLOOKUP(Table1[[#This Row],[Tegevusala]],Table4[[Tegevusala kood]:[Tegevusala alanimetus]],4,FALSE)</f>
        <v>Valla- ja linnavolikogu</v>
      </c>
      <c r="E59" s="14" t="str">
        <f>VLOOKUP(C59,Table4[[Tegevusala nimetus]:[Tegevusala koondnimetus]],2,FALSE)</f>
        <v>Üldised valitsussektori teenused</v>
      </c>
      <c r="F59" s="14" t="s">
        <v>828</v>
      </c>
      <c r="G59" s="14" t="s">
        <v>838</v>
      </c>
      <c r="H59" s="14">
        <v>39</v>
      </c>
      <c r="I59" s="14" t="s">
        <v>2027</v>
      </c>
      <c r="J59" s="14">
        <v>40</v>
      </c>
      <c r="K59" s="14">
        <f t="shared" si="0"/>
        <v>1560</v>
      </c>
      <c r="L59" s="14">
        <v>4.5</v>
      </c>
      <c r="M59" s="14"/>
      <c r="N59" s="44">
        <f>(K59*Table1[[#This Row],[Ühik2]])+M59</f>
        <v>7020</v>
      </c>
      <c r="O59" s="44">
        <f>Table1[[#This Row],[2020. EA ]]*0.338</f>
        <v>2372.7600000000002</v>
      </c>
      <c r="P59" s="14"/>
    </row>
    <row r="60" spans="1:16" x14ac:dyDescent="0.25">
      <c r="A60" s="14" t="str">
        <f t="shared" si="9"/>
        <v>01</v>
      </c>
      <c r="B60" t="s">
        <v>13</v>
      </c>
      <c r="C60" s="14" t="str">
        <f>VLOOKUP(B60,Table4[],2,FALSE)</f>
        <v xml:space="preserve"> Valla- ja linnavolikogu</v>
      </c>
      <c r="D60" s="14" t="str">
        <f>VLOOKUP(Table1[[#This Row],[Tegevusala]],Table4[[Tegevusala kood]:[Tegevusala alanimetus]],4,FALSE)</f>
        <v>Valla- ja linnavolikogu</v>
      </c>
      <c r="E60" s="14" t="str">
        <f>VLOOKUP(C60,Table4[[Tegevusala nimetus]:[Tegevusala koondnimetus]],2,FALSE)</f>
        <v>Üldised valitsussektori teenused</v>
      </c>
      <c r="F60" s="14" t="s">
        <v>828</v>
      </c>
      <c r="G60" s="14" t="s">
        <v>830</v>
      </c>
      <c r="H60" s="14">
        <v>1</v>
      </c>
      <c r="I60" s="14"/>
      <c r="J60" s="14"/>
      <c r="K60" s="14">
        <f t="shared" si="0"/>
        <v>0</v>
      </c>
      <c r="L60" s="14"/>
      <c r="M60" s="14">
        <v>900</v>
      </c>
      <c r="N60" s="44">
        <f>(K60*Table1[[#This Row],[Ühik2]])+M60</f>
        <v>900</v>
      </c>
      <c r="O60" s="44">
        <f>Table1[[#This Row],[2020. EA ]]*0.338</f>
        <v>304.20000000000005</v>
      </c>
      <c r="P60" s="14"/>
    </row>
    <row r="61" spans="1:16" x14ac:dyDescent="0.25">
      <c r="A61" s="14" t="str">
        <f>LEFT(B61,2)</f>
        <v>04</v>
      </c>
      <c r="B61" s="36" t="s">
        <v>34</v>
      </c>
      <c r="C61" s="14" t="str">
        <f>VLOOKUP(B61,Table4[],2,FALSE)</f>
        <v xml:space="preserve"> Muu majandus (sh majanduse haldus)</v>
      </c>
      <c r="D61" s="14" t="str">
        <f>VLOOKUP(Table1[[#This Row],[Tegevusala]],Table4[[Tegevusala kood]:[Tegevusala alanimetus]],4,FALSE)</f>
        <v>Muu majandus (sh majanduse haldus)</v>
      </c>
      <c r="E61" s="14" t="str">
        <f>VLOOKUP(C61,Table4[[Tegevusala nimetus]:[Tegevusala koondnimetus]],2,FALSE)</f>
        <v>Majandus</v>
      </c>
      <c r="F61" s="14" t="s">
        <v>818</v>
      </c>
      <c r="G61" s="14" t="s">
        <v>841</v>
      </c>
      <c r="H61" s="14">
        <v>1</v>
      </c>
      <c r="I61" s="14"/>
      <c r="J61" s="14">
        <v>1750</v>
      </c>
      <c r="K61" s="14">
        <f t="shared" si="0"/>
        <v>1750</v>
      </c>
      <c r="L61" s="14">
        <v>12</v>
      </c>
      <c r="M61" s="14"/>
      <c r="N61" s="44">
        <f>(K61*Table1[[#This Row],[Ühik2]])+M61</f>
        <v>21000</v>
      </c>
      <c r="O61" s="44">
        <f>Table1[[#This Row],[2020. EA ]]*0.338</f>
        <v>7098.0000000000009</v>
      </c>
      <c r="P61" s="14"/>
    </row>
    <row r="62" spans="1:16" x14ac:dyDescent="0.25">
      <c r="A62" s="14" t="str">
        <f>LEFT(B62,2)</f>
        <v>04</v>
      </c>
      <c r="B62" s="36" t="s">
        <v>34</v>
      </c>
      <c r="C62" s="14" t="str">
        <f>VLOOKUP(B62,Table4[],2,FALSE)</f>
        <v xml:space="preserve"> Muu majandus (sh majanduse haldus)</v>
      </c>
      <c r="D62" s="14" t="str">
        <f>VLOOKUP(Table1[[#This Row],[Tegevusala]],Table4[[Tegevusala kood]:[Tegevusala alanimetus]],4,FALSE)</f>
        <v>Muu majandus (sh majanduse haldus)</v>
      </c>
      <c r="E62" s="14" t="str">
        <f>VLOOKUP(C62,Table4[[Tegevusala nimetus]:[Tegevusala koondnimetus]],2,FALSE)</f>
        <v>Majandus</v>
      </c>
      <c r="F62" s="14" t="s">
        <v>818</v>
      </c>
      <c r="G62" s="14" t="s">
        <v>842</v>
      </c>
      <c r="H62" s="14">
        <v>1</v>
      </c>
      <c r="I62" s="14"/>
      <c r="J62" s="14">
        <v>1560</v>
      </c>
      <c r="K62" s="14">
        <f t="shared" si="0"/>
        <v>1560</v>
      </c>
      <c r="L62" s="14">
        <v>12</v>
      </c>
      <c r="M62" s="14"/>
      <c r="N62" s="44">
        <f>(K62*Table1[[#This Row],[Ühik2]])+M62</f>
        <v>18720</v>
      </c>
      <c r="O62" s="44">
        <f>Table1[[#This Row],[2020. EA ]]*0.338</f>
        <v>6327.3600000000006</v>
      </c>
      <c r="P62" s="14"/>
    </row>
    <row r="63" spans="1:16" x14ac:dyDescent="0.25">
      <c r="A63" s="14" t="str">
        <f>LEFT(B63,2)</f>
        <v>04</v>
      </c>
      <c r="B63" s="36" t="s">
        <v>34</v>
      </c>
      <c r="C63" s="14" t="str">
        <f>VLOOKUP(B63,Table4[],2,FALSE)</f>
        <v xml:space="preserve"> Muu majandus (sh majanduse haldus)</v>
      </c>
      <c r="D63" s="14" t="str">
        <f>VLOOKUP(Table1[[#This Row],[Tegevusala]],Table4[[Tegevusala kood]:[Tegevusala alanimetus]],4,FALSE)</f>
        <v>Muu majandus (sh majanduse haldus)</v>
      </c>
      <c r="E63" s="14" t="str">
        <f>VLOOKUP(C63,Table4[[Tegevusala nimetus]:[Tegevusala koondnimetus]],2,FALSE)</f>
        <v>Majandus</v>
      </c>
      <c r="F63" s="14" t="s">
        <v>818</v>
      </c>
      <c r="G63" s="14" t="s">
        <v>648</v>
      </c>
      <c r="H63" s="14">
        <v>1</v>
      </c>
      <c r="I63" s="14"/>
      <c r="J63" s="14">
        <v>1560</v>
      </c>
      <c r="K63" s="14">
        <f t="shared" si="0"/>
        <v>1560</v>
      </c>
      <c r="L63" s="14">
        <v>12</v>
      </c>
      <c r="M63" s="14"/>
      <c r="N63" s="44">
        <f>(K63*Table1[[#This Row],[Ühik2]])+M63</f>
        <v>18720</v>
      </c>
      <c r="O63" s="44">
        <f>Table1[[#This Row],[2020. EA ]]*0.338</f>
        <v>6327.3600000000006</v>
      </c>
      <c r="P63" s="14"/>
    </row>
    <row r="64" spans="1:16" x14ac:dyDescent="0.25">
      <c r="A64" s="38" t="str">
        <f>LEFT(B64,2)</f>
        <v>04</v>
      </c>
      <c r="B64" s="42" t="s">
        <v>34</v>
      </c>
      <c r="C64" s="38" t="str">
        <f>VLOOKUP(B64,Table4[],2,FALSE)</f>
        <v xml:space="preserve"> Muu majandus (sh majanduse haldus)</v>
      </c>
      <c r="D64" s="38" t="str">
        <f>VLOOKUP(Table1[[#This Row],[Tegevusala]],Table4[[Tegevusala kood]:[Tegevusala alanimetus]],4,FALSE)</f>
        <v>Muu majandus (sh majanduse haldus)</v>
      </c>
      <c r="E64" s="38" t="str">
        <f>VLOOKUP(C64,Table4[[Tegevusala nimetus]:[Tegevusala koondnimetus]],2,FALSE)</f>
        <v>Majandus</v>
      </c>
      <c r="F64" s="38" t="s">
        <v>818</v>
      </c>
      <c r="G64" s="38" t="s">
        <v>1043</v>
      </c>
      <c r="H64" s="38">
        <v>0.75</v>
      </c>
      <c r="I64" s="38"/>
      <c r="J64" s="38">
        <v>1650</v>
      </c>
      <c r="K64" s="38">
        <f t="shared" si="0"/>
        <v>1237.5</v>
      </c>
      <c r="L64" s="38">
        <v>12</v>
      </c>
      <c r="M64" s="38"/>
      <c r="N64" s="45">
        <f>(K64*Table1[[#This Row],[Ühik2]])+M64</f>
        <v>14850</v>
      </c>
      <c r="O64" s="45">
        <f>Table1[[#This Row],[2020. EA ]]*0.338</f>
        <v>5019.3</v>
      </c>
      <c r="P64" s="38"/>
    </row>
    <row r="65" spans="1:16" x14ac:dyDescent="0.25">
      <c r="A65" s="14" t="str">
        <f t="shared" ref="A65:A69" si="10">LEFT(B65,2)</f>
        <v>06</v>
      </c>
      <c r="B65" t="s">
        <v>254</v>
      </c>
      <c r="C65" s="14" t="str">
        <f>VLOOKUP(B65,Table4[],2,FALSE)</f>
        <v>Laekvere halduspiirkond</v>
      </c>
      <c r="D65" s="14" t="str">
        <f>VLOOKUP(Table1[[#This Row],[Tegevusala]],Table4[[Tegevusala kood]:[Tegevusala alanimetus]],4,FALSE)</f>
        <v>Muu elamu- ja kommunaalmajanduse tegevus</v>
      </c>
      <c r="E65" s="14" t="str">
        <f>VLOOKUP(C65,Table4[[Tegevusala nimetus]:[Tegevusala koondnimetus]],2,FALSE)</f>
        <v>Elamu- ja kommunaalmajandus</v>
      </c>
      <c r="F65" s="14" t="s">
        <v>850</v>
      </c>
      <c r="G65" s="14" t="s">
        <v>845</v>
      </c>
      <c r="H65" s="14">
        <v>1</v>
      </c>
      <c r="I65" s="14"/>
      <c r="J65" s="14">
        <v>1560</v>
      </c>
      <c r="K65" s="14">
        <f t="shared" ref="K65:K126" si="11">H65*J65</f>
        <v>1560</v>
      </c>
      <c r="L65" s="14">
        <v>12</v>
      </c>
      <c r="M65" s="14"/>
      <c r="N65" s="44">
        <f>(K65*Table1[[#This Row],[Ühik2]])+M65</f>
        <v>18720</v>
      </c>
      <c r="O65" s="44">
        <f>Table1[[#This Row],[2020. EA ]]*0.338</f>
        <v>6327.3600000000006</v>
      </c>
      <c r="P65" s="14"/>
    </row>
    <row r="66" spans="1:16" x14ac:dyDescent="0.25">
      <c r="A66" s="14" t="str">
        <f t="shared" si="10"/>
        <v>06</v>
      </c>
      <c r="B66" t="s">
        <v>254</v>
      </c>
      <c r="C66" s="14" t="str">
        <f>VLOOKUP(B66,Table4[],2,FALSE)</f>
        <v>Laekvere halduspiirkond</v>
      </c>
      <c r="D66" s="14" t="str">
        <f>VLOOKUP(Table1[[#This Row],[Tegevusala]],Table4[[Tegevusala kood]:[Tegevusala alanimetus]],4,FALSE)</f>
        <v>Muu elamu- ja kommunaalmajanduse tegevus</v>
      </c>
      <c r="E66" s="14" t="str">
        <f>VLOOKUP(C66,Table4[[Tegevusala nimetus]:[Tegevusala koondnimetus]],2,FALSE)</f>
        <v>Elamu- ja kommunaalmajandus</v>
      </c>
      <c r="F66" s="14" t="s">
        <v>850</v>
      </c>
      <c r="G66" s="14" t="s">
        <v>846</v>
      </c>
      <c r="H66" s="14">
        <v>1</v>
      </c>
      <c r="I66" s="14"/>
      <c r="J66" s="14">
        <v>900</v>
      </c>
      <c r="K66" s="14">
        <f t="shared" si="11"/>
        <v>900</v>
      </c>
      <c r="L66" s="14">
        <v>12</v>
      </c>
      <c r="M66" s="14"/>
      <c r="N66" s="44">
        <f>(K66*Table1[[#This Row],[Ühik2]])+M66</f>
        <v>10800</v>
      </c>
      <c r="O66" s="44">
        <f>Table1[[#This Row],[2020. EA ]]*0.338</f>
        <v>3650.4</v>
      </c>
      <c r="P66" s="14"/>
    </row>
    <row r="67" spans="1:16" x14ac:dyDescent="0.25">
      <c r="A67" s="14" t="str">
        <f t="shared" si="10"/>
        <v>06</v>
      </c>
      <c r="B67" t="s">
        <v>254</v>
      </c>
      <c r="C67" s="14" t="str">
        <f>VLOOKUP(B67,Table4[],2,FALSE)</f>
        <v>Laekvere halduspiirkond</v>
      </c>
      <c r="D67" s="14" t="str">
        <f>VLOOKUP(Table1[[#This Row],[Tegevusala]],Table4[[Tegevusala kood]:[Tegevusala alanimetus]],4,FALSE)</f>
        <v>Muu elamu- ja kommunaalmajanduse tegevus</v>
      </c>
      <c r="E67" s="14" t="str">
        <f>VLOOKUP(C67,Table4[[Tegevusala nimetus]:[Tegevusala koondnimetus]],2,FALSE)</f>
        <v>Elamu- ja kommunaalmajandus</v>
      </c>
      <c r="F67" s="14" t="s">
        <v>850</v>
      </c>
      <c r="G67" s="14" t="s">
        <v>847</v>
      </c>
      <c r="H67" s="14">
        <v>1</v>
      </c>
      <c r="I67" s="14"/>
      <c r="J67" s="14">
        <v>900</v>
      </c>
      <c r="K67" s="14">
        <f t="shared" si="11"/>
        <v>900</v>
      </c>
      <c r="L67" s="14">
        <v>12</v>
      </c>
      <c r="M67" s="14"/>
      <c r="N67" s="44">
        <f>(K67*Table1[[#This Row],[Ühik2]])+M67</f>
        <v>10800</v>
      </c>
      <c r="O67" s="44">
        <f>Table1[[#This Row],[2020. EA ]]*0.338</f>
        <v>3650.4</v>
      </c>
      <c r="P67" s="14"/>
    </row>
    <row r="68" spans="1:16" x14ac:dyDescent="0.25">
      <c r="A68" s="91" t="str">
        <f t="shared" si="10"/>
        <v>06</v>
      </c>
      <c r="B68" s="92" t="s">
        <v>254</v>
      </c>
      <c r="C68" s="91" t="str">
        <f>VLOOKUP(B68,Table4[],2,FALSE)</f>
        <v>Laekvere halduspiirkond</v>
      </c>
      <c r="D68" s="91" t="str">
        <f>VLOOKUP(Table1[[#This Row],[Tegevusala]],Table4[[Tegevusala kood]:[Tegevusala alanimetus]],4,FALSE)</f>
        <v>Muu elamu- ja kommunaalmajanduse tegevus</v>
      </c>
      <c r="E68" s="91" t="str">
        <f>VLOOKUP(C68,Table4[[Tegevusala nimetus]:[Tegevusala koondnimetus]],2,FALSE)</f>
        <v>Elamu- ja kommunaalmajandus</v>
      </c>
      <c r="F68" s="91" t="s">
        <v>850</v>
      </c>
      <c r="G68" s="91" t="s">
        <v>524</v>
      </c>
      <c r="H68" s="91">
        <v>1</v>
      </c>
      <c r="I68" s="91"/>
      <c r="J68" s="91">
        <v>584</v>
      </c>
      <c r="K68" s="91">
        <f t="shared" si="11"/>
        <v>584</v>
      </c>
      <c r="L68" s="91">
        <v>12</v>
      </c>
      <c r="M68" s="91"/>
      <c r="N68" s="93">
        <f>(K68*Table1[[#This Row],[Ühik2]])+M68</f>
        <v>7008</v>
      </c>
      <c r="O68" s="93">
        <f>Table1[[#This Row],[2020. EA ]]*0.338</f>
        <v>2368.7040000000002</v>
      </c>
      <c r="P68" s="91"/>
    </row>
    <row r="69" spans="1:16" x14ac:dyDescent="0.25">
      <c r="A69" s="91" t="str">
        <f t="shared" si="10"/>
        <v>06</v>
      </c>
      <c r="B69" s="92" t="s">
        <v>254</v>
      </c>
      <c r="C69" s="91" t="str">
        <f>VLOOKUP(B69,Table4[],2,FALSE)</f>
        <v>Laekvere halduspiirkond</v>
      </c>
      <c r="D69" s="91" t="str">
        <f>VLOOKUP(Table1[[#This Row],[Tegevusala]],Table4[[Tegevusala kood]:[Tegevusala alanimetus]],4,FALSE)</f>
        <v>Muu elamu- ja kommunaalmajanduse tegevus</v>
      </c>
      <c r="E69" s="91" t="str">
        <f>VLOOKUP(C69,Table4[[Tegevusala nimetus]:[Tegevusala koondnimetus]],2,FALSE)</f>
        <v>Elamu- ja kommunaalmajandus</v>
      </c>
      <c r="F69" s="91" t="s">
        <v>850</v>
      </c>
      <c r="G69" s="91" t="s">
        <v>848</v>
      </c>
      <c r="H69" s="91">
        <v>1</v>
      </c>
      <c r="I69" s="91"/>
      <c r="J69" s="91">
        <v>584</v>
      </c>
      <c r="K69" s="91">
        <f t="shared" si="11"/>
        <v>584</v>
      </c>
      <c r="L69" s="91">
        <v>12</v>
      </c>
      <c r="M69" s="91"/>
      <c r="N69" s="93">
        <f>(K69*Table1[[#This Row],[Ühik2]])+M69</f>
        <v>7008</v>
      </c>
      <c r="O69" s="93">
        <f>Table1[[#This Row],[2020. EA ]]*0.338</f>
        <v>2368.7040000000002</v>
      </c>
      <c r="P69" s="91"/>
    </row>
    <row r="70" spans="1:16" x14ac:dyDescent="0.25">
      <c r="A70" s="14" t="str">
        <f>LEFT(B70,2)</f>
        <v>06</v>
      </c>
      <c r="B70" t="s">
        <v>254</v>
      </c>
      <c r="C70" s="14" t="str">
        <f>VLOOKUP(B70,Table4[],2,FALSE)</f>
        <v>Laekvere halduspiirkond</v>
      </c>
      <c r="D70" s="14" t="str">
        <f>VLOOKUP(Table1[[#This Row],[Tegevusala]],Table4[[Tegevusala kood]:[Tegevusala alanimetus]],4,FALSE)</f>
        <v>Muu elamu- ja kommunaalmajanduse tegevus</v>
      </c>
      <c r="E70" s="14" t="str">
        <f>VLOOKUP(C70,Table4[[Tegevusala nimetus]:[Tegevusala koondnimetus]],2,FALSE)</f>
        <v>Elamu- ja kommunaalmajandus</v>
      </c>
      <c r="F70" s="14" t="s">
        <v>850</v>
      </c>
      <c r="G70" s="14" t="s">
        <v>849</v>
      </c>
      <c r="H70" s="14">
        <v>1</v>
      </c>
      <c r="I70" s="14"/>
      <c r="J70" s="14"/>
      <c r="K70" s="14">
        <f t="shared" si="11"/>
        <v>0</v>
      </c>
      <c r="L70" s="14"/>
      <c r="M70" s="14">
        <v>2100</v>
      </c>
      <c r="N70" s="44">
        <f>(K70*Table1[[#This Row],[Ühik2]])+M70</f>
        <v>2100</v>
      </c>
      <c r="O70" s="44">
        <f>Table1[[#This Row],[2020. EA ]]*0.338</f>
        <v>709.80000000000007</v>
      </c>
      <c r="P70" s="14"/>
    </row>
    <row r="71" spans="1:16" x14ac:dyDescent="0.25">
      <c r="A71" s="14" t="str">
        <f t="shared" ref="A71:A72" si="12">LEFT(B71,2)</f>
        <v>06</v>
      </c>
      <c r="B71" t="s">
        <v>255</v>
      </c>
      <c r="C71" s="14" t="str">
        <f>VLOOKUP(B71,Table4[],2,FALSE)</f>
        <v xml:space="preserve"> Rägavere halduspiirkond</v>
      </c>
      <c r="D71" s="14" t="str">
        <f>VLOOKUP(Table1[[#This Row],[Tegevusala]],Table4[[Tegevusala kood]:[Tegevusala alanimetus]],4,FALSE)</f>
        <v>Muu elamu- ja kommunaalmajanduse tegevus</v>
      </c>
      <c r="E71" s="14" t="str">
        <f>VLOOKUP(C71,Table4[[Tegevusala nimetus]:[Tegevusala koondnimetus]],2,FALSE)</f>
        <v>Elamu- ja kommunaalmajandus</v>
      </c>
      <c r="F71" s="14" t="s">
        <v>934</v>
      </c>
      <c r="G71" s="14" t="s">
        <v>845</v>
      </c>
      <c r="H71" s="14">
        <v>1</v>
      </c>
      <c r="I71" s="14"/>
      <c r="J71" s="14">
        <v>1560</v>
      </c>
      <c r="K71" s="14">
        <f t="shared" si="11"/>
        <v>1560</v>
      </c>
      <c r="L71" s="14">
        <v>12</v>
      </c>
      <c r="M71" s="14"/>
      <c r="N71" s="44">
        <f>(K71*Table1[[#This Row],[Ühik2]])+M71</f>
        <v>18720</v>
      </c>
      <c r="O71" s="44">
        <f>Table1[[#This Row],[2020. EA ]]*0.338</f>
        <v>6327.3600000000006</v>
      </c>
      <c r="P71" s="14"/>
    </row>
    <row r="72" spans="1:16" x14ac:dyDescent="0.25">
      <c r="A72" s="91" t="str">
        <f t="shared" si="12"/>
        <v>06</v>
      </c>
      <c r="B72" s="92" t="s">
        <v>255</v>
      </c>
      <c r="C72" s="91" t="str">
        <f>VLOOKUP(B72,Table4[],2,FALSE)</f>
        <v xml:space="preserve"> Rägavere halduspiirkond</v>
      </c>
      <c r="D72" s="91" t="str">
        <f>VLOOKUP(Table1[[#This Row],[Tegevusala]],Table4[[Tegevusala kood]:[Tegevusala alanimetus]],4,FALSE)</f>
        <v>Muu elamu- ja kommunaalmajanduse tegevus</v>
      </c>
      <c r="E72" s="91" t="str">
        <f>VLOOKUP(C72,Table4[[Tegevusala nimetus]:[Tegevusala koondnimetus]],2,FALSE)</f>
        <v>Elamu- ja kommunaalmajandus</v>
      </c>
      <c r="F72" s="91" t="s">
        <v>934</v>
      </c>
      <c r="G72" s="91" t="s">
        <v>524</v>
      </c>
      <c r="H72" s="91">
        <v>0.5</v>
      </c>
      <c r="I72" s="91"/>
      <c r="J72" s="91">
        <v>584</v>
      </c>
      <c r="K72" s="91">
        <f t="shared" si="11"/>
        <v>292</v>
      </c>
      <c r="L72" s="91">
        <v>12</v>
      </c>
      <c r="M72" s="91"/>
      <c r="N72" s="93">
        <f>(K72*Table1[[#This Row],[Ühik2]])+M72</f>
        <v>3504</v>
      </c>
      <c r="O72" s="93">
        <f>Table1[[#This Row],[2020. EA ]]*0.338</f>
        <v>1184.3520000000001</v>
      </c>
      <c r="P72" s="91"/>
    </row>
    <row r="73" spans="1:16" x14ac:dyDescent="0.25">
      <c r="A73" s="14" t="str">
        <f>LEFT(B73,2)</f>
        <v>06</v>
      </c>
      <c r="B73" t="s">
        <v>255</v>
      </c>
      <c r="C73" s="14" t="str">
        <f>VLOOKUP(B73,Table4[],2,FALSE)</f>
        <v xml:space="preserve"> Rägavere halduspiirkond</v>
      </c>
      <c r="D73" s="14" t="str">
        <f>VLOOKUP(Table1[[#This Row],[Tegevusala]],Table4[[Tegevusala kood]:[Tegevusala alanimetus]],4,FALSE)</f>
        <v>Muu elamu- ja kommunaalmajanduse tegevus</v>
      </c>
      <c r="E73" s="14" t="str">
        <f>VLOOKUP(C73,Table4[[Tegevusala nimetus]:[Tegevusala koondnimetus]],2,FALSE)</f>
        <v>Elamu- ja kommunaalmajandus</v>
      </c>
      <c r="F73" s="14" t="s">
        <v>934</v>
      </c>
      <c r="G73" s="14" t="s">
        <v>935</v>
      </c>
      <c r="H73" s="14">
        <v>90</v>
      </c>
      <c r="I73" s="14" t="s">
        <v>2192</v>
      </c>
      <c r="J73" s="14">
        <v>5</v>
      </c>
      <c r="K73" s="14">
        <f t="shared" si="11"/>
        <v>450</v>
      </c>
      <c r="L73" s="14">
        <v>10</v>
      </c>
      <c r="M73" s="14"/>
      <c r="N73" s="44">
        <f>(K73*Table1[[#This Row],[Ühik2]])+M73</f>
        <v>4500</v>
      </c>
      <c r="O73" s="44">
        <f>Table1[[#This Row],[2020. EA ]]*0.338</f>
        <v>1521</v>
      </c>
      <c r="P73" s="14"/>
    </row>
    <row r="74" spans="1:16" x14ac:dyDescent="0.25">
      <c r="A74" s="14" t="str">
        <f t="shared" ref="A74:A76" si="13">LEFT(B74,2)</f>
        <v>06</v>
      </c>
      <c r="B74" t="s">
        <v>257</v>
      </c>
      <c r="C74" s="14" t="str">
        <f>VLOOKUP(B74,Table4[],2,FALSE)</f>
        <v xml:space="preserve"> Roela halduspiirkond</v>
      </c>
      <c r="D74" s="14" t="str">
        <f>VLOOKUP(Table1[[#This Row],[Tegevusala]],Table4[[Tegevusala kood]:[Tegevusala alanimetus]],4,FALSE)</f>
        <v>Muu elamu- ja kommunaalmajanduse tegevus</v>
      </c>
      <c r="E74" s="14" t="str">
        <f>VLOOKUP(C74,Table4[[Tegevusala nimetus]:[Tegevusala koondnimetus]],2,FALSE)</f>
        <v>Elamu- ja kommunaalmajandus</v>
      </c>
      <c r="F74" s="14" t="s">
        <v>962</v>
      </c>
      <c r="G74" s="14" t="s">
        <v>959</v>
      </c>
      <c r="H74" s="14">
        <v>15</v>
      </c>
      <c r="I74" s="14" t="s">
        <v>2192</v>
      </c>
      <c r="J74" s="14">
        <v>6</v>
      </c>
      <c r="K74" s="14">
        <f t="shared" si="11"/>
        <v>90</v>
      </c>
      <c r="L74" s="14">
        <v>12</v>
      </c>
      <c r="M74" s="14"/>
      <c r="N74" s="44">
        <f>(K74*Table1[[#This Row],[Ühik2]])+M74</f>
        <v>1080</v>
      </c>
      <c r="O74" s="44">
        <f>Table1[[#This Row],[2020. EA ]]*0.338</f>
        <v>365.04</v>
      </c>
      <c r="P74" s="14"/>
    </row>
    <row r="75" spans="1:16" x14ac:dyDescent="0.25">
      <c r="A75" s="14" t="str">
        <f t="shared" si="13"/>
        <v>06</v>
      </c>
      <c r="B75" t="s">
        <v>257</v>
      </c>
      <c r="C75" s="14" t="str">
        <f>VLOOKUP(B75,Table4[],2,FALSE)</f>
        <v xml:space="preserve"> Roela halduspiirkond</v>
      </c>
      <c r="D75" s="14" t="str">
        <f>VLOOKUP(Table1[[#This Row],[Tegevusala]],Table4[[Tegevusala kood]:[Tegevusala alanimetus]],4,FALSE)</f>
        <v>Muu elamu- ja kommunaalmajanduse tegevus</v>
      </c>
      <c r="E75" s="14" t="str">
        <f>VLOOKUP(C75,Table4[[Tegevusala nimetus]:[Tegevusala koondnimetus]],2,FALSE)</f>
        <v>Elamu- ja kommunaalmajandus</v>
      </c>
      <c r="F75" s="14" t="s">
        <v>962</v>
      </c>
      <c r="G75" s="14" t="s">
        <v>959</v>
      </c>
      <c r="H75" s="14">
        <v>80</v>
      </c>
      <c r="I75" s="14" t="s">
        <v>2192</v>
      </c>
      <c r="J75" s="14">
        <v>3.21</v>
      </c>
      <c r="K75" s="14">
        <f t="shared" si="11"/>
        <v>256.8</v>
      </c>
      <c r="L75" s="14">
        <v>12</v>
      </c>
      <c r="M75" s="14"/>
      <c r="N75" s="44">
        <f>(K75*Table1[[#This Row],[Ühik2]])+M75</f>
        <v>3081.6000000000004</v>
      </c>
      <c r="O75" s="44">
        <f>Table1[[#This Row],[2020. EA ]]*0.338</f>
        <v>1041.5808000000002</v>
      </c>
      <c r="P75" s="14"/>
    </row>
    <row r="76" spans="1:16" x14ac:dyDescent="0.25">
      <c r="A76" s="14" t="str">
        <f t="shared" si="13"/>
        <v>06</v>
      </c>
      <c r="B76" t="s">
        <v>257</v>
      </c>
      <c r="C76" s="14" t="str">
        <f>VLOOKUP(B76,Table4[],2,FALSE)</f>
        <v xml:space="preserve"> Roela halduspiirkond</v>
      </c>
      <c r="D76" s="14" t="str">
        <f>VLOOKUP(Table1[[#This Row],[Tegevusala]],Table4[[Tegevusala kood]:[Tegevusala alanimetus]],4,FALSE)</f>
        <v>Muu elamu- ja kommunaalmajanduse tegevus</v>
      </c>
      <c r="E76" s="14" t="str">
        <f>VLOOKUP(C76,Table4[[Tegevusala nimetus]:[Tegevusala koondnimetus]],2,FALSE)</f>
        <v>Elamu- ja kommunaalmajandus</v>
      </c>
      <c r="F76" s="14" t="s">
        <v>962</v>
      </c>
      <c r="G76" s="14" t="s">
        <v>960</v>
      </c>
      <c r="H76" s="14">
        <v>120</v>
      </c>
      <c r="I76" s="14" t="s">
        <v>2192</v>
      </c>
      <c r="J76" s="14">
        <v>5</v>
      </c>
      <c r="K76" s="14">
        <f t="shared" si="11"/>
        <v>600</v>
      </c>
      <c r="L76" s="14">
        <v>3</v>
      </c>
      <c r="M76" s="14"/>
      <c r="N76" s="44">
        <f>(K76*Table1[[#This Row],[Ühik2]])+M76</f>
        <v>1800</v>
      </c>
      <c r="O76" s="44">
        <f>Table1[[#This Row],[2020. EA ]]*0.338</f>
        <v>608.40000000000009</v>
      </c>
      <c r="P76" s="14"/>
    </row>
    <row r="77" spans="1:16" x14ac:dyDescent="0.25">
      <c r="A77" s="14" t="str">
        <f>LEFT(B77,2)</f>
        <v>06</v>
      </c>
      <c r="B77" t="s">
        <v>259</v>
      </c>
      <c r="C77" s="14" t="str">
        <f>VLOOKUP(B77,Table4[],2,FALSE)</f>
        <v xml:space="preserve"> Tudu halduspiirkond</v>
      </c>
      <c r="D77" s="14" t="str">
        <f>VLOOKUP(Table1[[#This Row],[Tegevusala]],Table4[[Tegevusala kood]:[Tegevusala alanimetus]],4,FALSE)</f>
        <v>Muu elamu- ja kommunaalmajanduse tegevus</v>
      </c>
      <c r="E77" s="14" t="str">
        <f>VLOOKUP(C77,Table4[[Tegevusala nimetus]:[Tegevusala koondnimetus]],2,FALSE)</f>
        <v>Elamu- ja kommunaalmajandus</v>
      </c>
      <c r="F77" s="14" t="s">
        <v>987</v>
      </c>
      <c r="G77" s="14" t="s">
        <v>988</v>
      </c>
      <c r="H77" s="14">
        <v>2</v>
      </c>
      <c r="I77" s="14" t="s">
        <v>2027</v>
      </c>
      <c r="J77" s="14">
        <v>270</v>
      </c>
      <c r="K77" s="14">
        <f t="shared" si="11"/>
        <v>540</v>
      </c>
      <c r="L77" s="14">
        <v>12</v>
      </c>
      <c r="M77" s="14"/>
      <c r="N77" s="44">
        <f>(K77*Table1[[#This Row],[Ühik2]])+M77</f>
        <v>6480</v>
      </c>
      <c r="O77" s="44">
        <f>Table1[[#This Row],[2020. EA ]]*0.338</f>
        <v>2190.2400000000002</v>
      </c>
      <c r="P77" s="14"/>
    </row>
    <row r="78" spans="1:16" x14ac:dyDescent="0.25">
      <c r="A78" s="14" t="str">
        <f t="shared" ref="A78:A82" si="14">LEFT(B78,2)</f>
        <v>06</v>
      </c>
      <c r="B78" t="s">
        <v>261</v>
      </c>
      <c r="C78" s="14" t="str">
        <f>VLOOKUP(B78,Table4[],2,FALSE)</f>
        <v xml:space="preserve"> Viru Jaagupi halduspiirkond</v>
      </c>
      <c r="D78" s="14" t="str">
        <f>VLOOKUP(Table1[[#This Row],[Tegevusala]],Table4[[Tegevusala kood]:[Tegevusala alanimetus]],4,FALSE)</f>
        <v>Muu elamu- ja kommunaalmajanduse tegevus</v>
      </c>
      <c r="E78" s="14" t="str">
        <f>VLOOKUP(C78,Table4[[Tegevusala nimetus]:[Tegevusala koondnimetus]],2,FALSE)</f>
        <v>Elamu- ja kommunaalmajandus</v>
      </c>
      <c r="F78" s="14" t="s">
        <v>992</v>
      </c>
      <c r="G78" s="14" t="s">
        <v>845</v>
      </c>
      <c r="H78" s="14">
        <v>1</v>
      </c>
      <c r="I78" s="14"/>
      <c r="J78" s="14">
        <v>1560</v>
      </c>
      <c r="K78" s="14">
        <f t="shared" si="11"/>
        <v>1560</v>
      </c>
      <c r="L78" s="14">
        <v>12</v>
      </c>
      <c r="M78" s="14"/>
      <c r="N78" s="44">
        <f>(K78*Table1[[#This Row],[Ühik2]])+M78</f>
        <v>18720</v>
      </c>
      <c r="O78" s="44">
        <f>Table1[[#This Row],[2020. EA ]]*0.338</f>
        <v>6327.3600000000006</v>
      </c>
      <c r="P78" s="14"/>
    </row>
    <row r="79" spans="1:16" x14ac:dyDescent="0.25">
      <c r="A79" s="91" t="str">
        <f t="shared" si="14"/>
        <v>06</v>
      </c>
      <c r="B79" s="92" t="s">
        <v>261</v>
      </c>
      <c r="C79" s="91" t="str">
        <f>VLOOKUP(B79,Table4[],2,FALSE)</f>
        <v xml:space="preserve"> Viru Jaagupi halduspiirkond</v>
      </c>
      <c r="D79" s="91" t="str">
        <f>VLOOKUP(Table1[[#This Row],[Tegevusala]],Table4[[Tegevusala kood]:[Tegevusala alanimetus]],4,FALSE)</f>
        <v>Muu elamu- ja kommunaalmajanduse tegevus</v>
      </c>
      <c r="E79" s="91" t="str">
        <f>VLOOKUP(C79,Table4[[Tegevusala nimetus]:[Tegevusala koondnimetus]],2,FALSE)</f>
        <v>Elamu- ja kommunaalmajandus</v>
      </c>
      <c r="F79" s="91" t="s">
        <v>992</v>
      </c>
      <c r="G79" s="91" t="s">
        <v>989</v>
      </c>
      <c r="H79" s="91">
        <v>1</v>
      </c>
      <c r="I79" s="91"/>
      <c r="J79" s="91">
        <v>584</v>
      </c>
      <c r="K79" s="91">
        <f t="shared" si="11"/>
        <v>584</v>
      </c>
      <c r="L79" s="91">
        <v>12</v>
      </c>
      <c r="M79" s="91"/>
      <c r="N79" s="93">
        <f>(K79*Table1[[#This Row],[Ühik2]])+M79</f>
        <v>7008</v>
      </c>
      <c r="O79" s="93">
        <f>Table1[[#This Row],[2020. EA ]]*0.338</f>
        <v>2368.7040000000002</v>
      </c>
      <c r="P79" s="91"/>
    </row>
    <row r="80" spans="1:16" x14ac:dyDescent="0.25">
      <c r="A80" s="14" t="str">
        <f t="shared" si="14"/>
        <v>06</v>
      </c>
      <c r="B80" t="s">
        <v>261</v>
      </c>
      <c r="C80" s="14" t="str">
        <f>VLOOKUP(B80,Table4[],2,FALSE)</f>
        <v xml:space="preserve"> Viru Jaagupi halduspiirkond</v>
      </c>
      <c r="D80" s="14" t="str">
        <f>VLOOKUP(Table1[[#This Row],[Tegevusala]],Table4[[Tegevusala kood]:[Tegevusala alanimetus]],4,FALSE)</f>
        <v>Muu elamu- ja kommunaalmajanduse tegevus</v>
      </c>
      <c r="E80" s="14" t="str">
        <f>VLOOKUP(C80,Table4[[Tegevusala nimetus]:[Tegevusala koondnimetus]],2,FALSE)</f>
        <v>Elamu- ja kommunaalmajandus</v>
      </c>
      <c r="F80" s="14" t="s">
        <v>992</v>
      </c>
      <c r="G80" s="14" t="s">
        <v>959</v>
      </c>
      <c r="H80" s="14">
        <v>160</v>
      </c>
      <c r="I80" s="14" t="s">
        <v>2192</v>
      </c>
      <c r="J80" s="14">
        <v>3.21</v>
      </c>
      <c r="K80" s="14">
        <f t="shared" si="11"/>
        <v>513.6</v>
      </c>
      <c r="L80" s="14">
        <v>12</v>
      </c>
      <c r="M80" s="14"/>
      <c r="N80" s="44">
        <f>(K80*Table1[[#This Row],[Ühik2]])+M80</f>
        <v>6163.2000000000007</v>
      </c>
      <c r="O80" s="44">
        <f>Table1[[#This Row],[2020. EA ]]*0.338</f>
        <v>2083.1616000000004</v>
      </c>
      <c r="P80" s="14"/>
    </row>
    <row r="81" spans="1:16" x14ac:dyDescent="0.25">
      <c r="A81" s="14" t="str">
        <f t="shared" si="14"/>
        <v>06</v>
      </c>
      <c r="B81" t="s">
        <v>261</v>
      </c>
      <c r="C81" s="14" t="str">
        <f>VLOOKUP(B81,Table4[],2,FALSE)</f>
        <v xml:space="preserve"> Viru Jaagupi halduspiirkond</v>
      </c>
      <c r="D81" s="14" t="str">
        <f>VLOOKUP(Table1[[#This Row],[Tegevusala]],Table4[[Tegevusala kood]:[Tegevusala alanimetus]],4,FALSE)</f>
        <v>Muu elamu- ja kommunaalmajanduse tegevus</v>
      </c>
      <c r="E81" s="14" t="str">
        <f>VLOOKUP(C81,Table4[[Tegevusala nimetus]:[Tegevusala koondnimetus]],2,FALSE)</f>
        <v>Elamu- ja kommunaalmajandus</v>
      </c>
      <c r="F81" s="14" t="s">
        <v>992</v>
      </c>
      <c r="G81" s="14" t="s">
        <v>960</v>
      </c>
      <c r="H81" s="14">
        <v>120</v>
      </c>
      <c r="I81" s="14" t="s">
        <v>2192</v>
      </c>
      <c r="J81" s="14">
        <v>5</v>
      </c>
      <c r="K81" s="14">
        <f t="shared" si="11"/>
        <v>600</v>
      </c>
      <c r="L81" s="14">
        <v>3</v>
      </c>
      <c r="M81" s="14"/>
      <c r="N81" s="44">
        <f>(K81*Table1[[#This Row],[Ühik2]])+M81</f>
        <v>1800</v>
      </c>
      <c r="O81" s="44">
        <f>Table1[[#This Row],[2020. EA ]]*0.338</f>
        <v>608.40000000000009</v>
      </c>
      <c r="P81" s="14"/>
    </row>
    <row r="82" spans="1:16" x14ac:dyDescent="0.25">
      <c r="A82" s="14" t="str">
        <f t="shared" si="14"/>
        <v>06</v>
      </c>
      <c r="B82" t="s">
        <v>261</v>
      </c>
      <c r="C82" s="14" t="str">
        <f>VLOOKUP(B82,Table4[],2,FALSE)</f>
        <v xml:space="preserve"> Viru Jaagupi halduspiirkond</v>
      </c>
      <c r="D82" s="14" t="str">
        <f>VLOOKUP(Table1[[#This Row],[Tegevusala]],Table4[[Tegevusala kood]:[Tegevusala alanimetus]],4,FALSE)</f>
        <v>Muu elamu- ja kommunaalmajanduse tegevus</v>
      </c>
      <c r="E82" s="14" t="str">
        <f>VLOOKUP(C82,Table4[[Tegevusala nimetus]:[Tegevusala koondnimetus]],2,FALSE)</f>
        <v>Elamu- ja kommunaalmajandus</v>
      </c>
      <c r="F82" s="14" t="s">
        <v>992</v>
      </c>
      <c r="G82" s="14" t="s">
        <v>990</v>
      </c>
      <c r="H82" s="14">
        <v>990</v>
      </c>
      <c r="I82" s="14" t="s">
        <v>2192</v>
      </c>
      <c r="J82" s="14">
        <v>3.5</v>
      </c>
      <c r="K82" s="14">
        <f t="shared" si="11"/>
        <v>3465</v>
      </c>
      <c r="L82" s="14">
        <v>1</v>
      </c>
      <c r="M82" s="14"/>
      <c r="N82" s="44">
        <f>(K82*Table1[[#This Row],[Ühik2]])+M82</f>
        <v>3465</v>
      </c>
      <c r="O82" s="44">
        <f>Table1[[#This Row],[2020. EA ]]*0.338</f>
        <v>1171.17</v>
      </c>
      <c r="P82" s="14" t="s">
        <v>991</v>
      </c>
    </row>
    <row r="83" spans="1:16" x14ac:dyDescent="0.25">
      <c r="A83" s="91" t="str">
        <f t="shared" ref="A83:A85" si="15">LEFT(B83,2)</f>
        <v>06</v>
      </c>
      <c r="B83" s="92" t="s">
        <v>265</v>
      </c>
      <c r="C83" s="91" t="str">
        <f>VLOOKUP(B83,Table4[],2,FALSE)</f>
        <v xml:space="preserve"> Saunad</v>
      </c>
      <c r="D83" s="91" t="str">
        <f>VLOOKUP(Table1[[#This Row],[Tegevusala]],Table4[[Tegevusala kood]:[Tegevusala alanimetus]],4,FALSE)</f>
        <v>Muu elamu- ja kommunaalmajanduse tegevus</v>
      </c>
      <c r="E83" s="91" t="str">
        <f>VLOOKUP(C83,Table4[[Tegevusala nimetus]:[Tegevusala koondnimetus]],2,FALSE)</f>
        <v>Elamu- ja kommunaalmajandus</v>
      </c>
      <c r="F83" s="91" t="s">
        <v>1023</v>
      </c>
      <c r="G83" s="91" t="s">
        <v>1026</v>
      </c>
      <c r="H83" s="91">
        <v>0.5</v>
      </c>
      <c r="I83" s="91"/>
      <c r="J83" s="91">
        <v>584</v>
      </c>
      <c r="K83" s="91">
        <f t="shared" si="11"/>
        <v>292</v>
      </c>
      <c r="L83" s="91">
        <v>12</v>
      </c>
      <c r="M83" s="91"/>
      <c r="N83" s="93">
        <f>(K83*Table1[[#This Row],[Ühik2]])+M83</f>
        <v>3504</v>
      </c>
      <c r="O83" s="93">
        <f>Table1[[#This Row],[2020. EA ]]*0.338</f>
        <v>1184.3520000000001</v>
      </c>
      <c r="P83" s="91"/>
    </row>
    <row r="84" spans="1:16" x14ac:dyDescent="0.25">
      <c r="A84" s="91" t="str">
        <f t="shared" si="15"/>
        <v>06</v>
      </c>
      <c r="B84" s="92" t="s">
        <v>265</v>
      </c>
      <c r="C84" s="91" t="str">
        <f>VLOOKUP(B84,Table4[],2,FALSE)</f>
        <v xml:space="preserve"> Saunad</v>
      </c>
      <c r="D84" s="91" t="str">
        <f>VLOOKUP(Table1[[#This Row],[Tegevusala]],Table4[[Tegevusala kood]:[Tegevusala alanimetus]],4,FALSE)</f>
        <v>Muu elamu- ja kommunaalmajanduse tegevus</v>
      </c>
      <c r="E84" s="91" t="str">
        <f>VLOOKUP(C84,Table4[[Tegevusala nimetus]:[Tegevusala koondnimetus]],2,FALSE)</f>
        <v>Elamu- ja kommunaalmajandus</v>
      </c>
      <c r="F84" s="91" t="s">
        <v>1023</v>
      </c>
      <c r="G84" s="91" t="s">
        <v>1027</v>
      </c>
      <c r="H84" s="91">
        <v>1</v>
      </c>
      <c r="I84" s="91"/>
      <c r="J84" s="91">
        <v>584</v>
      </c>
      <c r="K84" s="91">
        <f t="shared" si="11"/>
        <v>584</v>
      </c>
      <c r="L84" s="91">
        <v>12</v>
      </c>
      <c r="M84" s="91"/>
      <c r="N84" s="93">
        <f>(K84*Table1[[#This Row],[Ühik2]])+M84</f>
        <v>7008</v>
      </c>
      <c r="O84" s="93">
        <f>Table1[[#This Row],[2020. EA ]]*0.338</f>
        <v>2368.7040000000002</v>
      </c>
      <c r="P84" s="91"/>
    </row>
    <row r="85" spans="1:16" x14ac:dyDescent="0.25">
      <c r="A85" s="91" t="str">
        <f t="shared" si="15"/>
        <v>06</v>
      </c>
      <c r="B85" s="92" t="s">
        <v>265</v>
      </c>
      <c r="C85" s="91" t="str">
        <f>VLOOKUP(B85,Table4[],2,FALSE)</f>
        <v xml:space="preserve"> Saunad</v>
      </c>
      <c r="D85" s="91" t="str">
        <f>VLOOKUP(Table1[[#This Row],[Tegevusala]],Table4[[Tegevusala kood]:[Tegevusala alanimetus]],4,FALSE)</f>
        <v>Muu elamu- ja kommunaalmajanduse tegevus</v>
      </c>
      <c r="E85" s="91" t="str">
        <f>VLOOKUP(C85,Table4[[Tegevusala nimetus]:[Tegevusala koondnimetus]],2,FALSE)</f>
        <v>Elamu- ja kommunaalmajandus</v>
      </c>
      <c r="F85" s="91" t="s">
        <v>1023</v>
      </c>
      <c r="G85" s="91" t="s">
        <v>1028</v>
      </c>
      <c r="H85" s="91">
        <v>0.25</v>
      </c>
      <c r="I85" s="91"/>
      <c r="J85" s="91">
        <v>584</v>
      </c>
      <c r="K85" s="91">
        <f t="shared" si="11"/>
        <v>146</v>
      </c>
      <c r="L85" s="91">
        <v>12</v>
      </c>
      <c r="M85" s="91"/>
      <c r="N85" s="93">
        <f>(K85*Table1[[#This Row],[Ühik2]])+M85</f>
        <v>1752</v>
      </c>
      <c r="O85" s="93">
        <f>Table1[[#This Row],[2020. EA ]]*0.338</f>
        <v>592.17600000000004</v>
      </c>
      <c r="P85" s="91"/>
    </row>
    <row r="86" spans="1:16" x14ac:dyDescent="0.25">
      <c r="A86" s="91" t="str">
        <f t="shared" ref="A86:A87" si="16">LEFT(B86,2)</f>
        <v>06</v>
      </c>
      <c r="B86" s="92" t="s">
        <v>267</v>
      </c>
      <c r="C86" s="91" t="str">
        <f>VLOOKUP(B86,Table4[],2,FALSE)</f>
        <v xml:space="preserve"> Kalmistud</v>
      </c>
      <c r="D86" s="91" t="str">
        <f>VLOOKUP(Table1[[#This Row],[Tegevusala]],Table4[[Tegevusala kood]:[Tegevusala alanimetus]],4,FALSE)</f>
        <v>Muu elamu- ja kommunaalmajanduse tegevus</v>
      </c>
      <c r="E86" s="91" t="str">
        <f>VLOOKUP(C86,Table4[[Tegevusala nimetus]:[Tegevusala koondnimetus]],2,FALSE)</f>
        <v>Elamu- ja kommunaalmajandus</v>
      </c>
      <c r="F86" s="91" t="s">
        <v>1023</v>
      </c>
      <c r="G86" s="91" t="s">
        <v>1041</v>
      </c>
      <c r="H86" s="91">
        <v>2</v>
      </c>
      <c r="I86" s="91"/>
      <c r="J86" s="91">
        <v>292</v>
      </c>
      <c r="K86" s="91">
        <f t="shared" si="11"/>
        <v>584</v>
      </c>
      <c r="L86" s="91">
        <v>12</v>
      </c>
      <c r="M86" s="91"/>
      <c r="N86" s="93">
        <f>(K86*Table1[[#This Row],[Ühik2]])+M86</f>
        <v>7008</v>
      </c>
      <c r="O86" s="93">
        <f>Table1[[#This Row],[2020. EA ]]*0.338</f>
        <v>2368.7040000000002</v>
      </c>
      <c r="P86" s="91"/>
    </row>
    <row r="87" spans="1:16" x14ac:dyDescent="0.25">
      <c r="A87" s="91" t="str">
        <f t="shared" si="16"/>
        <v>06</v>
      </c>
      <c r="B87" s="92" t="s">
        <v>267</v>
      </c>
      <c r="C87" s="91" t="str">
        <f>VLOOKUP(B87,Table4[],2,FALSE)</f>
        <v xml:space="preserve"> Kalmistud</v>
      </c>
      <c r="D87" s="91" t="str">
        <f>VLOOKUP(Table1[[#This Row],[Tegevusala]],Table4[[Tegevusala kood]:[Tegevusala alanimetus]],4,FALSE)</f>
        <v>Muu elamu- ja kommunaalmajanduse tegevus</v>
      </c>
      <c r="E87" s="91" t="str">
        <f>VLOOKUP(C87,Table4[[Tegevusala nimetus]:[Tegevusala koondnimetus]],2,FALSE)</f>
        <v>Elamu- ja kommunaalmajandus</v>
      </c>
      <c r="F87" s="91" t="s">
        <v>1023</v>
      </c>
      <c r="G87" s="91" t="s">
        <v>1042</v>
      </c>
      <c r="H87" s="91">
        <v>0.25</v>
      </c>
      <c r="I87" s="91"/>
      <c r="J87" s="91">
        <v>584</v>
      </c>
      <c r="K87" s="91">
        <f t="shared" si="11"/>
        <v>146</v>
      </c>
      <c r="L87" s="91">
        <v>12</v>
      </c>
      <c r="M87" s="91"/>
      <c r="N87" s="93">
        <f>(K87*Table1[[#This Row],[Ühik2]])+M87</f>
        <v>1752</v>
      </c>
      <c r="O87" s="93">
        <f>Table1[[#This Row],[2020. EA ]]*0.338</f>
        <v>592.17600000000004</v>
      </c>
      <c r="P87" s="91"/>
    </row>
    <row r="88" spans="1:16" x14ac:dyDescent="0.25">
      <c r="A88" s="14" t="str">
        <f t="shared" ref="A88:A90" si="17">LEFT(B88,2)</f>
        <v>08</v>
      </c>
      <c r="B88" s="10" t="s">
        <v>296</v>
      </c>
      <c r="C88" s="14" t="str">
        <f>VLOOKUP(B88,Table4[],2,FALSE)</f>
        <v xml:space="preserve"> Vinni Raamatukogu</v>
      </c>
      <c r="D88" s="14" t="str">
        <f>VLOOKUP(Table1[[#This Row],[Tegevusala]],Table4[[Tegevusala kood]:[Tegevusala alanimetus]],4,FALSE)</f>
        <v>Raamatukogud</v>
      </c>
      <c r="E88" s="14" t="str">
        <f>VLOOKUP(C88,Table4[[Tegevusala nimetus]:[Tegevusala koondnimetus]],2,FALSE)</f>
        <v>Vabaaeg, kultuur ja religioon</v>
      </c>
      <c r="F88" s="14" t="s">
        <v>1055</v>
      </c>
      <c r="G88" s="14" t="s">
        <v>523</v>
      </c>
      <c r="H88" s="14">
        <v>1</v>
      </c>
      <c r="I88" s="14"/>
      <c r="J88" s="14">
        <v>1128</v>
      </c>
      <c r="K88" s="14">
        <f t="shared" si="11"/>
        <v>1128</v>
      </c>
      <c r="L88" s="14">
        <v>12</v>
      </c>
      <c r="M88" s="14"/>
      <c r="N88" s="44">
        <f>(K88*Table1[[#This Row],[Ühik2]])+M88</f>
        <v>13536</v>
      </c>
      <c r="O88" s="44">
        <f>Table1[[#This Row],[2020. EA ]]*0.338</f>
        <v>4575.1680000000006</v>
      </c>
      <c r="P88" s="14"/>
    </row>
    <row r="89" spans="1:16" x14ac:dyDescent="0.25">
      <c r="A89" s="14" t="str">
        <f t="shared" si="17"/>
        <v>08</v>
      </c>
      <c r="B89" s="10" t="s">
        <v>296</v>
      </c>
      <c r="C89" s="14" t="str">
        <f>VLOOKUP(B89,Table4[],2,FALSE)</f>
        <v xml:space="preserve"> Vinni Raamatukogu</v>
      </c>
      <c r="D89" s="14" t="str">
        <f>VLOOKUP(Table1[[#This Row],[Tegevusala]],Table4[[Tegevusala kood]:[Tegevusala alanimetus]],4,FALSE)</f>
        <v>Raamatukogud</v>
      </c>
      <c r="E89" s="14" t="str">
        <f>VLOOKUP(C89,Table4[[Tegevusala nimetus]:[Tegevusala koondnimetus]],2,FALSE)</f>
        <v>Vabaaeg, kultuur ja religioon</v>
      </c>
      <c r="F89" s="14" t="s">
        <v>1055</v>
      </c>
      <c r="G89" s="14" t="s">
        <v>1044</v>
      </c>
      <c r="H89" s="14">
        <v>1</v>
      </c>
      <c r="I89" s="14"/>
      <c r="J89" s="14">
        <v>790</v>
      </c>
      <c r="K89" s="14">
        <f t="shared" si="11"/>
        <v>790</v>
      </c>
      <c r="L89" s="14">
        <v>12</v>
      </c>
      <c r="M89" s="14"/>
      <c r="N89" s="44">
        <f>(K89*Table1[[#This Row],[Ühik2]])+M89</f>
        <v>9480</v>
      </c>
      <c r="O89" s="44">
        <f>Table1[[#This Row],[2020. EA ]]*0.338</f>
        <v>3204.2400000000002</v>
      </c>
      <c r="P89" s="14"/>
    </row>
    <row r="90" spans="1:16" x14ac:dyDescent="0.25">
      <c r="A90" s="91" t="str">
        <f t="shared" si="17"/>
        <v>08</v>
      </c>
      <c r="B90" s="94" t="s">
        <v>296</v>
      </c>
      <c r="C90" s="91" t="str">
        <f>VLOOKUP(B90,Table4[],2,FALSE)</f>
        <v xml:space="preserve"> Vinni Raamatukogu</v>
      </c>
      <c r="D90" s="91" t="str">
        <f>VLOOKUP(Table1[[#This Row],[Tegevusala]],Table4[[Tegevusala kood]:[Tegevusala alanimetus]],4,FALSE)</f>
        <v>Raamatukogud</v>
      </c>
      <c r="E90" s="91" t="str">
        <f>VLOOKUP(C90,Table4[[Tegevusala nimetus]:[Tegevusala koondnimetus]],2,FALSE)</f>
        <v>Vabaaeg, kultuur ja religioon</v>
      </c>
      <c r="F90" s="91" t="s">
        <v>1055</v>
      </c>
      <c r="G90" s="91" t="s">
        <v>1045</v>
      </c>
      <c r="H90" s="91">
        <v>0.75</v>
      </c>
      <c r="I90" s="91"/>
      <c r="J90" s="91">
        <v>584</v>
      </c>
      <c r="K90" s="91">
        <f t="shared" si="11"/>
        <v>438</v>
      </c>
      <c r="L90" s="91">
        <v>12</v>
      </c>
      <c r="M90" s="91"/>
      <c r="N90" s="93">
        <f>(K90*Table1[[#This Row],[Ühik2]])+M90</f>
        <v>5256</v>
      </c>
      <c r="O90" s="93">
        <f>Table1[[#This Row],[2020. EA ]]*0.338</f>
        <v>1776.528</v>
      </c>
      <c r="P90" s="91"/>
    </row>
    <row r="91" spans="1:16" x14ac:dyDescent="0.25">
      <c r="A91" s="14" t="str">
        <f>LEFT(B91,2)</f>
        <v>08</v>
      </c>
      <c r="B91" t="s">
        <v>298</v>
      </c>
      <c r="C91" s="14" t="str">
        <f>VLOOKUP(B91,Table4[],2,FALSE)</f>
        <v xml:space="preserve"> Viru-Jaagupi Raamatukogu</v>
      </c>
      <c r="D91" s="14" t="str">
        <f>VLOOKUP(Table1[[#This Row],[Tegevusala]],Table4[[Tegevusala kood]:[Tegevusala alanimetus]],4,FALSE)</f>
        <v>Raamatukogud</v>
      </c>
      <c r="E91" s="14" t="str">
        <f>VLOOKUP(C91,Table4[[Tegevusala nimetus]:[Tegevusala koondnimetus]],2,FALSE)</f>
        <v>Vabaaeg, kultuur ja religioon</v>
      </c>
      <c r="F91" s="14" t="s">
        <v>1083</v>
      </c>
      <c r="G91" s="14" t="s">
        <v>1082</v>
      </c>
      <c r="H91" s="14">
        <v>1</v>
      </c>
      <c r="I91" s="14"/>
      <c r="J91" s="14">
        <v>762</v>
      </c>
      <c r="K91" s="14">
        <f t="shared" si="11"/>
        <v>762</v>
      </c>
      <c r="L91" s="14">
        <v>12</v>
      </c>
      <c r="M91" s="14">
        <v>2220</v>
      </c>
      <c r="N91" s="44">
        <f>(K91*Table1[[#This Row],[Ühik2]])+M91</f>
        <v>11364</v>
      </c>
      <c r="O91" s="44">
        <f>Table1[[#This Row],[2020. EA ]]*0.338</f>
        <v>3841.0320000000002</v>
      </c>
      <c r="P91" s="14" t="s">
        <v>1084</v>
      </c>
    </row>
    <row r="92" spans="1:16" x14ac:dyDescent="0.25">
      <c r="A92" s="38" t="str">
        <f>LEFT(B92,2)</f>
        <v>08</v>
      </c>
      <c r="B92" s="33" t="s">
        <v>304</v>
      </c>
      <c r="C92" s="38" t="str">
        <f>VLOOKUP(B92,Table4[],2,FALSE)</f>
        <v xml:space="preserve"> Ulvi Raamatukogu</v>
      </c>
      <c r="D92" s="38" t="str">
        <f>VLOOKUP(Table1[[#This Row],[Tegevusala]],Table4[[Tegevusala kood]:[Tegevusala alanimetus]],4,FALSE)</f>
        <v>Raamatukogud</v>
      </c>
      <c r="E92" s="38" t="str">
        <f>VLOOKUP(C92,Table4[[Tegevusala nimetus]:[Tegevusala koondnimetus]],2,FALSE)</f>
        <v>Vabaaeg, kultuur ja religioon</v>
      </c>
      <c r="F92" s="38" t="s">
        <v>1672</v>
      </c>
      <c r="G92" s="38" t="s">
        <v>1087</v>
      </c>
      <c r="H92" s="38">
        <v>1</v>
      </c>
      <c r="I92" s="38"/>
      <c r="J92" s="38">
        <v>845</v>
      </c>
      <c r="K92" s="38">
        <f t="shared" si="11"/>
        <v>845</v>
      </c>
      <c r="L92" s="38">
        <v>12</v>
      </c>
      <c r="M92" s="38">
        <f>12*127</f>
        <v>1524</v>
      </c>
      <c r="N92" s="45">
        <f>(K92*Table1[[#This Row],[Ühik2]])+M92</f>
        <v>11664</v>
      </c>
      <c r="O92" s="45">
        <f>Table1[[#This Row],[2020. EA ]]*0.338</f>
        <v>3942.4320000000002</v>
      </c>
      <c r="P92" s="38" t="s">
        <v>2154</v>
      </c>
    </row>
    <row r="93" spans="1:16" x14ac:dyDescent="0.25">
      <c r="A93" s="38" t="str">
        <f t="shared" ref="A93:A95" si="18">LEFT(B93,2)</f>
        <v>08</v>
      </c>
      <c r="B93" s="33" t="s">
        <v>320</v>
      </c>
      <c r="C93" s="38" t="str">
        <f>VLOOKUP(B93,Table4[],2,FALSE)</f>
        <v xml:space="preserve"> Laekvere Rahvamaja</v>
      </c>
      <c r="D93" s="38" t="str">
        <f>VLOOKUP(Table1[[#This Row],[Tegevusala]],Table4[[Tegevusala kood]:[Tegevusala alanimetus]],4,FALSE)</f>
        <v>Rahvakultuur</v>
      </c>
      <c r="E93" s="38" t="str">
        <f>VLOOKUP(C93,Table4[[Tegevusala nimetus]:[Tegevusala koondnimetus]],2,FALSE)</f>
        <v>Vabaaeg, kultuur ja religioon</v>
      </c>
      <c r="F93" s="38" t="s">
        <v>1110</v>
      </c>
      <c r="G93" s="38" t="s">
        <v>523</v>
      </c>
      <c r="H93" s="38">
        <v>1</v>
      </c>
      <c r="I93" s="38"/>
      <c r="J93" s="38">
        <v>1100</v>
      </c>
      <c r="K93" s="38">
        <f t="shared" si="11"/>
        <v>1100</v>
      </c>
      <c r="L93" s="38">
        <v>12</v>
      </c>
      <c r="M93" s="38"/>
      <c r="N93" s="45">
        <f>(K93*Table1[[#This Row],[Ühik2]])+M93</f>
        <v>13200</v>
      </c>
      <c r="O93" s="45">
        <f>Table1[[#This Row],[2020. EA ]]*0.338</f>
        <v>4461.6000000000004</v>
      </c>
      <c r="P93" s="38"/>
    </row>
    <row r="94" spans="1:16" x14ac:dyDescent="0.25">
      <c r="A94" s="91" t="str">
        <f t="shared" si="18"/>
        <v>08</v>
      </c>
      <c r="B94" s="92" t="s">
        <v>320</v>
      </c>
      <c r="C94" s="91" t="str">
        <f>VLOOKUP(B94,Table4[],2,FALSE)</f>
        <v xml:space="preserve"> Laekvere Rahvamaja</v>
      </c>
      <c r="D94" s="91" t="str">
        <f>VLOOKUP(Table1[[#This Row],[Tegevusala]],Table4[[Tegevusala kood]:[Tegevusala alanimetus]],4,FALSE)</f>
        <v>Rahvakultuur</v>
      </c>
      <c r="E94" s="91" t="str">
        <f>VLOOKUP(C94,Table4[[Tegevusala nimetus]:[Tegevusala koondnimetus]],2,FALSE)</f>
        <v>Vabaaeg, kultuur ja religioon</v>
      </c>
      <c r="F94" s="91" t="s">
        <v>1110</v>
      </c>
      <c r="G94" s="91" t="s">
        <v>1045</v>
      </c>
      <c r="H94" s="91">
        <v>1</v>
      </c>
      <c r="I94" s="91"/>
      <c r="J94" s="91">
        <v>584</v>
      </c>
      <c r="K94" s="91">
        <f t="shared" si="11"/>
        <v>584</v>
      </c>
      <c r="L94" s="91">
        <v>12</v>
      </c>
      <c r="M94" s="91"/>
      <c r="N94" s="93">
        <f>(K94*Table1[[#This Row],[Ühik2]])+M94</f>
        <v>7008</v>
      </c>
      <c r="O94" s="93">
        <f>Table1[[#This Row],[2020. EA ]]*0.338</f>
        <v>2368.7040000000002</v>
      </c>
      <c r="P94" s="91"/>
    </row>
    <row r="95" spans="1:16" x14ac:dyDescent="0.25">
      <c r="A95" s="91" t="str">
        <f t="shared" si="18"/>
        <v>08</v>
      </c>
      <c r="B95" s="92" t="s">
        <v>320</v>
      </c>
      <c r="C95" s="91" t="str">
        <f>VLOOKUP(B95,Table4[],2,FALSE)</f>
        <v xml:space="preserve"> Laekvere Rahvamaja</v>
      </c>
      <c r="D95" s="91" t="str">
        <f>VLOOKUP(Table1[[#This Row],[Tegevusala]],Table4[[Tegevusala kood]:[Tegevusala alanimetus]],4,FALSE)</f>
        <v>Rahvakultuur</v>
      </c>
      <c r="E95" s="91" t="str">
        <f>VLOOKUP(C95,Table4[[Tegevusala nimetus]:[Tegevusala koondnimetus]],2,FALSE)</f>
        <v>Vabaaeg, kultuur ja religioon</v>
      </c>
      <c r="F95" s="91" t="s">
        <v>1110</v>
      </c>
      <c r="G95" s="91" t="s">
        <v>1111</v>
      </c>
      <c r="H95" s="91">
        <v>1</v>
      </c>
      <c r="I95" s="91"/>
      <c r="J95" s="91">
        <v>584</v>
      </c>
      <c r="K95" s="91">
        <f t="shared" si="11"/>
        <v>584</v>
      </c>
      <c r="L95" s="91">
        <v>12</v>
      </c>
      <c r="M95" s="91"/>
      <c r="N95" s="93">
        <f>(K95*Table1[[#This Row],[Ühik2]])+M95</f>
        <v>7008</v>
      </c>
      <c r="O95" s="93">
        <f>Table1[[#This Row],[2020. EA ]]*0.338</f>
        <v>2368.7040000000002</v>
      </c>
      <c r="P95" s="91"/>
    </row>
    <row r="96" spans="1:16" x14ac:dyDescent="0.25">
      <c r="A96" s="14" t="str">
        <f t="shared" ref="A96:A102" si="19">LEFT(B96,2)</f>
        <v>08</v>
      </c>
      <c r="B96" t="s">
        <v>323</v>
      </c>
      <c r="C96" s="14" t="str">
        <f>VLOOKUP(B96,Table4[],2,FALSE)</f>
        <v xml:space="preserve"> Ulvi Klubi</v>
      </c>
      <c r="D96" s="39" t="str">
        <f>VLOOKUP(Table1[[#This Row],[Tegevusala]],Table4[[Tegevusala kood]:[Tegevusala alanimetus]],4,FALSE)</f>
        <v>Rahvakultuur</v>
      </c>
      <c r="E96" s="14" t="str">
        <f>VLOOKUP(C96,Table4[[Tegevusala nimetus]:[Tegevusala koondnimetus]],2,FALSE)</f>
        <v>Vabaaeg, kultuur ja religioon</v>
      </c>
      <c r="F96" s="14" t="s">
        <v>1142</v>
      </c>
      <c r="G96" s="14" t="s">
        <v>1141</v>
      </c>
      <c r="H96" s="14">
        <v>1</v>
      </c>
      <c r="I96" s="14"/>
      <c r="J96" s="14">
        <v>920</v>
      </c>
      <c r="K96" s="14">
        <f t="shared" si="11"/>
        <v>920</v>
      </c>
      <c r="L96" s="14">
        <v>12</v>
      </c>
      <c r="M96" s="14">
        <v>3600</v>
      </c>
      <c r="N96" s="44">
        <f>(K96*Table1[[#This Row],[Ühik2]])+M96</f>
        <v>14640</v>
      </c>
      <c r="O96" s="44">
        <f>Table1[[#This Row],[2020. EA ]]*0.338</f>
        <v>4948.3200000000006</v>
      </c>
      <c r="P96" s="14" t="s">
        <v>2207</v>
      </c>
    </row>
    <row r="97" spans="1:16" x14ac:dyDescent="0.25">
      <c r="A97" s="14" t="str">
        <f t="shared" si="19"/>
        <v>08</v>
      </c>
      <c r="B97" t="s">
        <v>323</v>
      </c>
      <c r="C97" s="14" t="str">
        <f>VLOOKUP(B97,Table4[],2,FALSE)</f>
        <v xml:space="preserve"> Ulvi Klubi</v>
      </c>
      <c r="D97" s="39" t="str">
        <f>VLOOKUP(Table1[[#This Row],[Tegevusala]],Table4[[Tegevusala kood]:[Tegevusala alanimetus]],4,FALSE)</f>
        <v>Rahvakultuur</v>
      </c>
      <c r="E97" s="14" t="str">
        <f>VLOOKUP(C97,Table4[[Tegevusala nimetus]:[Tegevusala koondnimetus]],2,FALSE)</f>
        <v>Vabaaeg, kultuur ja religioon</v>
      </c>
      <c r="F97" s="14" t="s">
        <v>1142</v>
      </c>
      <c r="G97" s="14" t="s">
        <v>1143</v>
      </c>
      <c r="H97" s="14">
        <v>1</v>
      </c>
      <c r="I97" s="14" t="s">
        <v>2027</v>
      </c>
      <c r="J97" s="14">
        <v>150</v>
      </c>
      <c r="K97" s="14">
        <f t="shared" si="11"/>
        <v>150</v>
      </c>
      <c r="L97" s="14">
        <v>9</v>
      </c>
      <c r="M97" s="14"/>
      <c r="N97" s="44">
        <f>(K97*Table1[[#This Row],[Ühik2]])+M97</f>
        <v>1350</v>
      </c>
      <c r="O97" s="44">
        <f>Table1[[#This Row],[2020. EA ]]*0.338</f>
        <v>456.3</v>
      </c>
      <c r="P97" s="14"/>
    </row>
    <row r="98" spans="1:16" x14ac:dyDescent="0.25">
      <c r="A98" s="14" t="str">
        <f t="shared" si="19"/>
        <v>08</v>
      </c>
      <c r="B98" t="s">
        <v>323</v>
      </c>
      <c r="C98" s="14" t="str">
        <f>VLOOKUP(B98,Table4[],2,FALSE)</f>
        <v xml:space="preserve"> Ulvi Klubi</v>
      </c>
      <c r="D98" s="39" t="str">
        <f>VLOOKUP(Table1[[#This Row],[Tegevusala]],Table4[[Tegevusala kood]:[Tegevusala alanimetus]],4,FALSE)</f>
        <v>Rahvakultuur</v>
      </c>
      <c r="E98" s="14" t="str">
        <f>VLOOKUP(C98,Table4[[Tegevusala nimetus]:[Tegevusala koondnimetus]],2,FALSE)</f>
        <v>Vabaaeg, kultuur ja religioon</v>
      </c>
      <c r="F98" s="14" t="s">
        <v>1142</v>
      </c>
      <c r="G98" s="14" t="s">
        <v>1143</v>
      </c>
      <c r="H98" s="14">
        <v>1</v>
      </c>
      <c r="I98" s="14" t="s">
        <v>2027</v>
      </c>
      <c r="J98" s="14">
        <v>60</v>
      </c>
      <c r="K98" s="14">
        <f t="shared" si="11"/>
        <v>60</v>
      </c>
      <c r="L98" s="14">
        <v>9</v>
      </c>
      <c r="M98" s="14"/>
      <c r="N98" s="44">
        <f>(K98*Table1[[#This Row],[Ühik2]])+M98</f>
        <v>540</v>
      </c>
      <c r="O98" s="44">
        <f>Table1[[#This Row],[2020. EA ]]*0.338</f>
        <v>182.52</v>
      </c>
      <c r="P98" s="14"/>
    </row>
    <row r="99" spans="1:16" x14ac:dyDescent="0.25">
      <c r="A99" s="14" t="str">
        <f t="shared" si="19"/>
        <v>08</v>
      </c>
      <c r="B99" t="s">
        <v>323</v>
      </c>
      <c r="C99" s="14" t="str">
        <f>VLOOKUP(B99,Table4[],2,FALSE)</f>
        <v xml:space="preserve"> Ulvi Klubi</v>
      </c>
      <c r="D99" s="39" t="str">
        <f>VLOOKUP(Table1[[#This Row],[Tegevusala]],Table4[[Tegevusala kood]:[Tegevusala alanimetus]],4,FALSE)</f>
        <v>Rahvakultuur</v>
      </c>
      <c r="E99" s="14" t="str">
        <f>VLOOKUP(C99,Table4[[Tegevusala nimetus]:[Tegevusala koondnimetus]],2,FALSE)</f>
        <v>Vabaaeg, kultuur ja religioon</v>
      </c>
      <c r="F99" s="14" t="s">
        <v>1142</v>
      </c>
      <c r="G99" s="14" t="s">
        <v>1143</v>
      </c>
      <c r="H99" s="14">
        <v>1</v>
      </c>
      <c r="I99" s="14" t="s">
        <v>2027</v>
      </c>
      <c r="J99" s="14">
        <v>40</v>
      </c>
      <c r="K99" s="14">
        <f t="shared" si="11"/>
        <v>40</v>
      </c>
      <c r="L99" s="14">
        <v>9</v>
      </c>
      <c r="M99" s="14"/>
      <c r="N99" s="44">
        <f>(K99*Table1[[#This Row],[Ühik2]])+M99</f>
        <v>360</v>
      </c>
      <c r="O99" s="44">
        <f>Table1[[#This Row],[2020. EA ]]*0.338</f>
        <v>121.68</v>
      </c>
      <c r="P99" s="14"/>
    </row>
    <row r="100" spans="1:16" x14ac:dyDescent="0.25">
      <c r="A100" s="14" t="str">
        <f t="shared" si="19"/>
        <v>08</v>
      </c>
      <c r="B100" t="s">
        <v>323</v>
      </c>
      <c r="C100" s="14" t="str">
        <f>VLOOKUP(B100,Table4[],2,FALSE)</f>
        <v xml:space="preserve"> Ulvi Klubi</v>
      </c>
      <c r="D100" s="39" t="str">
        <f>VLOOKUP(Table1[[#This Row],[Tegevusala]],Table4[[Tegevusala kood]:[Tegevusala alanimetus]],4,FALSE)</f>
        <v>Rahvakultuur</v>
      </c>
      <c r="E100" s="14" t="str">
        <f>VLOOKUP(C100,Table4[[Tegevusala nimetus]:[Tegevusala koondnimetus]],2,FALSE)</f>
        <v>Vabaaeg, kultuur ja religioon</v>
      </c>
      <c r="F100" s="14" t="s">
        <v>1142</v>
      </c>
      <c r="G100" s="14" t="s">
        <v>1143</v>
      </c>
      <c r="H100" s="14">
        <v>1</v>
      </c>
      <c r="I100" s="14" t="s">
        <v>2027</v>
      </c>
      <c r="J100" s="14">
        <v>60</v>
      </c>
      <c r="K100" s="14">
        <f t="shared" si="11"/>
        <v>60</v>
      </c>
      <c r="L100" s="14">
        <v>9</v>
      </c>
      <c r="M100" s="14"/>
      <c r="N100" s="44">
        <f>(K100*Table1[[#This Row],[Ühik2]])+M100</f>
        <v>540</v>
      </c>
      <c r="O100" s="44">
        <f>Table1[[#This Row],[2020. EA ]]*0.338</f>
        <v>182.52</v>
      </c>
      <c r="P100" s="14"/>
    </row>
    <row r="101" spans="1:16" x14ac:dyDescent="0.25">
      <c r="A101" s="14" t="str">
        <f t="shared" si="19"/>
        <v>08</v>
      </c>
      <c r="B101" t="s">
        <v>323</v>
      </c>
      <c r="C101" s="14" t="str">
        <f>VLOOKUP(B101,Table4[],2,FALSE)</f>
        <v xml:space="preserve"> Ulvi Klubi</v>
      </c>
      <c r="D101" s="39" t="str">
        <f>VLOOKUP(Table1[[#This Row],[Tegevusala]],Table4[[Tegevusala kood]:[Tegevusala alanimetus]],4,FALSE)</f>
        <v>Rahvakultuur</v>
      </c>
      <c r="E101" s="14" t="str">
        <f>VLOOKUP(C101,Table4[[Tegevusala nimetus]:[Tegevusala koondnimetus]],2,FALSE)</f>
        <v>Vabaaeg, kultuur ja religioon</v>
      </c>
      <c r="F101" s="14" t="s">
        <v>1142</v>
      </c>
      <c r="G101" s="14" t="s">
        <v>935</v>
      </c>
      <c r="H101" s="14">
        <v>2</v>
      </c>
      <c r="I101" s="14" t="s">
        <v>2027</v>
      </c>
      <c r="J101" s="14">
        <v>60</v>
      </c>
      <c r="K101" s="14">
        <f t="shared" si="11"/>
        <v>120</v>
      </c>
      <c r="L101" s="14">
        <v>9</v>
      </c>
      <c r="M101" s="14"/>
      <c r="N101" s="44">
        <f>(K101*Table1[[#This Row],[Ühik2]])+M101</f>
        <v>1080</v>
      </c>
      <c r="O101" s="44">
        <f>Table1[[#This Row],[2020. EA ]]*0.338</f>
        <v>365.04</v>
      </c>
      <c r="P101" s="14"/>
    </row>
    <row r="102" spans="1:16" x14ac:dyDescent="0.25">
      <c r="A102" s="14" t="str">
        <f t="shared" si="19"/>
        <v>08</v>
      </c>
      <c r="B102" t="s">
        <v>323</v>
      </c>
      <c r="C102" s="14" t="str">
        <f>VLOOKUP(B102,Table4[],2,FALSE)</f>
        <v xml:space="preserve"> Ulvi Klubi</v>
      </c>
      <c r="D102" s="39" t="str">
        <f>VLOOKUP(Table1[[#This Row],[Tegevusala]],Table4[[Tegevusala kood]:[Tegevusala alanimetus]],4,FALSE)</f>
        <v>Rahvakultuur</v>
      </c>
      <c r="E102" s="14" t="str">
        <f>VLOOKUP(C102,Table4[[Tegevusala nimetus]:[Tegevusala koondnimetus]],2,FALSE)</f>
        <v>Vabaaeg, kultuur ja religioon</v>
      </c>
      <c r="F102" s="14" t="s">
        <v>1142</v>
      </c>
      <c r="G102" s="14" t="s">
        <v>935</v>
      </c>
      <c r="H102" s="14">
        <v>1</v>
      </c>
      <c r="I102" s="14" t="s">
        <v>2027</v>
      </c>
      <c r="J102" s="14">
        <v>40</v>
      </c>
      <c r="K102" s="14">
        <f t="shared" si="11"/>
        <v>40</v>
      </c>
      <c r="L102" s="14">
        <v>9</v>
      </c>
      <c r="M102" s="14"/>
      <c r="N102" s="44">
        <f>(K102*Table1[[#This Row],[Ühik2]])+M102</f>
        <v>360</v>
      </c>
      <c r="O102" s="44">
        <f>Table1[[#This Row],[2020. EA ]]*0.338</f>
        <v>121.68</v>
      </c>
      <c r="P102" s="14"/>
    </row>
    <row r="103" spans="1:16" x14ac:dyDescent="0.25">
      <c r="A103" s="14" t="str">
        <f t="shared" ref="A103:A115" si="20">LEFT(B103,2)</f>
        <v>09</v>
      </c>
      <c r="B103" t="s">
        <v>325</v>
      </c>
      <c r="C103" s="14" t="str">
        <f>VLOOKUP(B103,Table4[],2,FALSE)</f>
        <v xml:space="preserve"> Vinni Lasteaed</v>
      </c>
      <c r="D103" s="39" t="str">
        <f>VLOOKUP(Table1[[#This Row],[Tegevusala]],Table4[[Tegevusala kood]:[Tegevusala alanimetus]],4,FALSE)</f>
        <v>Alusharidus</v>
      </c>
      <c r="E103" s="14" t="str">
        <f>VLOOKUP(C103,Table4[[Tegevusala nimetus]:[Tegevusala koondnimetus]],2,FALSE)</f>
        <v>Haridus</v>
      </c>
      <c r="F103" t="s">
        <v>1203</v>
      </c>
      <c r="G103" s="14" t="s">
        <v>1204</v>
      </c>
      <c r="H103" s="14">
        <v>1</v>
      </c>
      <c r="I103" s="14"/>
      <c r="J103" s="14">
        <v>1700</v>
      </c>
      <c r="K103" s="14">
        <f t="shared" si="11"/>
        <v>1700</v>
      </c>
      <c r="L103" s="14">
        <v>12</v>
      </c>
      <c r="M103" s="14"/>
      <c r="N103" s="44">
        <f>(K103*Table1[[#This Row],[Ühik2]])+M103</f>
        <v>20400</v>
      </c>
      <c r="O103" s="44">
        <f>Table1[[#This Row],[2020. EA ]]*0.338</f>
        <v>6895.2000000000007</v>
      </c>
      <c r="P103" s="14"/>
    </row>
    <row r="104" spans="1:16" x14ac:dyDescent="0.25">
      <c r="A104" s="14" t="str">
        <f t="shared" si="20"/>
        <v>09</v>
      </c>
      <c r="B104" t="s">
        <v>325</v>
      </c>
      <c r="C104" s="14" t="str">
        <f>VLOOKUP(B104,Table4[],2,FALSE)</f>
        <v xml:space="preserve"> Vinni Lasteaed</v>
      </c>
      <c r="D104" s="39" t="str">
        <f>VLOOKUP(Table1[[#This Row],[Tegevusala]],Table4[[Tegevusala kood]:[Tegevusala alanimetus]],4,FALSE)</f>
        <v>Alusharidus</v>
      </c>
      <c r="E104" s="14" t="str">
        <f>VLOOKUP(C104,Table4[[Tegevusala nimetus]:[Tegevusala koondnimetus]],2,FALSE)</f>
        <v>Haridus</v>
      </c>
      <c r="F104" t="s">
        <v>1203</v>
      </c>
      <c r="G104" s="14" t="s">
        <v>1205</v>
      </c>
      <c r="H104" s="14">
        <v>7</v>
      </c>
      <c r="I104" s="14"/>
      <c r="J104" s="14">
        <v>1315</v>
      </c>
      <c r="K104" s="14">
        <f t="shared" si="11"/>
        <v>9205</v>
      </c>
      <c r="L104" s="14">
        <v>12</v>
      </c>
      <c r="M104" s="14"/>
      <c r="N104" s="44">
        <f>(K104*Table1[[#This Row],[Ühik2]])+M104</f>
        <v>110460</v>
      </c>
      <c r="O104" s="44">
        <f>Table1[[#This Row],[2020. EA ]]*0.338</f>
        <v>37335.480000000003</v>
      </c>
      <c r="P104" s="14"/>
    </row>
    <row r="105" spans="1:16" x14ac:dyDescent="0.25">
      <c r="A105" s="14" t="str">
        <f t="shared" si="20"/>
        <v>09</v>
      </c>
      <c r="B105" t="s">
        <v>325</v>
      </c>
      <c r="C105" s="14" t="str">
        <f>VLOOKUP(B105,Table4[],2,FALSE)</f>
        <v xml:space="preserve"> Vinni Lasteaed</v>
      </c>
      <c r="D105" s="39" t="str">
        <f>VLOOKUP(Table1[[#This Row],[Tegevusala]],Table4[[Tegevusala kood]:[Tegevusala alanimetus]],4,FALSE)</f>
        <v>Alusharidus</v>
      </c>
      <c r="E105" s="14" t="str">
        <f>VLOOKUP(C105,Table4[[Tegevusala nimetus]:[Tegevusala koondnimetus]],2,FALSE)</f>
        <v>Haridus</v>
      </c>
      <c r="F105" t="s">
        <v>1203</v>
      </c>
      <c r="G105" s="14" t="s">
        <v>1206</v>
      </c>
      <c r="H105" s="14">
        <v>5</v>
      </c>
      <c r="I105" s="14"/>
      <c r="J105" s="14">
        <v>1183.5</v>
      </c>
      <c r="K105" s="14">
        <f t="shared" si="11"/>
        <v>5917.5</v>
      </c>
      <c r="L105" s="14">
        <v>12</v>
      </c>
      <c r="M105" s="14"/>
      <c r="N105" s="44">
        <f>(K105*Table1[[#This Row],[Ühik2]])+M105</f>
        <v>71010</v>
      </c>
      <c r="O105" s="44">
        <f>Table1[[#This Row],[2020. EA ]]*0.338</f>
        <v>24001.38</v>
      </c>
      <c r="P105" s="14"/>
    </row>
    <row r="106" spans="1:16" x14ac:dyDescent="0.25">
      <c r="A106" s="14" t="str">
        <f t="shared" si="20"/>
        <v>09</v>
      </c>
      <c r="B106" t="s">
        <v>325</v>
      </c>
      <c r="C106" s="14" t="str">
        <f>VLOOKUP(B106,Table4[],2,FALSE)</f>
        <v xml:space="preserve"> Vinni Lasteaed</v>
      </c>
      <c r="D106" s="39" t="str">
        <f>VLOOKUP(Table1[[#This Row],[Tegevusala]],Table4[[Tegevusala kood]:[Tegevusala alanimetus]],4,FALSE)</f>
        <v>Alusharidus</v>
      </c>
      <c r="E106" s="14" t="str">
        <f>VLOOKUP(C106,Table4[[Tegevusala nimetus]:[Tegevusala koondnimetus]],2,FALSE)</f>
        <v>Haridus</v>
      </c>
      <c r="F106" t="s">
        <v>1203</v>
      </c>
      <c r="G106" s="14" t="s">
        <v>1207</v>
      </c>
      <c r="H106" s="14">
        <v>0.75</v>
      </c>
      <c r="I106" s="14"/>
      <c r="J106" s="14">
        <v>1183.5</v>
      </c>
      <c r="K106" s="14">
        <f t="shared" si="11"/>
        <v>887.625</v>
      </c>
      <c r="L106" s="14">
        <v>12</v>
      </c>
      <c r="M106" s="14"/>
      <c r="N106" s="44">
        <f>(K106*Table1[[#This Row],[Ühik2]])+M106</f>
        <v>10651.5</v>
      </c>
      <c r="O106" s="44">
        <f>Table1[[#This Row],[2020. EA ]]*0.338</f>
        <v>3600.2070000000003</v>
      </c>
      <c r="P106" s="14"/>
    </row>
    <row r="107" spans="1:16" x14ac:dyDescent="0.25">
      <c r="A107" s="14" t="str">
        <f t="shared" si="20"/>
        <v>09</v>
      </c>
      <c r="B107" t="s">
        <v>325</v>
      </c>
      <c r="C107" s="14" t="str">
        <f>VLOOKUP(B107,Table4[],2,FALSE)</f>
        <v xml:space="preserve"> Vinni Lasteaed</v>
      </c>
      <c r="D107" s="39" t="str">
        <f>VLOOKUP(Table1[[#This Row],[Tegevusala]],Table4[[Tegevusala kood]:[Tegevusala alanimetus]],4,FALSE)</f>
        <v>Alusharidus</v>
      </c>
      <c r="E107" s="14" t="str">
        <f>VLOOKUP(C107,Table4[[Tegevusala nimetus]:[Tegevusala koondnimetus]],2,FALSE)</f>
        <v>Haridus</v>
      </c>
      <c r="F107" t="s">
        <v>1203</v>
      </c>
      <c r="G107" s="14" t="s">
        <v>1208</v>
      </c>
      <c r="H107" s="14">
        <v>0.75</v>
      </c>
      <c r="I107" s="14"/>
      <c r="J107" s="14">
        <v>1183.5</v>
      </c>
      <c r="K107" s="14">
        <f t="shared" si="11"/>
        <v>887.625</v>
      </c>
      <c r="L107" s="14">
        <v>12</v>
      </c>
      <c r="M107" s="14"/>
      <c r="N107" s="44">
        <f>(K107*Table1[[#This Row],[Ühik2]])+M107</f>
        <v>10651.5</v>
      </c>
      <c r="O107" s="44">
        <f>Table1[[#This Row],[2020. EA ]]*0.338</f>
        <v>3600.2070000000003</v>
      </c>
      <c r="P107" s="14"/>
    </row>
    <row r="108" spans="1:16" x14ac:dyDescent="0.25">
      <c r="A108" s="14" t="str">
        <f t="shared" si="20"/>
        <v>09</v>
      </c>
      <c r="B108" t="s">
        <v>325</v>
      </c>
      <c r="C108" s="14" t="str">
        <f>VLOOKUP(B108,Table4[],2,FALSE)</f>
        <v xml:space="preserve"> Vinni Lasteaed</v>
      </c>
      <c r="D108" s="39" t="str">
        <f>VLOOKUP(Table1[[#This Row],[Tegevusala]],Table4[[Tegevusala kood]:[Tegevusala alanimetus]],4,FALSE)</f>
        <v>Alusharidus</v>
      </c>
      <c r="E108" s="14" t="str">
        <f>VLOOKUP(C108,Table4[[Tegevusala nimetus]:[Tegevusala koondnimetus]],2,FALSE)</f>
        <v>Haridus</v>
      </c>
      <c r="F108" t="s">
        <v>1203</v>
      </c>
      <c r="G108" s="14" t="s">
        <v>1209</v>
      </c>
      <c r="H108" s="14">
        <v>1</v>
      </c>
      <c r="I108" s="14"/>
      <c r="J108" s="14">
        <v>1315</v>
      </c>
      <c r="K108" s="14">
        <f t="shared" si="11"/>
        <v>1315</v>
      </c>
      <c r="L108" s="14">
        <v>12</v>
      </c>
      <c r="M108" s="14"/>
      <c r="N108" s="44">
        <f>(K108*Table1[[#This Row],[Ühik2]])+M108</f>
        <v>15780</v>
      </c>
      <c r="O108" s="44">
        <f>Table1[[#This Row],[2020. EA ]]*0.338</f>
        <v>5333.64</v>
      </c>
      <c r="P108" s="14"/>
    </row>
    <row r="109" spans="1:16" x14ac:dyDescent="0.25">
      <c r="A109" s="14" t="str">
        <f t="shared" si="20"/>
        <v>09</v>
      </c>
      <c r="B109" t="s">
        <v>325</v>
      </c>
      <c r="C109" s="14" t="str">
        <f>VLOOKUP(B109,Table4[],2,FALSE)</f>
        <v xml:space="preserve"> Vinni Lasteaed</v>
      </c>
      <c r="D109" s="39" t="str">
        <f>VLOOKUP(Table1[[#This Row],[Tegevusala]],Table4[[Tegevusala kood]:[Tegevusala alanimetus]],4,FALSE)</f>
        <v>Alusharidus</v>
      </c>
      <c r="E109" s="14" t="str">
        <f>VLOOKUP(C109,Table4[[Tegevusala nimetus]:[Tegevusala koondnimetus]],2,FALSE)</f>
        <v>Haridus</v>
      </c>
      <c r="F109" t="s">
        <v>1203</v>
      </c>
      <c r="G109" s="14" t="s">
        <v>1210</v>
      </c>
      <c r="H109" s="14">
        <v>6</v>
      </c>
      <c r="I109" s="14"/>
      <c r="J109" s="14">
        <v>702</v>
      </c>
      <c r="K109" s="14">
        <f t="shared" si="11"/>
        <v>4212</v>
      </c>
      <c r="L109" s="14">
        <v>12</v>
      </c>
      <c r="M109" s="14"/>
      <c r="N109" s="44">
        <f>(K109*Table1[[#This Row],[Ühik2]])+M109</f>
        <v>50544</v>
      </c>
      <c r="O109" s="44">
        <f>Table1[[#This Row],[2020. EA ]]*0.338</f>
        <v>17083.871999999999</v>
      </c>
      <c r="P109" s="14"/>
    </row>
    <row r="110" spans="1:16" x14ac:dyDescent="0.25">
      <c r="A110" s="14" t="str">
        <f t="shared" si="20"/>
        <v>09</v>
      </c>
      <c r="B110" t="s">
        <v>325</v>
      </c>
      <c r="C110" s="14" t="str">
        <f>VLOOKUP(B110,Table4[],2,FALSE)</f>
        <v xml:space="preserve"> Vinni Lasteaed</v>
      </c>
      <c r="D110" s="39" t="str">
        <f>VLOOKUP(Table1[[#This Row],[Tegevusala]],Table4[[Tegevusala kood]:[Tegevusala alanimetus]],4,FALSE)</f>
        <v>Alusharidus</v>
      </c>
      <c r="E110" s="14" t="str">
        <f>VLOOKUP(C110,Table4[[Tegevusala nimetus]:[Tegevusala koondnimetus]],2,FALSE)</f>
        <v>Haridus</v>
      </c>
      <c r="F110" t="s">
        <v>1203</v>
      </c>
      <c r="G110" s="14" t="s">
        <v>1211</v>
      </c>
      <c r="H110" s="14">
        <v>1</v>
      </c>
      <c r="I110" s="14"/>
      <c r="J110" s="14">
        <v>702</v>
      </c>
      <c r="K110" s="14">
        <f t="shared" si="11"/>
        <v>702</v>
      </c>
      <c r="L110" s="14">
        <v>12</v>
      </c>
      <c r="M110" s="14"/>
      <c r="N110" s="44">
        <f>(K110*Table1[[#This Row],[Ühik2]])+M110</f>
        <v>8424</v>
      </c>
      <c r="O110" s="44">
        <f>Table1[[#This Row],[2020. EA ]]*0.338</f>
        <v>2847.3120000000004</v>
      </c>
      <c r="P110" s="14"/>
    </row>
    <row r="111" spans="1:16" x14ac:dyDescent="0.25">
      <c r="A111" s="14" t="str">
        <f t="shared" si="20"/>
        <v>09</v>
      </c>
      <c r="B111" t="s">
        <v>325</v>
      </c>
      <c r="C111" s="14" t="str">
        <f>VLOOKUP(B111,Table4[],2,FALSE)</f>
        <v xml:space="preserve"> Vinni Lasteaed</v>
      </c>
      <c r="D111" s="39" t="str">
        <f>VLOOKUP(Table1[[#This Row],[Tegevusala]],Table4[[Tegevusala kood]:[Tegevusala alanimetus]],4,FALSE)</f>
        <v>Alusharidus</v>
      </c>
      <c r="E111" s="14" t="str">
        <f>VLOOKUP(C111,Table4[[Tegevusala nimetus]:[Tegevusala koondnimetus]],2,FALSE)</f>
        <v>Haridus</v>
      </c>
      <c r="F111" t="s">
        <v>1203</v>
      </c>
      <c r="G111" s="14" t="s">
        <v>1212</v>
      </c>
      <c r="H111" s="14">
        <v>1</v>
      </c>
      <c r="I111" s="14"/>
      <c r="J111" s="14">
        <v>600</v>
      </c>
      <c r="K111" s="14">
        <f t="shared" si="11"/>
        <v>600</v>
      </c>
      <c r="L111" s="14">
        <v>12</v>
      </c>
      <c r="M111" s="14"/>
      <c r="N111" s="44">
        <f>(K111*Table1[[#This Row],[Ühik2]])+M111</f>
        <v>7200</v>
      </c>
      <c r="O111" s="44">
        <f>Table1[[#This Row],[2020. EA ]]*0.338</f>
        <v>2433.6000000000004</v>
      </c>
      <c r="P111" s="14"/>
    </row>
    <row r="112" spans="1:16" x14ac:dyDescent="0.25">
      <c r="A112" s="14" t="str">
        <f t="shared" si="20"/>
        <v>09</v>
      </c>
      <c r="B112" t="s">
        <v>325</v>
      </c>
      <c r="C112" s="14" t="str">
        <f>VLOOKUP(B112,Table4[],2,FALSE)</f>
        <v xml:space="preserve"> Vinni Lasteaed</v>
      </c>
      <c r="D112" s="39" t="str">
        <f>VLOOKUP(Table1[[#This Row],[Tegevusala]],Table4[[Tegevusala kood]:[Tegevusala alanimetus]],4,FALSE)</f>
        <v>Alusharidus</v>
      </c>
      <c r="E112" s="14" t="str">
        <f>VLOOKUP(C112,Table4[[Tegevusala nimetus]:[Tegevusala koondnimetus]],2,FALSE)</f>
        <v>Haridus</v>
      </c>
      <c r="F112" t="s">
        <v>1203</v>
      </c>
      <c r="G112" s="14" t="s">
        <v>1212</v>
      </c>
      <c r="H112" s="14">
        <v>1</v>
      </c>
      <c r="I112" s="14"/>
      <c r="J112" s="14">
        <v>664</v>
      </c>
      <c r="K112" s="14">
        <f t="shared" si="11"/>
        <v>664</v>
      </c>
      <c r="L112" s="14">
        <v>12</v>
      </c>
      <c r="M112" s="14"/>
      <c r="N112" s="44">
        <f>(K112*Table1[[#This Row],[Ühik2]])+M112</f>
        <v>7968</v>
      </c>
      <c r="O112" s="44">
        <f>Table1[[#This Row],[2020. EA ]]*0.338</f>
        <v>2693.1840000000002</v>
      </c>
      <c r="P112" s="14"/>
    </row>
    <row r="113" spans="1:16" x14ac:dyDescent="0.25">
      <c r="A113" s="91" t="str">
        <f t="shared" si="20"/>
        <v>09</v>
      </c>
      <c r="B113" s="92" t="s">
        <v>325</v>
      </c>
      <c r="C113" s="91" t="str">
        <f>VLOOKUP(B113,Table4[],2,FALSE)</f>
        <v xml:space="preserve"> Vinni Lasteaed</v>
      </c>
      <c r="D113" s="95" t="str">
        <f>VLOOKUP(Table1[[#This Row],[Tegevusala]],Table4[[Tegevusala kood]:[Tegevusala alanimetus]],4,FALSE)</f>
        <v>Alusharidus</v>
      </c>
      <c r="E113" s="91" t="str">
        <f>VLOOKUP(C113,Table4[[Tegevusala nimetus]:[Tegevusala koondnimetus]],2,FALSE)</f>
        <v>Haridus</v>
      </c>
      <c r="F113" s="92" t="s">
        <v>1203</v>
      </c>
      <c r="G113" s="91" t="s">
        <v>1045</v>
      </c>
      <c r="H113" s="91">
        <v>0.75</v>
      </c>
      <c r="I113" s="91"/>
      <c r="J113" s="91">
        <v>584</v>
      </c>
      <c r="K113" s="91">
        <f t="shared" si="11"/>
        <v>438</v>
      </c>
      <c r="L113" s="91">
        <v>12</v>
      </c>
      <c r="M113" s="91"/>
      <c r="N113" s="93">
        <f>(K113*Table1[[#This Row],[Ühik2]])+M113</f>
        <v>5256</v>
      </c>
      <c r="O113" s="93">
        <f>Table1[[#This Row],[2020. EA ]]*0.338</f>
        <v>1776.528</v>
      </c>
      <c r="P113" s="91"/>
    </row>
    <row r="114" spans="1:16" x14ac:dyDescent="0.25">
      <c r="A114" s="91" t="str">
        <f t="shared" si="20"/>
        <v>09</v>
      </c>
      <c r="B114" s="92" t="s">
        <v>325</v>
      </c>
      <c r="C114" s="91" t="str">
        <f>VLOOKUP(B114,Table4[],2,FALSE)</f>
        <v xml:space="preserve"> Vinni Lasteaed</v>
      </c>
      <c r="D114" s="95" t="str">
        <f>VLOOKUP(Table1[[#This Row],[Tegevusala]],Table4[[Tegevusala kood]:[Tegevusala alanimetus]],4,FALSE)</f>
        <v>Alusharidus</v>
      </c>
      <c r="E114" s="91" t="str">
        <f>VLOOKUP(C114,Table4[[Tegevusala nimetus]:[Tegevusala koondnimetus]],2,FALSE)</f>
        <v>Haridus</v>
      </c>
      <c r="F114" s="92" t="s">
        <v>1203</v>
      </c>
      <c r="G114" s="91" t="s">
        <v>524</v>
      </c>
      <c r="H114" s="91">
        <v>1</v>
      </c>
      <c r="I114" s="91"/>
      <c r="J114" s="91">
        <v>584</v>
      </c>
      <c r="K114" s="91">
        <f t="shared" si="11"/>
        <v>584</v>
      </c>
      <c r="L114" s="91">
        <v>12</v>
      </c>
      <c r="M114" s="91"/>
      <c r="N114" s="93">
        <f>(K114*Table1[[#This Row],[Ühik2]])+M114</f>
        <v>7008</v>
      </c>
      <c r="O114" s="93">
        <f>Table1[[#This Row],[2020. EA ]]*0.338</f>
        <v>2368.7040000000002</v>
      </c>
      <c r="P114" s="91"/>
    </row>
    <row r="115" spans="1:16" x14ac:dyDescent="0.25">
      <c r="A115" s="91" t="str">
        <f t="shared" si="20"/>
        <v>09</v>
      </c>
      <c r="B115" s="92" t="s">
        <v>325</v>
      </c>
      <c r="C115" s="91" t="str">
        <f>VLOOKUP(B115,Table4[],2,FALSE)</f>
        <v xml:space="preserve"> Vinni Lasteaed</v>
      </c>
      <c r="D115" s="95" t="str">
        <f>VLOOKUP(Table1[[#This Row],[Tegevusala]],Table4[[Tegevusala kood]:[Tegevusala alanimetus]],4,FALSE)</f>
        <v>Alusharidus</v>
      </c>
      <c r="E115" s="91" t="str">
        <f>VLOOKUP(C115,Table4[[Tegevusala nimetus]:[Tegevusala koondnimetus]],2,FALSE)</f>
        <v>Haridus</v>
      </c>
      <c r="F115" s="92" t="s">
        <v>1203</v>
      </c>
      <c r="G115" s="91" t="s">
        <v>1213</v>
      </c>
      <c r="H115" s="91">
        <v>2.21</v>
      </c>
      <c r="I115" s="91"/>
      <c r="J115" s="91">
        <v>584</v>
      </c>
      <c r="K115" s="91">
        <f t="shared" si="11"/>
        <v>1290.6399999999999</v>
      </c>
      <c r="L115" s="91">
        <v>12</v>
      </c>
      <c r="M115" s="91"/>
      <c r="N115" s="93">
        <f>(K115*Table1[[#This Row],[Ühik2]])+M115</f>
        <v>15487.679999999998</v>
      </c>
      <c r="O115" s="93">
        <f>Table1[[#This Row],[2020. EA ]]*0.338</f>
        <v>5234.8358399999997</v>
      </c>
      <c r="P115" s="91"/>
    </row>
    <row r="116" spans="1:16" x14ac:dyDescent="0.25">
      <c r="A116" s="14" t="str">
        <f t="shared" ref="A116:A126" si="21">LEFT(B116,2)</f>
        <v>09</v>
      </c>
      <c r="B116" t="s">
        <v>327</v>
      </c>
      <c r="C116" s="14" t="str">
        <f>VLOOKUP(B116,Table4[],2,FALSE)</f>
        <v xml:space="preserve"> Pajusti Lasteaed</v>
      </c>
      <c r="D116" s="39" t="str">
        <f>VLOOKUP(Table1[[#This Row],[Tegevusala]],Table4[[Tegevusala kood]:[Tegevusala alanimetus]],4,FALSE)</f>
        <v>Alusharidus</v>
      </c>
      <c r="E116" s="14" t="str">
        <f>VLOOKUP(C116,Table4[[Tegevusala nimetus]:[Tegevusala koondnimetus]],2,FALSE)</f>
        <v>Haridus</v>
      </c>
      <c r="F116" s="14" t="s">
        <v>1273</v>
      </c>
      <c r="G116" s="14" t="s">
        <v>1265</v>
      </c>
      <c r="H116" s="14">
        <v>2</v>
      </c>
      <c r="I116" s="14"/>
      <c r="J116" s="14">
        <v>1250</v>
      </c>
      <c r="K116" s="14">
        <f t="shared" si="11"/>
        <v>2500</v>
      </c>
      <c r="L116" s="14">
        <v>12</v>
      </c>
      <c r="M116" s="14"/>
      <c r="N116" s="44">
        <f>(K116*Table1[[#This Row],[Ühik2]])+M116</f>
        <v>30000</v>
      </c>
      <c r="O116" s="44">
        <f>Table1[[#This Row],[2020. EA ]]*0.338</f>
        <v>10140</v>
      </c>
      <c r="P116" s="14"/>
    </row>
    <row r="117" spans="1:16" x14ac:dyDescent="0.25">
      <c r="A117" s="14" t="str">
        <f t="shared" si="21"/>
        <v>09</v>
      </c>
      <c r="B117" t="s">
        <v>327</v>
      </c>
      <c r="C117" s="14" t="str">
        <f>VLOOKUP(B117,Table4[],2,FALSE)</f>
        <v xml:space="preserve"> Pajusti Lasteaed</v>
      </c>
      <c r="D117" s="39" t="str">
        <f>VLOOKUP(Table1[[#This Row],[Tegevusala]],Table4[[Tegevusala kood]:[Tegevusala alanimetus]],4,FALSE)</f>
        <v>Alusharidus</v>
      </c>
      <c r="E117" s="14" t="str">
        <f>VLOOKUP(C117,Table4[[Tegevusala nimetus]:[Tegevusala koondnimetus]],2,FALSE)</f>
        <v>Haridus</v>
      </c>
      <c r="F117" s="14" t="s">
        <v>1273</v>
      </c>
      <c r="G117" s="14" t="s">
        <v>1266</v>
      </c>
      <c r="H117" s="14">
        <v>4</v>
      </c>
      <c r="I117" s="14"/>
      <c r="J117" s="14">
        <v>1183.5</v>
      </c>
      <c r="K117" s="14">
        <f t="shared" si="11"/>
        <v>4734</v>
      </c>
      <c r="L117" s="14">
        <v>12</v>
      </c>
      <c r="M117" s="14"/>
      <c r="N117" s="44">
        <f>(K117*Table1[[#This Row],[Ühik2]])+M117</f>
        <v>56808</v>
      </c>
      <c r="O117" s="44">
        <f>Table1[[#This Row],[2020. EA ]]*0.338</f>
        <v>19201.104000000003</v>
      </c>
      <c r="P117" s="14"/>
    </row>
    <row r="118" spans="1:16" x14ac:dyDescent="0.25">
      <c r="A118" s="14" t="str">
        <f t="shared" si="21"/>
        <v>09</v>
      </c>
      <c r="B118" t="s">
        <v>327</v>
      </c>
      <c r="C118" s="14" t="str">
        <f>VLOOKUP(B118,Table4[],2,FALSE)</f>
        <v xml:space="preserve"> Pajusti Lasteaed</v>
      </c>
      <c r="D118" s="39" t="str">
        <f>VLOOKUP(Table1[[#This Row],[Tegevusala]],Table4[[Tegevusala kood]:[Tegevusala alanimetus]],4,FALSE)</f>
        <v>Alusharidus</v>
      </c>
      <c r="E118" s="14" t="str">
        <f>VLOOKUP(C118,Table4[[Tegevusala nimetus]:[Tegevusala koondnimetus]],2,FALSE)</f>
        <v>Haridus</v>
      </c>
      <c r="F118" s="14" t="s">
        <v>1273</v>
      </c>
      <c r="G118" s="14" t="s">
        <v>1267</v>
      </c>
      <c r="H118" s="14">
        <v>0.38</v>
      </c>
      <c r="I118" s="14"/>
      <c r="J118" s="14">
        <v>1315</v>
      </c>
      <c r="K118" s="41">
        <f t="shared" si="11"/>
        <v>499.7</v>
      </c>
      <c r="L118" s="14">
        <v>12</v>
      </c>
      <c r="M118" s="14"/>
      <c r="N118" s="44">
        <f>(K118*Table1[[#This Row],[Ühik2]])+M118</f>
        <v>5996.4</v>
      </c>
      <c r="O118" s="44">
        <f>Table1[[#This Row],[2020. EA ]]*0.338</f>
        <v>2026.7832000000001</v>
      </c>
      <c r="P118" s="14"/>
    </row>
    <row r="119" spans="1:16" x14ac:dyDescent="0.25">
      <c r="A119" s="14" t="str">
        <f t="shared" si="21"/>
        <v>09</v>
      </c>
      <c r="B119" t="s">
        <v>327</v>
      </c>
      <c r="C119" s="14" t="str">
        <f>VLOOKUP(B119,Table4[],2,FALSE)</f>
        <v xml:space="preserve"> Pajusti Lasteaed</v>
      </c>
      <c r="D119" s="39" t="str">
        <f>VLOOKUP(Table1[[#This Row],[Tegevusala]],Table4[[Tegevusala kood]:[Tegevusala alanimetus]],4,FALSE)</f>
        <v>Alusharidus</v>
      </c>
      <c r="E119" s="14" t="str">
        <f>VLOOKUP(C119,Table4[[Tegevusala nimetus]:[Tegevusala koondnimetus]],2,FALSE)</f>
        <v>Haridus</v>
      </c>
      <c r="F119" s="14" t="s">
        <v>1273</v>
      </c>
      <c r="G119" s="14" t="s">
        <v>1268</v>
      </c>
      <c r="H119" s="14">
        <v>0.25</v>
      </c>
      <c r="I119" s="14"/>
      <c r="J119" s="14">
        <v>1252</v>
      </c>
      <c r="K119" s="14">
        <f t="shared" si="11"/>
        <v>313</v>
      </c>
      <c r="L119" s="14">
        <v>12</v>
      </c>
      <c r="M119" s="14"/>
      <c r="N119" s="44">
        <f>(K119*Table1[[#This Row],[Ühik2]])+M119</f>
        <v>3756</v>
      </c>
      <c r="O119" s="44">
        <f>Table1[[#This Row],[2020. EA ]]*0.338</f>
        <v>1269.528</v>
      </c>
      <c r="P119" s="14"/>
    </row>
    <row r="120" spans="1:16" x14ac:dyDescent="0.25">
      <c r="A120" s="14" t="str">
        <f t="shared" si="21"/>
        <v>09</v>
      </c>
      <c r="B120" t="s">
        <v>327</v>
      </c>
      <c r="C120" s="14" t="str">
        <f>VLOOKUP(B120,Table4[],2,FALSE)</f>
        <v xml:space="preserve"> Pajusti Lasteaed</v>
      </c>
      <c r="D120" s="39" t="str">
        <f>VLOOKUP(Table1[[#This Row],[Tegevusala]],Table4[[Tegevusala kood]:[Tegevusala alanimetus]],4,FALSE)</f>
        <v>Alusharidus</v>
      </c>
      <c r="E120" s="14" t="str">
        <f>VLOOKUP(C120,Table4[[Tegevusala nimetus]:[Tegevusala koondnimetus]],2,FALSE)</f>
        <v>Haridus</v>
      </c>
      <c r="F120" s="14" t="s">
        <v>1273</v>
      </c>
      <c r="G120" s="14" t="s">
        <v>1269</v>
      </c>
      <c r="H120" s="14">
        <v>0.13</v>
      </c>
      <c r="I120" s="14"/>
      <c r="J120" s="14">
        <v>1183.5</v>
      </c>
      <c r="K120" s="41">
        <f t="shared" si="11"/>
        <v>153.85500000000002</v>
      </c>
      <c r="L120" s="14">
        <v>7</v>
      </c>
      <c r="M120" s="14"/>
      <c r="N120" s="44">
        <f>(K120*Table1[[#This Row],[Ühik2]])+M120</f>
        <v>1076.9850000000001</v>
      </c>
      <c r="O120" s="44">
        <f>Table1[[#This Row],[2020. EA ]]*0.338</f>
        <v>364.02093000000008</v>
      </c>
      <c r="P120" s="14"/>
    </row>
    <row r="121" spans="1:16" x14ac:dyDescent="0.25">
      <c r="A121" s="14" t="str">
        <f t="shared" si="21"/>
        <v>09</v>
      </c>
      <c r="B121" t="s">
        <v>327</v>
      </c>
      <c r="C121" s="14" t="str">
        <f>VLOOKUP(B121,Table4[],2,FALSE)</f>
        <v xml:space="preserve"> Pajusti Lasteaed</v>
      </c>
      <c r="D121" s="39" t="str">
        <f>VLOOKUP(Table1[[#This Row],[Tegevusala]],Table4[[Tegevusala kood]:[Tegevusala alanimetus]],4,FALSE)</f>
        <v>Alusharidus</v>
      </c>
      <c r="E121" s="14" t="str">
        <f>VLOOKUP(C121,Table4[[Tegevusala nimetus]:[Tegevusala koondnimetus]],2,FALSE)</f>
        <v>Haridus</v>
      </c>
      <c r="F121" s="14" t="s">
        <v>1273</v>
      </c>
      <c r="G121" s="14" t="s">
        <v>1270</v>
      </c>
      <c r="H121" s="14">
        <v>3</v>
      </c>
      <c r="I121" s="14"/>
      <c r="J121" s="14">
        <v>702</v>
      </c>
      <c r="K121" s="14">
        <f t="shared" si="11"/>
        <v>2106</v>
      </c>
      <c r="L121" s="14">
        <v>12</v>
      </c>
      <c r="M121" s="14"/>
      <c r="N121" s="44">
        <f>(K121*Table1[[#This Row],[Ühik2]])+M121</f>
        <v>25272</v>
      </c>
      <c r="O121" s="44">
        <f>Table1[[#This Row],[2020. EA ]]*0.338</f>
        <v>8541.9359999999997</v>
      </c>
      <c r="P121" s="14"/>
    </row>
    <row r="122" spans="1:16" x14ac:dyDescent="0.25">
      <c r="A122" s="14" t="str">
        <f t="shared" si="21"/>
        <v>09</v>
      </c>
      <c r="B122" t="s">
        <v>327</v>
      </c>
      <c r="C122" s="14" t="str">
        <f>VLOOKUP(B122,Table4[],2,FALSE)</f>
        <v xml:space="preserve"> Pajusti Lasteaed</v>
      </c>
      <c r="D122" s="39" t="str">
        <f>VLOOKUP(Table1[[#This Row],[Tegevusala]],Table4[[Tegevusala kood]:[Tegevusala alanimetus]],4,FALSE)</f>
        <v>Alusharidus</v>
      </c>
      <c r="E122" s="14" t="str">
        <f>VLOOKUP(C122,Table4[[Tegevusala nimetus]:[Tegevusala koondnimetus]],2,FALSE)</f>
        <v>Haridus</v>
      </c>
      <c r="F122" s="14" t="s">
        <v>1273</v>
      </c>
      <c r="G122" s="14" t="s">
        <v>484</v>
      </c>
      <c r="H122" s="14">
        <v>1</v>
      </c>
      <c r="I122" s="14"/>
      <c r="J122" s="14">
        <v>696</v>
      </c>
      <c r="K122" s="14">
        <f t="shared" si="11"/>
        <v>696</v>
      </c>
      <c r="L122" s="14">
        <v>12</v>
      </c>
      <c r="M122" s="14"/>
      <c r="N122" s="44">
        <f>(K122*Table1[[#This Row],[Ühik2]])+M122</f>
        <v>8352</v>
      </c>
      <c r="O122" s="44">
        <f>Table1[[#This Row],[2020. EA ]]*0.338</f>
        <v>2822.9760000000001</v>
      </c>
      <c r="P122" s="14"/>
    </row>
    <row r="123" spans="1:16" x14ac:dyDescent="0.25">
      <c r="A123" s="14" t="str">
        <f t="shared" si="21"/>
        <v>09</v>
      </c>
      <c r="B123" t="s">
        <v>327</v>
      </c>
      <c r="C123" s="14" t="str">
        <f>VLOOKUP(B123,Table4[],2,FALSE)</f>
        <v xml:space="preserve"> Pajusti Lasteaed</v>
      </c>
      <c r="D123" s="39" t="str">
        <f>VLOOKUP(Table1[[#This Row],[Tegevusala]],Table4[[Tegevusala kood]:[Tegevusala alanimetus]],4,FALSE)</f>
        <v>Alusharidus</v>
      </c>
      <c r="E123" s="14" t="str">
        <f>VLOOKUP(C123,Table4[[Tegevusala nimetus]:[Tegevusala koondnimetus]],2,FALSE)</f>
        <v>Haridus</v>
      </c>
      <c r="F123" s="14" t="s">
        <v>1273</v>
      </c>
      <c r="G123" s="14" t="s">
        <v>1271</v>
      </c>
      <c r="H123" s="14">
        <v>0.3</v>
      </c>
      <c r="I123" s="14"/>
      <c r="J123" s="14">
        <v>1315</v>
      </c>
      <c r="K123" s="14">
        <f t="shared" si="11"/>
        <v>394.5</v>
      </c>
      <c r="L123" s="14">
        <v>8</v>
      </c>
      <c r="M123" s="14"/>
      <c r="N123" s="44">
        <f>(K123*Table1[[#This Row],[Ühik2]])+M123</f>
        <v>3156</v>
      </c>
      <c r="O123" s="44">
        <f>Table1[[#This Row],[2020. EA ]]*0.338</f>
        <v>1066.7280000000001</v>
      </c>
      <c r="P123" s="14"/>
    </row>
    <row r="124" spans="1:16" x14ac:dyDescent="0.25">
      <c r="A124" s="91" t="str">
        <f t="shared" si="21"/>
        <v>09</v>
      </c>
      <c r="B124" s="92" t="s">
        <v>327</v>
      </c>
      <c r="C124" s="91" t="str">
        <f>VLOOKUP(B124,Table4[],2,FALSE)</f>
        <v xml:space="preserve"> Pajusti Lasteaed</v>
      </c>
      <c r="D124" s="95" t="str">
        <f>VLOOKUP(Table1[[#This Row],[Tegevusala]],Table4[[Tegevusala kood]:[Tegevusala alanimetus]],4,FALSE)</f>
        <v>Alusharidus</v>
      </c>
      <c r="E124" s="91" t="str">
        <f>VLOOKUP(C124,Table4[[Tegevusala nimetus]:[Tegevusala koondnimetus]],2,FALSE)</f>
        <v>Haridus</v>
      </c>
      <c r="F124" s="91" t="s">
        <v>1273</v>
      </c>
      <c r="G124" s="91" t="s">
        <v>487</v>
      </c>
      <c r="H124" s="91">
        <v>0.5</v>
      </c>
      <c r="I124" s="91"/>
      <c r="J124" s="91">
        <v>584</v>
      </c>
      <c r="K124" s="91">
        <f t="shared" si="11"/>
        <v>292</v>
      </c>
      <c r="L124" s="91">
        <v>12</v>
      </c>
      <c r="M124" s="91"/>
      <c r="N124" s="93">
        <f>(K124*Table1[[#This Row],[Ühik2]])+M124</f>
        <v>3504</v>
      </c>
      <c r="O124" s="93">
        <f>Table1[[#This Row],[2020. EA ]]*0.338</f>
        <v>1184.3520000000001</v>
      </c>
      <c r="P124" s="91"/>
    </row>
    <row r="125" spans="1:16" x14ac:dyDescent="0.25">
      <c r="A125" s="91" t="str">
        <f t="shared" si="21"/>
        <v>09</v>
      </c>
      <c r="B125" s="92" t="s">
        <v>327</v>
      </c>
      <c r="C125" s="91" t="str">
        <f>VLOOKUP(B125,Table4[],2,FALSE)</f>
        <v xml:space="preserve"> Pajusti Lasteaed</v>
      </c>
      <c r="D125" s="95" t="str">
        <f>VLOOKUP(Table1[[#This Row],[Tegevusala]],Table4[[Tegevusala kood]:[Tegevusala alanimetus]],4,FALSE)</f>
        <v>Alusharidus</v>
      </c>
      <c r="E125" s="91" t="str">
        <f>VLOOKUP(C125,Table4[[Tegevusala nimetus]:[Tegevusala koondnimetus]],2,FALSE)</f>
        <v>Haridus</v>
      </c>
      <c r="F125" s="91" t="s">
        <v>1273</v>
      </c>
      <c r="G125" s="91" t="s">
        <v>479</v>
      </c>
      <c r="H125" s="91">
        <v>1</v>
      </c>
      <c r="I125" s="91"/>
      <c r="J125" s="91">
        <v>584</v>
      </c>
      <c r="K125" s="91">
        <f t="shared" si="11"/>
        <v>584</v>
      </c>
      <c r="L125" s="91">
        <v>12</v>
      </c>
      <c r="M125" s="91"/>
      <c r="N125" s="93">
        <f>(K125*Table1[[#This Row],[Ühik2]])+M125</f>
        <v>7008</v>
      </c>
      <c r="O125" s="93">
        <f>Table1[[#This Row],[2020. EA ]]*0.338</f>
        <v>2368.7040000000002</v>
      </c>
      <c r="P125" s="91"/>
    </row>
    <row r="126" spans="1:16" x14ac:dyDescent="0.25">
      <c r="A126" s="14" t="str">
        <f t="shared" si="21"/>
        <v>09</v>
      </c>
      <c r="B126" t="s">
        <v>327</v>
      </c>
      <c r="C126" s="14" t="str">
        <f>VLOOKUP(B126,Table4[],2,FALSE)</f>
        <v xml:space="preserve"> Pajusti Lasteaed</v>
      </c>
      <c r="D126" s="39" t="str">
        <f>VLOOKUP(Table1[[#This Row],[Tegevusala]],Table4[[Tegevusala kood]:[Tegevusala alanimetus]],4,FALSE)</f>
        <v>Alusharidus</v>
      </c>
      <c r="E126" s="14" t="str">
        <f>VLOOKUP(C126,Table4[[Tegevusala nimetus]:[Tegevusala koondnimetus]],2,FALSE)</f>
        <v>Haridus</v>
      </c>
      <c r="F126" s="14" t="s">
        <v>1273</v>
      </c>
      <c r="G126" s="14" t="s">
        <v>527</v>
      </c>
      <c r="H126" s="14">
        <v>1</v>
      </c>
      <c r="I126" s="14"/>
      <c r="J126" s="14">
        <v>1383</v>
      </c>
      <c r="K126" s="14">
        <f t="shared" si="11"/>
        <v>1383</v>
      </c>
      <c r="L126" s="14">
        <v>12</v>
      </c>
      <c r="M126" s="14"/>
      <c r="N126" s="44">
        <f>(K126*Table1[[#This Row],[Ühik2]])+M126</f>
        <v>16596</v>
      </c>
      <c r="O126" s="44">
        <f>Table1[[#This Row],[2020. EA ]]*0.338</f>
        <v>5609.4480000000003</v>
      </c>
      <c r="P126" s="14"/>
    </row>
    <row r="127" spans="1:16" x14ac:dyDescent="0.25">
      <c r="A127" s="14" t="str">
        <f>LEFT(B127,2)</f>
        <v>09</v>
      </c>
      <c r="B127" t="s">
        <v>327</v>
      </c>
      <c r="C127" s="14" t="str">
        <f>VLOOKUP(B127,Table4[],2,FALSE)</f>
        <v xml:space="preserve"> Pajusti Lasteaed</v>
      </c>
      <c r="D127" s="39" t="str">
        <f>VLOOKUP(Table1[[#This Row],[Tegevusala]],Table4[[Tegevusala kood]:[Tegevusala alanimetus]],4,FALSE)</f>
        <v>Alusharidus</v>
      </c>
      <c r="E127" s="14" t="str">
        <f>VLOOKUP(C127,Table4[[Tegevusala nimetus]:[Tegevusala koondnimetus]],2,FALSE)</f>
        <v>Haridus</v>
      </c>
      <c r="F127" s="14" t="s">
        <v>1273</v>
      </c>
      <c r="G127" s="14" t="s">
        <v>1274</v>
      </c>
      <c r="H127" s="14">
        <v>1</v>
      </c>
      <c r="I127" s="14"/>
      <c r="J127" s="14"/>
      <c r="K127" s="14">
        <f t="shared" ref="K127:K190" si="22">H127*J127</f>
        <v>0</v>
      </c>
      <c r="L127" s="14"/>
      <c r="M127" s="14">
        <v>1700</v>
      </c>
      <c r="N127" s="44">
        <f>(K127*Table1[[#This Row],[Ühik2]])+M127</f>
        <v>1700</v>
      </c>
      <c r="O127" s="44">
        <f>Table1[[#This Row],[2020. EA ]]*0.338</f>
        <v>574.6</v>
      </c>
      <c r="P127" s="14"/>
    </row>
    <row r="128" spans="1:16" x14ac:dyDescent="0.25">
      <c r="A128" s="14" t="str">
        <f t="shared" ref="A128:A141" si="23">LEFT(B128,2)</f>
        <v>09</v>
      </c>
      <c r="B128" t="s">
        <v>329</v>
      </c>
      <c r="C128" s="14" t="str">
        <f>VLOOKUP(B128,Table4[],2,FALSE)</f>
        <v xml:space="preserve"> Kulina Lasteaed</v>
      </c>
      <c r="D128" s="39" t="str">
        <f>VLOOKUP(Table1[[#This Row],[Tegevusala]],Table4[[Tegevusala kood]:[Tegevusala alanimetus]],4,FALSE)</f>
        <v>Alusharidus</v>
      </c>
      <c r="E128" s="14" t="str">
        <f>VLOOKUP(C128,Table4[[Tegevusala nimetus]:[Tegevusala koondnimetus]],2,FALSE)</f>
        <v>Haridus</v>
      </c>
      <c r="F128" s="14" t="s">
        <v>1314</v>
      </c>
      <c r="G128" s="14" t="s">
        <v>527</v>
      </c>
      <c r="H128" s="14">
        <v>1</v>
      </c>
      <c r="I128" s="14"/>
      <c r="J128" s="14">
        <v>1315</v>
      </c>
      <c r="K128" s="14">
        <f t="shared" si="22"/>
        <v>1315</v>
      </c>
      <c r="L128" s="14">
        <v>12</v>
      </c>
      <c r="M128" s="14">
        <v>3120</v>
      </c>
      <c r="N128" s="44">
        <f>(K128*Table1[[#This Row],[Ühik2]])+M128</f>
        <v>18900</v>
      </c>
      <c r="O128" s="44">
        <f>Table1[[#This Row],[2020. EA ]]*0.338</f>
        <v>6388.2000000000007</v>
      </c>
      <c r="P128" s="14" t="s">
        <v>1312</v>
      </c>
    </row>
    <row r="129" spans="1:16" x14ac:dyDescent="0.25">
      <c r="A129" s="14" t="str">
        <f t="shared" si="23"/>
        <v>09</v>
      </c>
      <c r="B129" t="s">
        <v>329</v>
      </c>
      <c r="C129" s="14" t="str">
        <f>VLOOKUP(B129,Table4[],2,FALSE)</f>
        <v xml:space="preserve"> Kulina Lasteaed</v>
      </c>
      <c r="D129" s="39" t="str">
        <f>VLOOKUP(Table1[[#This Row],[Tegevusala]],Table4[[Tegevusala kood]:[Tegevusala alanimetus]],4,FALSE)</f>
        <v>Alusharidus</v>
      </c>
      <c r="E129" s="14" t="str">
        <f>VLOOKUP(C129,Table4[[Tegevusala nimetus]:[Tegevusala koondnimetus]],2,FALSE)</f>
        <v>Haridus</v>
      </c>
      <c r="F129" s="14" t="s">
        <v>1314</v>
      </c>
      <c r="G129" s="14" t="s">
        <v>1308</v>
      </c>
      <c r="H129" s="14">
        <v>1</v>
      </c>
      <c r="I129" s="14"/>
      <c r="J129" s="14">
        <v>1183.5</v>
      </c>
      <c r="K129" s="14">
        <f t="shared" si="22"/>
        <v>1183.5</v>
      </c>
      <c r="L129" s="14">
        <v>12</v>
      </c>
      <c r="M129" s="14"/>
      <c r="N129" s="44">
        <f>(K129*Table1[[#This Row],[Ühik2]])+M129</f>
        <v>14202</v>
      </c>
      <c r="O129" s="44">
        <f>Table1[[#This Row],[2020. EA ]]*0.338</f>
        <v>4800.2760000000007</v>
      </c>
      <c r="P129" s="14"/>
    </row>
    <row r="130" spans="1:16" x14ac:dyDescent="0.25">
      <c r="A130" s="14" t="str">
        <f t="shared" si="23"/>
        <v>09</v>
      </c>
      <c r="B130" t="s">
        <v>329</v>
      </c>
      <c r="C130" s="14" t="str">
        <f>VLOOKUP(B130,Table4[],2,FALSE)</f>
        <v xml:space="preserve"> Kulina Lasteaed</v>
      </c>
      <c r="D130" s="39" t="str">
        <f>VLOOKUP(Table1[[#This Row],[Tegevusala]],Table4[[Tegevusala kood]:[Tegevusala alanimetus]],4,FALSE)</f>
        <v>Alusharidus</v>
      </c>
      <c r="E130" s="14" t="str">
        <f>VLOOKUP(C130,Table4[[Tegevusala nimetus]:[Tegevusala koondnimetus]],2,FALSE)</f>
        <v>Haridus</v>
      </c>
      <c r="F130" s="14" t="s">
        <v>1314</v>
      </c>
      <c r="G130" s="14" t="s">
        <v>1308</v>
      </c>
      <c r="H130" s="14">
        <v>1</v>
      </c>
      <c r="I130" s="14"/>
      <c r="J130" s="14">
        <v>1183.5</v>
      </c>
      <c r="K130" s="14">
        <f t="shared" si="22"/>
        <v>1183.5</v>
      </c>
      <c r="L130" s="14">
        <v>12</v>
      </c>
      <c r="M130" s="14"/>
      <c r="N130" s="44">
        <f>(K130*Table1[[#This Row],[Ühik2]])+M130</f>
        <v>14202</v>
      </c>
      <c r="O130" s="44">
        <f>Table1[[#This Row],[2020. EA ]]*0.338</f>
        <v>4800.2760000000007</v>
      </c>
      <c r="P130" s="14"/>
    </row>
    <row r="131" spans="1:16" x14ac:dyDescent="0.25">
      <c r="A131" s="14" t="str">
        <f t="shared" si="23"/>
        <v>09</v>
      </c>
      <c r="B131" t="s">
        <v>329</v>
      </c>
      <c r="C131" s="14" t="str">
        <f>VLOOKUP(B131,Table4[],2,FALSE)</f>
        <v xml:space="preserve"> Kulina Lasteaed</v>
      </c>
      <c r="D131" s="39" t="str">
        <f>VLOOKUP(Table1[[#This Row],[Tegevusala]],Table4[[Tegevusala kood]:[Tegevusala alanimetus]],4,FALSE)</f>
        <v>Alusharidus</v>
      </c>
      <c r="E131" s="14" t="str">
        <f>VLOOKUP(C131,Table4[[Tegevusala nimetus]:[Tegevusala koondnimetus]],2,FALSE)</f>
        <v>Haridus</v>
      </c>
      <c r="F131" s="14" t="s">
        <v>1314</v>
      </c>
      <c r="G131" s="14" t="s">
        <v>1308</v>
      </c>
      <c r="H131" s="14">
        <v>0.75</v>
      </c>
      <c r="I131" s="14"/>
      <c r="J131" s="14">
        <v>1183.5</v>
      </c>
      <c r="K131" s="41">
        <f t="shared" si="22"/>
        <v>887.625</v>
      </c>
      <c r="L131" s="14">
        <v>12</v>
      </c>
      <c r="M131" s="14"/>
      <c r="N131" s="44">
        <f>(K131*Table1[[#This Row],[Ühik2]])+M131</f>
        <v>10651.5</v>
      </c>
      <c r="O131" s="44">
        <f>Table1[[#This Row],[2020. EA ]]*0.338</f>
        <v>3600.2070000000003</v>
      </c>
      <c r="P131" s="14"/>
    </row>
    <row r="132" spans="1:16" x14ac:dyDescent="0.25">
      <c r="A132" s="14" t="str">
        <f t="shared" si="23"/>
        <v>09</v>
      </c>
      <c r="B132" t="s">
        <v>329</v>
      </c>
      <c r="C132" s="14" t="str">
        <f>VLOOKUP(B132,Table4[],2,FALSE)</f>
        <v xml:space="preserve"> Kulina Lasteaed</v>
      </c>
      <c r="D132" s="39" t="str">
        <f>VLOOKUP(Table1[[#This Row],[Tegevusala]],Table4[[Tegevusala kood]:[Tegevusala alanimetus]],4,FALSE)</f>
        <v>Alusharidus</v>
      </c>
      <c r="E132" s="14" t="str">
        <f>VLOOKUP(C132,Table4[[Tegevusala nimetus]:[Tegevusala koondnimetus]],2,FALSE)</f>
        <v>Haridus</v>
      </c>
      <c r="F132" s="14" t="s">
        <v>1314</v>
      </c>
      <c r="G132" s="14" t="s">
        <v>1308</v>
      </c>
      <c r="H132" s="14">
        <v>0.75</v>
      </c>
      <c r="I132" s="14"/>
      <c r="J132" s="14">
        <v>1183.5</v>
      </c>
      <c r="K132" s="41">
        <f t="shared" si="22"/>
        <v>887.625</v>
      </c>
      <c r="L132" s="14">
        <v>12</v>
      </c>
      <c r="M132" s="14"/>
      <c r="N132" s="44">
        <f>(K132*Table1[[#This Row],[Ühik2]])+M132</f>
        <v>10651.5</v>
      </c>
      <c r="O132" s="44">
        <f>Table1[[#This Row],[2020. EA ]]*0.338</f>
        <v>3600.2070000000003</v>
      </c>
      <c r="P132" s="14"/>
    </row>
    <row r="133" spans="1:16" x14ac:dyDescent="0.25">
      <c r="A133" s="14" t="str">
        <f t="shared" si="23"/>
        <v>09</v>
      </c>
      <c r="B133" t="s">
        <v>329</v>
      </c>
      <c r="C133" s="14" t="str">
        <f>VLOOKUP(B133,Table4[],2,FALSE)</f>
        <v xml:space="preserve"> Kulina Lasteaed</v>
      </c>
      <c r="D133" s="39" t="str">
        <f>VLOOKUP(Table1[[#This Row],[Tegevusala]],Table4[[Tegevusala kood]:[Tegevusala alanimetus]],4,FALSE)</f>
        <v>Alusharidus</v>
      </c>
      <c r="E133" s="14" t="str">
        <f>VLOOKUP(C133,Table4[[Tegevusala nimetus]:[Tegevusala koondnimetus]],2,FALSE)</f>
        <v>Haridus</v>
      </c>
      <c r="F133" s="14" t="s">
        <v>1314</v>
      </c>
      <c r="G133" s="14" t="s">
        <v>1268</v>
      </c>
      <c r="H133" s="14">
        <v>0.25</v>
      </c>
      <c r="I133" s="14"/>
      <c r="J133" s="14">
        <v>1183.5</v>
      </c>
      <c r="K133" s="41">
        <f t="shared" si="22"/>
        <v>295.875</v>
      </c>
      <c r="L133" s="14">
        <v>12</v>
      </c>
      <c r="M133" s="14"/>
      <c r="N133" s="44">
        <f>(K133*Table1[[#This Row],[Ühik2]])+M133</f>
        <v>3550.5</v>
      </c>
      <c r="O133" s="44">
        <f>Table1[[#This Row],[2020. EA ]]*0.338</f>
        <v>1200.0690000000002</v>
      </c>
      <c r="P133" s="14"/>
    </row>
    <row r="134" spans="1:16" x14ac:dyDescent="0.25">
      <c r="A134" s="14" t="str">
        <f t="shared" si="23"/>
        <v>09</v>
      </c>
      <c r="B134" t="s">
        <v>329</v>
      </c>
      <c r="C134" s="14" t="str">
        <f>VLOOKUP(B134,Table4[],2,FALSE)</f>
        <v xml:space="preserve"> Kulina Lasteaed</v>
      </c>
      <c r="D134" s="39" t="str">
        <f>VLOOKUP(Table1[[#This Row],[Tegevusala]],Table4[[Tegevusala kood]:[Tegevusala alanimetus]],4,FALSE)</f>
        <v>Alusharidus</v>
      </c>
      <c r="E134" s="14" t="str">
        <f>VLOOKUP(C134,Table4[[Tegevusala nimetus]:[Tegevusala koondnimetus]],2,FALSE)</f>
        <v>Haridus</v>
      </c>
      <c r="F134" s="14" t="s">
        <v>1314</v>
      </c>
      <c r="G134" s="14" t="s">
        <v>1267</v>
      </c>
      <c r="H134" s="14">
        <v>0.25</v>
      </c>
      <c r="I134" s="14"/>
      <c r="J134" s="14">
        <v>1183.5</v>
      </c>
      <c r="K134" s="41">
        <f t="shared" si="22"/>
        <v>295.875</v>
      </c>
      <c r="L134" s="14">
        <v>12</v>
      </c>
      <c r="M134" s="14"/>
      <c r="N134" s="44">
        <f>(K134*Table1[[#This Row],[Ühik2]])+M134</f>
        <v>3550.5</v>
      </c>
      <c r="O134" s="44">
        <f>Table1[[#This Row],[2020. EA ]]*0.338</f>
        <v>1200.0690000000002</v>
      </c>
      <c r="P134" s="14"/>
    </row>
    <row r="135" spans="1:16" x14ac:dyDescent="0.25">
      <c r="A135" s="14" t="str">
        <f t="shared" si="23"/>
        <v>09</v>
      </c>
      <c r="B135" t="s">
        <v>329</v>
      </c>
      <c r="C135" s="14" t="str">
        <f>VLOOKUP(B135,Table4[],2,FALSE)</f>
        <v xml:space="preserve"> Kulina Lasteaed</v>
      </c>
      <c r="D135" s="39" t="str">
        <f>VLOOKUP(Table1[[#This Row],[Tegevusala]],Table4[[Tegevusala kood]:[Tegevusala alanimetus]],4,FALSE)</f>
        <v>Alusharidus</v>
      </c>
      <c r="E135" s="14" t="str">
        <f>VLOOKUP(C135,Table4[[Tegevusala nimetus]:[Tegevusala koondnimetus]],2,FALSE)</f>
        <v>Haridus</v>
      </c>
      <c r="F135" s="14" t="s">
        <v>1314</v>
      </c>
      <c r="G135" s="14" t="s">
        <v>1270</v>
      </c>
      <c r="H135" s="14">
        <v>1</v>
      </c>
      <c r="I135" s="14"/>
      <c r="J135" s="14">
        <v>652</v>
      </c>
      <c r="K135" s="14">
        <f t="shared" si="22"/>
        <v>652</v>
      </c>
      <c r="L135" s="14">
        <v>12</v>
      </c>
      <c r="M135" s="14"/>
      <c r="N135" s="44">
        <f>(K135*Table1[[#This Row],[Ühik2]])+M135</f>
        <v>7824</v>
      </c>
      <c r="O135" s="44">
        <f>Table1[[#This Row],[2020. EA ]]*0.338</f>
        <v>2644.5120000000002</v>
      </c>
      <c r="P135" s="14"/>
    </row>
    <row r="136" spans="1:16" x14ac:dyDescent="0.25">
      <c r="A136" s="14" t="str">
        <f t="shared" si="23"/>
        <v>09</v>
      </c>
      <c r="B136" t="s">
        <v>329</v>
      </c>
      <c r="C136" s="14" t="str">
        <f>VLOOKUP(B136,Table4[],2,FALSE)</f>
        <v xml:space="preserve"> Kulina Lasteaed</v>
      </c>
      <c r="D136" s="39" t="str">
        <f>VLOOKUP(Table1[[#This Row],[Tegevusala]],Table4[[Tegevusala kood]:[Tegevusala alanimetus]],4,FALSE)</f>
        <v>Alusharidus</v>
      </c>
      <c r="E136" s="14" t="str">
        <f>VLOOKUP(C136,Table4[[Tegevusala nimetus]:[Tegevusala koondnimetus]],2,FALSE)</f>
        <v>Haridus</v>
      </c>
      <c r="F136" s="14" t="s">
        <v>1314</v>
      </c>
      <c r="G136" s="14" t="s">
        <v>1270</v>
      </c>
      <c r="H136" s="14">
        <v>0.8</v>
      </c>
      <c r="I136" s="14"/>
      <c r="J136" s="14">
        <v>652.5</v>
      </c>
      <c r="K136" s="14">
        <f t="shared" si="22"/>
        <v>522</v>
      </c>
      <c r="L136" s="14">
        <v>12</v>
      </c>
      <c r="M136" s="14"/>
      <c r="N136" s="44">
        <f>(K136*Table1[[#This Row],[Ühik2]])+M136</f>
        <v>6264</v>
      </c>
      <c r="O136" s="44">
        <f>Table1[[#This Row],[2020. EA ]]*0.338</f>
        <v>2117.232</v>
      </c>
      <c r="P136" s="14"/>
    </row>
    <row r="137" spans="1:16" x14ac:dyDescent="0.25">
      <c r="A137" s="14" t="str">
        <f t="shared" si="23"/>
        <v>09</v>
      </c>
      <c r="B137" t="s">
        <v>329</v>
      </c>
      <c r="C137" s="14" t="str">
        <f>VLOOKUP(B137,Table4[],2,FALSE)</f>
        <v xml:space="preserve"> Kulina Lasteaed</v>
      </c>
      <c r="D137" s="39" t="str">
        <f>VLOOKUP(Table1[[#This Row],[Tegevusala]],Table4[[Tegevusala kood]:[Tegevusala alanimetus]],4,FALSE)</f>
        <v>Alusharidus</v>
      </c>
      <c r="E137" s="14" t="str">
        <f>VLOOKUP(C137,Table4[[Tegevusala nimetus]:[Tegevusala koondnimetus]],2,FALSE)</f>
        <v>Haridus</v>
      </c>
      <c r="F137" s="14" t="s">
        <v>1314</v>
      </c>
      <c r="G137" s="14" t="s">
        <v>1270</v>
      </c>
      <c r="H137" s="14">
        <v>0.2</v>
      </c>
      <c r="I137" s="14"/>
      <c r="J137" s="14">
        <v>650</v>
      </c>
      <c r="K137" s="14">
        <f t="shared" si="22"/>
        <v>130</v>
      </c>
      <c r="L137" s="14">
        <v>12</v>
      </c>
      <c r="M137" s="14"/>
      <c r="N137" s="44">
        <f>(K137*Table1[[#This Row],[Ühik2]])+M137</f>
        <v>1560</v>
      </c>
      <c r="O137" s="44">
        <f>Table1[[#This Row],[2020. EA ]]*0.338</f>
        <v>527.28000000000009</v>
      </c>
      <c r="P137" s="14"/>
    </row>
    <row r="138" spans="1:16" x14ac:dyDescent="0.25">
      <c r="A138" s="91" t="str">
        <f t="shared" si="23"/>
        <v>09</v>
      </c>
      <c r="B138" s="92" t="s">
        <v>329</v>
      </c>
      <c r="C138" s="91" t="str">
        <f>VLOOKUP(B138,Table4[],2,FALSE)</f>
        <v xml:space="preserve"> Kulina Lasteaed</v>
      </c>
      <c r="D138" s="95" t="str">
        <f>VLOOKUP(Table1[[#This Row],[Tegevusala]],Table4[[Tegevusala kood]:[Tegevusala alanimetus]],4,FALSE)</f>
        <v>Alusharidus</v>
      </c>
      <c r="E138" s="91" t="str">
        <f>VLOOKUP(C138,Table4[[Tegevusala nimetus]:[Tegevusala koondnimetus]],2,FALSE)</f>
        <v>Haridus</v>
      </c>
      <c r="F138" s="91" t="s">
        <v>1314</v>
      </c>
      <c r="G138" s="91" t="s">
        <v>1309</v>
      </c>
      <c r="H138" s="91">
        <v>0.5</v>
      </c>
      <c r="I138" s="91"/>
      <c r="J138" s="91">
        <v>584</v>
      </c>
      <c r="K138" s="91">
        <f t="shared" si="22"/>
        <v>292</v>
      </c>
      <c r="L138" s="91">
        <v>12</v>
      </c>
      <c r="M138" s="91"/>
      <c r="N138" s="93">
        <f>(K138*Table1[[#This Row],[Ühik2]])+M138</f>
        <v>3504</v>
      </c>
      <c r="O138" s="93">
        <f>Table1[[#This Row],[2020. EA ]]*0.338</f>
        <v>1184.3520000000001</v>
      </c>
      <c r="P138" s="91"/>
    </row>
    <row r="139" spans="1:16" x14ac:dyDescent="0.25">
      <c r="A139" s="14" t="str">
        <f t="shared" si="23"/>
        <v>09</v>
      </c>
      <c r="B139" t="s">
        <v>329</v>
      </c>
      <c r="C139" s="14" t="str">
        <f>VLOOKUP(B139,Table4[],2,FALSE)</f>
        <v xml:space="preserve"> Kulina Lasteaed</v>
      </c>
      <c r="D139" s="39" t="str">
        <f>VLOOKUP(Table1[[#This Row],[Tegevusala]],Table4[[Tegevusala kood]:[Tegevusala alanimetus]],4,FALSE)</f>
        <v>Alusharidus</v>
      </c>
      <c r="E139" s="14" t="str">
        <f>VLOOKUP(C139,Table4[[Tegevusala nimetus]:[Tegevusala koondnimetus]],2,FALSE)</f>
        <v>Haridus</v>
      </c>
      <c r="F139" s="14" t="s">
        <v>1314</v>
      </c>
      <c r="G139" s="14" t="s">
        <v>484</v>
      </c>
      <c r="H139" s="14">
        <v>1</v>
      </c>
      <c r="I139" s="14"/>
      <c r="J139" s="14">
        <v>652</v>
      </c>
      <c r="K139" s="14">
        <f t="shared" si="22"/>
        <v>652</v>
      </c>
      <c r="L139" s="14">
        <v>12</v>
      </c>
      <c r="M139" s="14"/>
      <c r="N139" s="44">
        <f>(K139*Table1[[#This Row],[Ühik2]])+M139</f>
        <v>7824</v>
      </c>
      <c r="O139" s="44">
        <f>Table1[[#This Row],[2020. EA ]]*0.338</f>
        <v>2644.5120000000002</v>
      </c>
      <c r="P139" s="14"/>
    </row>
    <row r="140" spans="1:16" x14ac:dyDescent="0.25">
      <c r="A140" s="91" t="str">
        <f t="shared" si="23"/>
        <v>09</v>
      </c>
      <c r="B140" s="92" t="s">
        <v>329</v>
      </c>
      <c r="C140" s="91" t="str">
        <f>VLOOKUP(B140,Table4[],2,FALSE)</f>
        <v xml:space="preserve"> Kulina Lasteaed</v>
      </c>
      <c r="D140" s="95" t="str">
        <f>VLOOKUP(Table1[[#This Row],[Tegevusala]],Table4[[Tegevusala kood]:[Tegevusala alanimetus]],4,FALSE)</f>
        <v>Alusharidus</v>
      </c>
      <c r="E140" s="91" t="str">
        <f>VLOOKUP(C140,Table4[[Tegevusala nimetus]:[Tegevusala koondnimetus]],2,FALSE)</f>
        <v>Haridus</v>
      </c>
      <c r="F140" s="91" t="s">
        <v>1314</v>
      </c>
      <c r="G140" s="91" t="s">
        <v>1310</v>
      </c>
      <c r="H140" s="91">
        <v>1</v>
      </c>
      <c r="I140" s="91"/>
      <c r="J140" s="91">
        <v>584</v>
      </c>
      <c r="K140" s="91">
        <f t="shared" si="22"/>
        <v>584</v>
      </c>
      <c r="L140" s="91">
        <v>12</v>
      </c>
      <c r="M140" s="91"/>
      <c r="N140" s="93">
        <f>(K140*Table1[[#This Row],[Ühik2]])+M140</f>
        <v>7008</v>
      </c>
      <c r="O140" s="93">
        <f>Table1[[#This Row],[2020. EA ]]*0.338</f>
        <v>2368.7040000000002</v>
      </c>
      <c r="P140" s="91"/>
    </row>
    <row r="141" spans="1:16" x14ac:dyDescent="0.25">
      <c r="A141" s="14" t="str">
        <f t="shared" si="23"/>
        <v>09</v>
      </c>
      <c r="B141" t="s">
        <v>329</v>
      </c>
      <c r="C141" s="14" t="str">
        <f>VLOOKUP(B141,Table4[],2,FALSE)</f>
        <v xml:space="preserve"> Kulina Lasteaed</v>
      </c>
      <c r="D141" s="39" t="str">
        <f>VLOOKUP(Table1[[#This Row],[Tegevusala]],Table4[[Tegevusala kood]:[Tegevusala alanimetus]],4,FALSE)</f>
        <v>Alusharidus</v>
      </c>
      <c r="E141" s="14" t="str">
        <f>VLOOKUP(C141,Table4[[Tegevusala nimetus]:[Tegevusala koondnimetus]],2,FALSE)</f>
        <v>Haridus</v>
      </c>
      <c r="F141" s="14" t="s">
        <v>1314</v>
      </c>
      <c r="G141" s="14" t="s">
        <v>1311</v>
      </c>
      <c r="H141" s="14">
        <v>0.2</v>
      </c>
      <c r="I141" s="14"/>
      <c r="J141" s="14">
        <v>1315</v>
      </c>
      <c r="K141" s="14">
        <f t="shared" si="22"/>
        <v>263</v>
      </c>
      <c r="L141" s="14">
        <v>12</v>
      </c>
      <c r="M141" s="14"/>
      <c r="N141" s="44">
        <f>(K141*Table1[[#This Row],[Ühik2]])+M141</f>
        <v>3156</v>
      </c>
      <c r="O141" s="44">
        <f>Table1[[#This Row],[2020. EA ]]*0.338</f>
        <v>1066.7280000000001</v>
      </c>
      <c r="P141" s="14"/>
    </row>
    <row r="142" spans="1:16" x14ac:dyDescent="0.25">
      <c r="A142" s="14" t="str">
        <f t="shared" ref="A142:A143" si="24">LEFT(B142,2)</f>
        <v>09</v>
      </c>
      <c r="B142" t="s">
        <v>329</v>
      </c>
      <c r="C142" s="14" t="str">
        <f>VLOOKUP(B142,Table4[],2,FALSE)</f>
        <v xml:space="preserve"> Kulina Lasteaed</v>
      </c>
      <c r="D142" s="39" t="str">
        <f>VLOOKUP(Table1[[#This Row],[Tegevusala]],Table4[[Tegevusala kood]:[Tegevusala alanimetus]],4,FALSE)</f>
        <v>Alusharidus</v>
      </c>
      <c r="E142" s="14" t="str">
        <f>VLOOKUP(C142,Table4[[Tegevusala nimetus]:[Tegevusala koondnimetus]],2,FALSE)</f>
        <v>Haridus</v>
      </c>
      <c r="F142" s="14" t="s">
        <v>1314</v>
      </c>
      <c r="G142" s="14" t="s">
        <v>935</v>
      </c>
      <c r="H142" s="14">
        <v>1</v>
      </c>
      <c r="I142" s="14" t="s">
        <v>2027</v>
      </c>
      <c r="J142" s="14">
        <v>80</v>
      </c>
      <c r="K142" s="14">
        <f t="shared" si="22"/>
        <v>80</v>
      </c>
      <c r="L142" s="14">
        <v>7</v>
      </c>
      <c r="M142" s="14"/>
      <c r="N142" s="44">
        <f>(K142*Table1[[#This Row],[Ühik2]])+M142</f>
        <v>560</v>
      </c>
      <c r="O142" s="44">
        <f>Table1[[#This Row],[2020. EA ]]*0.338</f>
        <v>189.28</v>
      </c>
      <c r="P142" s="14"/>
    </row>
    <row r="143" spans="1:16" x14ac:dyDescent="0.25">
      <c r="A143" s="14" t="str">
        <f t="shared" si="24"/>
        <v>09</v>
      </c>
      <c r="B143" t="s">
        <v>329</v>
      </c>
      <c r="C143" s="14" t="str">
        <f>VLOOKUP(B143,Table4[],2,FALSE)</f>
        <v xml:space="preserve"> Kulina Lasteaed</v>
      </c>
      <c r="D143" s="39" t="str">
        <f>VLOOKUP(Table1[[#This Row],[Tegevusala]],Table4[[Tegevusala kood]:[Tegevusala alanimetus]],4,FALSE)</f>
        <v>Alusharidus</v>
      </c>
      <c r="E143" s="14" t="str">
        <f>VLOOKUP(C143,Table4[[Tegevusala nimetus]:[Tegevusala koondnimetus]],2,FALSE)</f>
        <v>Haridus</v>
      </c>
      <c r="F143" s="14" t="s">
        <v>1314</v>
      </c>
      <c r="G143" s="14" t="s">
        <v>1313</v>
      </c>
      <c r="H143" s="14">
        <v>1</v>
      </c>
      <c r="I143" s="14"/>
      <c r="J143" s="14"/>
      <c r="K143" s="14">
        <f t="shared" si="22"/>
        <v>0</v>
      </c>
      <c r="L143" s="14">
        <v>1</v>
      </c>
      <c r="M143" s="14">
        <v>1700</v>
      </c>
      <c r="N143" s="44">
        <f>(K143*Table1[[#This Row],[Ühik2]])+M143</f>
        <v>1700</v>
      </c>
      <c r="O143" s="44">
        <f>Table1[[#This Row],[2020. EA ]]*0.338</f>
        <v>574.6</v>
      </c>
      <c r="P143" s="14"/>
    </row>
    <row r="144" spans="1:16" x14ac:dyDescent="0.25">
      <c r="A144" s="14" t="str">
        <f t="shared" ref="A144:A149" si="25">LEFT(B144,2)</f>
        <v>09</v>
      </c>
      <c r="B144" t="s">
        <v>333</v>
      </c>
      <c r="C144" s="14" t="str">
        <f>VLOOKUP(B144,Table4[],2,FALSE)</f>
        <v xml:space="preserve"> Ulvi Lasteaed</v>
      </c>
      <c r="D144" s="39" t="str">
        <f>VLOOKUP(Table1[[#This Row],[Tegevusala]],Table4[[Tegevusala kood]:[Tegevusala alanimetus]],4,FALSE)</f>
        <v>Alusharidus</v>
      </c>
      <c r="E144" s="14" t="str">
        <f>VLOOKUP(C144,Table4[[Tegevusala nimetus]:[Tegevusala koondnimetus]],2,FALSE)</f>
        <v>Haridus</v>
      </c>
      <c r="F144" s="14" t="s">
        <v>1374</v>
      </c>
      <c r="G144" s="14" t="s">
        <v>1370</v>
      </c>
      <c r="H144" s="14">
        <v>4</v>
      </c>
      <c r="I144" s="14"/>
      <c r="J144" s="14">
        <v>1183.5</v>
      </c>
      <c r="K144" s="14">
        <f t="shared" si="22"/>
        <v>4734</v>
      </c>
      <c r="L144" s="14">
        <v>12</v>
      </c>
      <c r="M144" s="14"/>
      <c r="N144" s="44">
        <f>(K144*Table1[[#This Row],[Ühik2]])+M144</f>
        <v>56808</v>
      </c>
      <c r="O144" s="44">
        <f>Table1[[#This Row],[2020. EA ]]*0.338</f>
        <v>19201.104000000003</v>
      </c>
      <c r="P144" s="14"/>
    </row>
    <row r="145" spans="1:18" x14ac:dyDescent="0.25">
      <c r="A145" s="14" t="str">
        <f t="shared" si="25"/>
        <v>09</v>
      </c>
      <c r="B145" t="s">
        <v>333</v>
      </c>
      <c r="C145" s="14" t="str">
        <f>VLOOKUP(B145,Table4[],2,FALSE)</f>
        <v xml:space="preserve"> Ulvi Lasteaed</v>
      </c>
      <c r="D145" s="39" t="str">
        <f>VLOOKUP(Table1[[#This Row],[Tegevusala]],Table4[[Tegevusala kood]:[Tegevusala alanimetus]],4,FALSE)</f>
        <v>Alusharidus</v>
      </c>
      <c r="E145" s="14" t="str">
        <f>VLOOKUP(C145,Table4[[Tegevusala nimetus]:[Tegevusala koondnimetus]],2,FALSE)</f>
        <v>Haridus</v>
      </c>
      <c r="F145" s="14" t="s">
        <v>1374</v>
      </c>
      <c r="G145" s="14" t="s">
        <v>1371</v>
      </c>
      <c r="H145" s="14">
        <v>2</v>
      </c>
      <c r="I145" s="14"/>
      <c r="J145" s="14">
        <v>630</v>
      </c>
      <c r="K145" s="14">
        <f t="shared" si="22"/>
        <v>1260</v>
      </c>
      <c r="L145" s="14">
        <v>12</v>
      </c>
      <c r="M145" s="14"/>
      <c r="N145" s="44">
        <f>(K145*Table1[[#This Row],[Ühik2]])+M145</f>
        <v>15120</v>
      </c>
      <c r="O145" s="44">
        <f>Table1[[#This Row],[2020. EA ]]*0.338</f>
        <v>5110.5600000000004</v>
      </c>
      <c r="P145" s="14"/>
    </row>
    <row r="146" spans="1:18" x14ac:dyDescent="0.25">
      <c r="A146" s="14" t="str">
        <f t="shared" si="25"/>
        <v>09</v>
      </c>
      <c r="B146" t="s">
        <v>333</v>
      </c>
      <c r="C146" s="14" t="str">
        <f>VLOOKUP(B146,Table4[],2,FALSE)</f>
        <v xml:space="preserve"> Ulvi Lasteaed</v>
      </c>
      <c r="D146" s="39" t="str">
        <f>VLOOKUP(Table1[[#This Row],[Tegevusala]],Table4[[Tegevusala kood]:[Tegevusala alanimetus]],4,FALSE)</f>
        <v>Alusharidus</v>
      </c>
      <c r="E146" s="14" t="str">
        <f>VLOOKUP(C146,Table4[[Tegevusala nimetus]:[Tegevusala koondnimetus]],2,FALSE)</f>
        <v>Haridus</v>
      </c>
      <c r="F146" s="14" t="s">
        <v>1374</v>
      </c>
      <c r="G146" s="14" t="s">
        <v>1267</v>
      </c>
      <c r="H146" s="14">
        <v>0.15</v>
      </c>
      <c r="I146" s="14"/>
      <c r="J146" s="14">
        <v>973.5</v>
      </c>
      <c r="K146" s="14">
        <f t="shared" si="22"/>
        <v>146.02500000000001</v>
      </c>
      <c r="L146" s="14">
        <v>12</v>
      </c>
      <c r="M146" s="14"/>
      <c r="N146" s="44">
        <f>(K146*Table1[[#This Row],[Ühik2]])+M146</f>
        <v>1752.3000000000002</v>
      </c>
      <c r="O146" s="44">
        <f>Table1[[#This Row],[2020. EA ]]*0.338</f>
        <v>592.27740000000006</v>
      </c>
      <c r="P146" s="14"/>
    </row>
    <row r="147" spans="1:18" x14ac:dyDescent="0.25">
      <c r="A147" s="14" t="str">
        <f t="shared" si="25"/>
        <v>09</v>
      </c>
      <c r="B147" t="s">
        <v>333</v>
      </c>
      <c r="C147" s="14" t="str">
        <f>VLOOKUP(B147,Table4[],2,FALSE)</f>
        <v xml:space="preserve"> Ulvi Lasteaed</v>
      </c>
      <c r="D147" s="39" t="str">
        <f>VLOOKUP(Table1[[#This Row],[Tegevusala]],Table4[[Tegevusala kood]:[Tegevusala alanimetus]],4,FALSE)</f>
        <v>Alusharidus</v>
      </c>
      <c r="E147" s="14" t="str">
        <f>VLOOKUP(C147,Table4[[Tegevusala nimetus]:[Tegevusala koondnimetus]],2,FALSE)</f>
        <v>Haridus</v>
      </c>
      <c r="F147" s="14" t="s">
        <v>1374</v>
      </c>
      <c r="G147" s="14" t="s">
        <v>484</v>
      </c>
      <c r="H147" s="14">
        <v>1</v>
      </c>
      <c r="I147" s="14"/>
      <c r="J147" s="14">
        <v>648</v>
      </c>
      <c r="K147" s="14">
        <f t="shared" si="22"/>
        <v>648</v>
      </c>
      <c r="L147" s="14">
        <v>12</v>
      </c>
      <c r="M147" s="14"/>
      <c r="N147" s="44">
        <f>(K147*Table1[[#This Row],[Ühik2]])+M147</f>
        <v>7776</v>
      </c>
      <c r="O147" s="44">
        <f>Table1[[#This Row],[2020. EA ]]*0.338</f>
        <v>2628.288</v>
      </c>
      <c r="P147" s="14"/>
    </row>
    <row r="148" spans="1:18" x14ac:dyDescent="0.25">
      <c r="A148" s="91" t="str">
        <f t="shared" si="25"/>
        <v>09</v>
      </c>
      <c r="B148" s="92" t="s">
        <v>333</v>
      </c>
      <c r="C148" s="91" t="str">
        <f>VLOOKUP(B148,Table4[],2,FALSE)</f>
        <v xml:space="preserve"> Ulvi Lasteaed</v>
      </c>
      <c r="D148" s="95" t="str">
        <f>VLOOKUP(Table1[[#This Row],[Tegevusala]],Table4[[Tegevusala kood]:[Tegevusala alanimetus]],4,FALSE)</f>
        <v>Alusharidus</v>
      </c>
      <c r="E148" s="91" t="str">
        <f>VLOOKUP(C148,Table4[[Tegevusala nimetus]:[Tegevusala koondnimetus]],2,FALSE)</f>
        <v>Haridus</v>
      </c>
      <c r="F148" s="91" t="s">
        <v>1374</v>
      </c>
      <c r="G148" s="91" t="s">
        <v>1372</v>
      </c>
      <c r="H148" s="91">
        <v>0.5</v>
      </c>
      <c r="I148" s="91"/>
      <c r="J148" s="91">
        <v>324</v>
      </c>
      <c r="K148" s="91">
        <f t="shared" si="22"/>
        <v>162</v>
      </c>
      <c r="L148" s="91">
        <v>12</v>
      </c>
      <c r="M148" s="91"/>
      <c r="N148" s="93">
        <f>(K148*Table1[[#This Row],[Ühik2]])+M148</f>
        <v>1944</v>
      </c>
      <c r="O148" s="93">
        <f>Table1[[#This Row],[2020. EA ]]*0.338</f>
        <v>657.072</v>
      </c>
      <c r="P148" s="91"/>
    </row>
    <row r="149" spans="1:18" x14ac:dyDescent="0.25">
      <c r="A149" s="91" t="str">
        <f t="shared" si="25"/>
        <v>09</v>
      </c>
      <c r="B149" s="92" t="s">
        <v>333</v>
      </c>
      <c r="C149" s="91" t="str">
        <f>VLOOKUP(B149,Table4[],2,FALSE)</f>
        <v xml:space="preserve"> Ulvi Lasteaed</v>
      </c>
      <c r="D149" s="95" t="str">
        <f>VLOOKUP(Table1[[#This Row],[Tegevusala]],Table4[[Tegevusala kood]:[Tegevusala alanimetus]],4,FALSE)</f>
        <v>Alusharidus</v>
      </c>
      <c r="E149" s="91" t="str">
        <f>VLOOKUP(C149,Table4[[Tegevusala nimetus]:[Tegevusala koondnimetus]],2,FALSE)</f>
        <v>Haridus</v>
      </c>
      <c r="F149" s="91" t="s">
        <v>1374</v>
      </c>
      <c r="G149" s="91" t="s">
        <v>479</v>
      </c>
      <c r="H149" s="91">
        <v>0.25</v>
      </c>
      <c r="I149" s="91"/>
      <c r="J149" s="91">
        <v>584</v>
      </c>
      <c r="K149" s="91">
        <f t="shared" si="22"/>
        <v>146</v>
      </c>
      <c r="L149" s="91">
        <v>12</v>
      </c>
      <c r="M149" s="91">
        <v>1620</v>
      </c>
      <c r="N149" s="93">
        <f>(K149*Table1[[#This Row],[Ühik2]])+M149</f>
        <v>3372</v>
      </c>
      <c r="O149" s="93">
        <f>Table1[[#This Row],[2020. EA ]]*0.338</f>
        <v>1139.7360000000001</v>
      </c>
      <c r="P149" s="91" t="s">
        <v>1373</v>
      </c>
    </row>
    <row r="150" spans="1:18" x14ac:dyDescent="0.25">
      <c r="A150" s="91" t="str">
        <f t="shared" ref="A150:A181" si="26">LEFT(B150,2)</f>
        <v>09</v>
      </c>
      <c r="B150" s="92" t="s">
        <v>345</v>
      </c>
      <c r="C150" s="91" t="str">
        <f>VLOOKUP(B150,Table4[],2,FALSE)</f>
        <v xml:space="preserve"> Vinni pajusti Gümnaasium</v>
      </c>
      <c r="D150" s="95" t="str">
        <f>VLOOKUP(Table1[[#This Row],[Tegevusala]],Table4[[Tegevusala kood]:[Tegevusala alanimetus]],4,FALSE)</f>
        <v>Põhihariduse otsekulud</v>
      </c>
      <c r="E150" s="91" t="str">
        <f>VLOOKUP(C150,Table4[[Tegevusala nimetus]:[Tegevusala koondnimetus]],2,FALSE)</f>
        <v>Haridus</v>
      </c>
      <c r="F150" s="91" t="s">
        <v>1449</v>
      </c>
      <c r="G150" s="91" t="s">
        <v>238</v>
      </c>
      <c r="H150" s="91">
        <v>0.25</v>
      </c>
      <c r="I150" s="91"/>
      <c r="J150" s="91">
        <v>584</v>
      </c>
      <c r="K150" s="91">
        <f t="shared" si="22"/>
        <v>146</v>
      </c>
      <c r="L150" s="91">
        <v>12</v>
      </c>
      <c r="M150" s="91"/>
      <c r="N150" s="93">
        <f>(K150*Table1[[#This Row],[Ühik2]])+M150</f>
        <v>1752</v>
      </c>
      <c r="O150" s="93">
        <f>Table1[[#This Row],[2020. EA ]]*0.338</f>
        <v>592.17600000000004</v>
      </c>
      <c r="P150" s="91"/>
      <c r="R150" t="s">
        <v>2212</v>
      </c>
    </row>
    <row r="151" spans="1:18" x14ac:dyDescent="0.25">
      <c r="A151" s="14" t="str">
        <f t="shared" si="26"/>
        <v>09</v>
      </c>
      <c r="B151" t="s">
        <v>345</v>
      </c>
      <c r="C151" s="14" t="str">
        <f>VLOOKUP(B151,Table4[],2,FALSE)</f>
        <v xml:space="preserve"> Vinni pajusti Gümnaasium</v>
      </c>
      <c r="D151" s="39" t="str">
        <f>VLOOKUP(Table1[[#This Row],[Tegevusala]],Table4[[Tegevusala kood]:[Tegevusala alanimetus]],4,FALSE)</f>
        <v>Põhihariduse otsekulud</v>
      </c>
      <c r="E151" s="14" t="str">
        <f>VLOOKUP(C151,Table4[[Tegevusala nimetus]:[Tegevusala koondnimetus]],2,FALSE)</f>
        <v>Haridus</v>
      </c>
      <c r="F151" s="14" t="s">
        <v>1449</v>
      </c>
      <c r="G151" s="14" t="s">
        <v>470</v>
      </c>
      <c r="H151" s="14">
        <v>1</v>
      </c>
      <c r="I151" s="14"/>
      <c r="J151" s="14">
        <v>1315</v>
      </c>
      <c r="K151" s="14">
        <f t="shared" si="22"/>
        <v>1315</v>
      </c>
      <c r="L151" s="14">
        <v>12</v>
      </c>
      <c r="M151" s="14"/>
      <c r="N151" s="44">
        <f>(K151*Table1[[#This Row],[Ühik2]])+M151</f>
        <v>15780</v>
      </c>
      <c r="O151" s="44">
        <f>Table1[[#This Row],[2020. EA ]]*0.338</f>
        <v>5333.64</v>
      </c>
      <c r="P151" s="14"/>
    </row>
    <row r="152" spans="1:18" x14ac:dyDescent="0.25">
      <c r="A152" s="91" t="str">
        <f t="shared" si="26"/>
        <v>09</v>
      </c>
      <c r="B152" s="92" t="s">
        <v>345</v>
      </c>
      <c r="C152" s="91" t="str">
        <f>VLOOKUP(B152,Table4[],2,FALSE)</f>
        <v xml:space="preserve"> Vinni pajusti Gümnaasium</v>
      </c>
      <c r="D152" s="95" t="str">
        <f>VLOOKUP(Table1[[#This Row],[Tegevusala]],Table4[[Tegevusala kood]:[Tegevusala alanimetus]],4,FALSE)</f>
        <v>Põhihariduse otsekulud</v>
      </c>
      <c r="E152" s="91" t="str">
        <f>VLOOKUP(C152,Table4[[Tegevusala nimetus]:[Tegevusala koondnimetus]],2,FALSE)</f>
        <v>Haridus</v>
      </c>
      <c r="F152" s="91" t="s">
        <v>1449</v>
      </c>
      <c r="G152" s="91" t="s">
        <v>2213</v>
      </c>
      <c r="H152" s="91">
        <v>1</v>
      </c>
      <c r="I152" s="91"/>
      <c r="J152" s="91">
        <v>1450</v>
      </c>
      <c r="K152" s="91">
        <f t="shared" si="22"/>
        <v>1450</v>
      </c>
      <c r="L152" s="91">
        <v>12</v>
      </c>
      <c r="M152" s="91"/>
      <c r="N152" s="93">
        <f>(K152*Table1[[#This Row],[Ühik2]])+M152</f>
        <v>17400</v>
      </c>
      <c r="O152" s="93">
        <f>Table1[[#This Row],[2020. EA ]]*0.338</f>
        <v>5881.2000000000007</v>
      </c>
      <c r="P152" s="91"/>
    </row>
    <row r="153" spans="1:18" x14ac:dyDescent="0.25">
      <c r="A153" s="14" t="str">
        <f t="shared" si="26"/>
        <v>09</v>
      </c>
      <c r="B153" t="s">
        <v>345</v>
      </c>
      <c r="C153" s="14" t="str">
        <f>VLOOKUP(B153,Table4[],2,FALSE)</f>
        <v xml:space="preserve"> Vinni pajusti Gümnaasium</v>
      </c>
      <c r="D153" s="39" t="str">
        <f>VLOOKUP(Table1[[#This Row],[Tegevusala]],Table4[[Tegevusala kood]:[Tegevusala alanimetus]],4,FALSE)</f>
        <v>Põhihariduse otsekulud</v>
      </c>
      <c r="E153" s="14" t="str">
        <f>VLOOKUP(C153,Table4[[Tegevusala nimetus]:[Tegevusala koondnimetus]],2,FALSE)</f>
        <v>Haridus</v>
      </c>
      <c r="F153" s="14" t="s">
        <v>1449</v>
      </c>
      <c r="G153" s="14" t="s">
        <v>1399</v>
      </c>
      <c r="H153" s="14">
        <v>1</v>
      </c>
      <c r="I153" s="14"/>
      <c r="J153" s="14">
        <v>1315</v>
      </c>
      <c r="K153" s="14">
        <f t="shared" si="22"/>
        <v>1315</v>
      </c>
      <c r="L153" s="14">
        <v>12</v>
      </c>
      <c r="M153" s="14"/>
      <c r="N153" s="44">
        <f>(K153*Table1[[#This Row],[Ühik2]])+M153</f>
        <v>15780</v>
      </c>
      <c r="O153" s="44">
        <f>Table1[[#This Row],[2020. EA ]]*0.338</f>
        <v>5333.64</v>
      </c>
      <c r="P153" s="14"/>
    </row>
    <row r="154" spans="1:18" x14ac:dyDescent="0.25">
      <c r="A154" s="14" t="str">
        <f t="shared" si="26"/>
        <v>09</v>
      </c>
      <c r="B154" t="s">
        <v>345</v>
      </c>
      <c r="C154" s="14" t="str">
        <f>VLOOKUP(B154,Table4[],2,FALSE)</f>
        <v xml:space="preserve"> Vinni pajusti Gümnaasium</v>
      </c>
      <c r="D154" s="39" t="str">
        <f>VLOOKUP(Table1[[#This Row],[Tegevusala]],Table4[[Tegevusala kood]:[Tegevusala alanimetus]],4,FALSE)</f>
        <v>Põhihariduse otsekulud</v>
      </c>
      <c r="E154" s="14" t="str">
        <f>VLOOKUP(C154,Table4[[Tegevusala nimetus]:[Tegevusala koondnimetus]],2,FALSE)</f>
        <v>Haridus</v>
      </c>
      <c r="F154" s="14" t="s">
        <v>1449</v>
      </c>
      <c r="G154" s="14" t="s">
        <v>1400</v>
      </c>
      <c r="H154" s="14">
        <v>0.5</v>
      </c>
      <c r="I154" s="14"/>
      <c r="J154" s="14">
        <v>700</v>
      </c>
      <c r="K154" s="14">
        <f t="shared" si="22"/>
        <v>350</v>
      </c>
      <c r="L154" s="14">
        <v>4</v>
      </c>
      <c r="M154" s="14"/>
      <c r="N154" s="44">
        <f>(K154*Table1[[#This Row],[Ühik2]])+M154</f>
        <v>1400</v>
      </c>
      <c r="O154" s="44">
        <f>Table1[[#This Row],[2020. EA ]]*0.338</f>
        <v>473.20000000000005</v>
      </c>
      <c r="P154" s="14" t="s">
        <v>2214</v>
      </c>
    </row>
    <row r="155" spans="1:18" x14ac:dyDescent="0.25">
      <c r="A155" s="14" t="str">
        <f t="shared" si="26"/>
        <v>09</v>
      </c>
      <c r="B155" t="s">
        <v>345</v>
      </c>
      <c r="C155" s="14" t="str">
        <f>VLOOKUP(B155,Table4[],2,FALSE)</f>
        <v xml:space="preserve"> Vinni pajusti Gümnaasium</v>
      </c>
      <c r="D155" s="39" t="str">
        <f>VLOOKUP(Table1[[#This Row],[Tegevusala]],Table4[[Tegevusala kood]:[Tegevusala alanimetus]],4,FALSE)</f>
        <v>Põhihariduse otsekulud</v>
      </c>
      <c r="E155" s="14" t="str">
        <f>VLOOKUP(C155,Table4[[Tegevusala nimetus]:[Tegevusala koondnimetus]],2,FALSE)</f>
        <v>Haridus</v>
      </c>
      <c r="F155" s="14" t="s">
        <v>1449</v>
      </c>
      <c r="G155" s="14" t="s">
        <v>484</v>
      </c>
      <c r="H155" s="14">
        <v>1</v>
      </c>
      <c r="I155" s="14"/>
      <c r="J155" s="14">
        <v>770</v>
      </c>
      <c r="K155" s="14">
        <f t="shared" si="22"/>
        <v>770</v>
      </c>
      <c r="L155" s="14">
        <v>12</v>
      </c>
      <c r="M155" s="14"/>
      <c r="N155" s="44">
        <f>(K155*Table1[[#This Row],[Ühik2]])+M155</f>
        <v>9240</v>
      </c>
      <c r="O155" s="44">
        <f>Table1[[#This Row],[2020. EA ]]*0.338</f>
        <v>3123.1200000000003</v>
      </c>
      <c r="P155" s="14"/>
    </row>
    <row r="156" spans="1:18" x14ac:dyDescent="0.25">
      <c r="A156" s="14" t="str">
        <f t="shared" si="26"/>
        <v>09</v>
      </c>
      <c r="B156" t="s">
        <v>345</v>
      </c>
      <c r="C156" s="14" t="str">
        <f>VLOOKUP(B156,Table4[],2,FALSE)</f>
        <v xml:space="preserve"> Vinni pajusti Gümnaasium</v>
      </c>
      <c r="D156" s="39" t="str">
        <f>VLOOKUP(Table1[[#This Row],[Tegevusala]],Table4[[Tegevusala kood]:[Tegevusala alanimetus]],4,FALSE)</f>
        <v>Põhihariduse otsekulud</v>
      </c>
      <c r="E156" s="14" t="str">
        <f>VLOOKUP(C156,Table4[[Tegevusala nimetus]:[Tegevusala koondnimetus]],2,FALSE)</f>
        <v>Haridus</v>
      </c>
      <c r="F156" s="14" t="s">
        <v>1449</v>
      </c>
      <c r="G156" s="14" t="s">
        <v>1401</v>
      </c>
      <c r="H156" s="14">
        <v>0.5</v>
      </c>
      <c r="I156" s="14"/>
      <c r="J156" s="14">
        <v>650</v>
      </c>
      <c r="K156" s="14">
        <f t="shared" si="22"/>
        <v>325</v>
      </c>
      <c r="L156" s="14">
        <v>12</v>
      </c>
      <c r="M156" s="14"/>
      <c r="N156" s="44">
        <f>(K156*Table1[[#This Row],[Ühik2]])+M156</f>
        <v>3900</v>
      </c>
      <c r="O156" s="44">
        <f>Table1[[#This Row],[2020. EA ]]*0.338</f>
        <v>1318.2</v>
      </c>
      <c r="P156" s="14"/>
    </row>
    <row r="157" spans="1:18" x14ac:dyDescent="0.25">
      <c r="A157" s="91" t="str">
        <f t="shared" si="26"/>
        <v>09</v>
      </c>
      <c r="B157" s="92" t="s">
        <v>345</v>
      </c>
      <c r="C157" s="91" t="str">
        <f>VLOOKUP(B157,Table4[],2,FALSE)</f>
        <v xml:space="preserve"> Vinni pajusti Gümnaasium</v>
      </c>
      <c r="D157" s="95" t="str">
        <f>VLOOKUP(Table1[[#This Row],[Tegevusala]],Table4[[Tegevusala kood]:[Tegevusala alanimetus]],4,FALSE)</f>
        <v>Põhihariduse otsekulud</v>
      </c>
      <c r="E157" s="91" t="str">
        <f>VLOOKUP(C157,Table4[[Tegevusala nimetus]:[Tegevusala koondnimetus]],2,FALSE)</f>
        <v>Haridus</v>
      </c>
      <c r="F157" s="91" t="s">
        <v>1449</v>
      </c>
      <c r="G157" s="91" t="s">
        <v>1402</v>
      </c>
      <c r="H157" s="91">
        <v>6</v>
      </c>
      <c r="I157" s="91"/>
      <c r="J157" s="91">
        <v>584</v>
      </c>
      <c r="K157" s="91">
        <f t="shared" si="22"/>
        <v>3504</v>
      </c>
      <c r="L157" s="91">
        <v>12</v>
      </c>
      <c r="M157" s="91"/>
      <c r="N157" s="93">
        <f>(K157*Table1[[#This Row],[Ühik2]])+M157</f>
        <v>42048</v>
      </c>
      <c r="O157" s="93">
        <f>Table1[[#This Row],[2020. EA ]]*0.338</f>
        <v>14212.224</v>
      </c>
      <c r="P157" s="91"/>
    </row>
    <row r="158" spans="1:18" x14ac:dyDescent="0.25">
      <c r="A158" s="14" t="str">
        <f t="shared" si="26"/>
        <v>09</v>
      </c>
      <c r="B158" t="s">
        <v>345</v>
      </c>
      <c r="C158" s="14" t="str">
        <f>VLOOKUP(B158,Table4[],2,FALSE)</f>
        <v xml:space="preserve"> Vinni pajusti Gümnaasium</v>
      </c>
      <c r="D158" s="39" t="str">
        <f>VLOOKUP(Table1[[#This Row],[Tegevusala]],Table4[[Tegevusala kood]:[Tegevusala alanimetus]],4,FALSE)</f>
        <v>Põhihariduse otsekulud</v>
      </c>
      <c r="E158" s="14" t="str">
        <f>VLOOKUP(C158,Table4[[Tegevusala nimetus]:[Tegevusala koondnimetus]],2,FALSE)</f>
        <v>Haridus</v>
      </c>
      <c r="F158" s="14" t="s">
        <v>1449</v>
      </c>
      <c r="G158" s="14" t="s">
        <v>486</v>
      </c>
      <c r="H158" s="14">
        <v>2</v>
      </c>
      <c r="I158" s="14"/>
      <c r="J158" s="14">
        <v>590</v>
      </c>
      <c r="K158" s="14">
        <f t="shared" si="22"/>
        <v>1180</v>
      </c>
      <c r="L158" s="14">
        <v>12</v>
      </c>
      <c r="M158" s="14"/>
      <c r="N158" s="44">
        <f>(K158*Table1[[#This Row],[Ühik2]])+M158</f>
        <v>14160</v>
      </c>
      <c r="O158" s="44">
        <f>Table1[[#This Row],[2020. EA ]]*0.338</f>
        <v>4786.08</v>
      </c>
      <c r="P158" s="14"/>
    </row>
    <row r="159" spans="1:18" x14ac:dyDescent="0.25">
      <c r="A159" s="91" t="str">
        <f t="shared" si="26"/>
        <v>09</v>
      </c>
      <c r="B159" s="92" t="s">
        <v>345</v>
      </c>
      <c r="C159" s="91" t="str">
        <f>VLOOKUP(B159,Table4[],2,FALSE)</f>
        <v xml:space="preserve"> Vinni pajusti Gümnaasium</v>
      </c>
      <c r="D159" s="95" t="str">
        <f>VLOOKUP(Table1[[#This Row],[Tegevusala]],Table4[[Tegevusala kood]:[Tegevusala alanimetus]],4,FALSE)</f>
        <v>Põhihariduse otsekulud</v>
      </c>
      <c r="E159" s="91" t="str">
        <f>VLOOKUP(C159,Table4[[Tegevusala nimetus]:[Tegevusala koondnimetus]],2,FALSE)</f>
        <v>Haridus</v>
      </c>
      <c r="F159" s="91" t="s">
        <v>1449</v>
      </c>
      <c r="G159" s="91" t="s">
        <v>1403</v>
      </c>
      <c r="H159" s="91">
        <v>0.12</v>
      </c>
      <c r="I159" s="91"/>
      <c r="J159" s="91">
        <v>584</v>
      </c>
      <c r="K159" s="91">
        <f t="shared" si="22"/>
        <v>70.08</v>
      </c>
      <c r="L159" s="91">
        <v>12</v>
      </c>
      <c r="M159" s="91"/>
      <c r="N159" s="93">
        <f>(K159*Table1[[#This Row],[Ühik2]])+M159</f>
        <v>840.96</v>
      </c>
      <c r="O159" s="93">
        <f>Table1[[#This Row],[2020. EA ]]*0.338</f>
        <v>284.24448000000001</v>
      </c>
      <c r="P159" s="91"/>
    </row>
    <row r="160" spans="1:18" x14ac:dyDescent="0.25">
      <c r="A160" s="91" t="str">
        <f t="shared" si="26"/>
        <v>09</v>
      </c>
      <c r="B160" s="92" t="s">
        <v>345</v>
      </c>
      <c r="C160" s="91" t="str">
        <f>VLOOKUP(B160,Table4[],2,FALSE)</f>
        <v xml:space="preserve"> Vinni pajusti Gümnaasium</v>
      </c>
      <c r="D160" s="95" t="str">
        <f>VLOOKUP(Table1[[#This Row],[Tegevusala]],Table4[[Tegevusala kood]:[Tegevusala alanimetus]],4,FALSE)</f>
        <v>Põhihariduse otsekulud</v>
      </c>
      <c r="E160" s="91" t="str">
        <f>VLOOKUP(C160,Table4[[Tegevusala nimetus]:[Tegevusala koondnimetus]],2,FALSE)</f>
        <v>Haridus</v>
      </c>
      <c r="F160" s="91" t="s">
        <v>1449</v>
      </c>
      <c r="G160" s="91" t="s">
        <v>1403</v>
      </c>
      <c r="H160" s="91">
        <v>0.13</v>
      </c>
      <c r="I160" s="91"/>
      <c r="J160" s="91">
        <v>584</v>
      </c>
      <c r="K160" s="91">
        <f t="shared" si="22"/>
        <v>75.92</v>
      </c>
      <c r="L160" s="91">
        <v>12</v>
      </c>
      <c r="M160" s="91"/>
      <c r="N160" s="93">
        <f>(K160*Table1[[#This Row],[Ühik2]])+M160</f>
        <v>911.04</v>
      </c>
      <c r="O160" s="93">
        <f>Table1[[#This Row],[2020. EA ]]*0.338</f>
        <v>307.93152000000003</v>
      </c>
      <c r="P160" s="91"/>
    </row>
    <row r="161" spans="1:18" x14ac:dyDescent="0.25">
      <c r="A161" s="91" t="str">
        <f t="shared" si="26"/>
        <v>09</v>
      </c>
      <c r="B161" s="92" t="s">
        <v>345</v>
      </c>
      <c r="C161" s="91" t="str">
        <f>VLOOKUP(B161,Table4[],2,FALSE)</f>
        <v xml:space="preserve"> Vinni pajusti Gümnaasium</v>
      </c>
      <c r="D161" s="95" t="str">
        <f>VLOOKUP(Table1[[#This Row],[Tegevusala]],Table4[[Tegevusala kood]:[Tegevusala alanimetus]],4,FALSE)</f>
        <v>Põhihariduse otsekulud</v>
      </c>
      <c r="E161" s="91" t="str">
        <f>VLOOKUP(C161,Table4[[Tegevusala nimetus]:[Tegevusala koondnimetus]],2,FALSE)</f>
        <v>Haridus</v>
      </c>
      <c r="F161" s="91" t="s">
        <v>1449</v>
      </c>
      <c r="G161" s="91" t="s">
        <v>1403</v>
      </c>
      <c r="H161" s="91">
        <v>0.25</v>
      </c>
      <c r="I161" s="91"/>
      <c r="J161" s="91">
        <v>584</v>
      </c>
      <c r="K161" s="91">
        <f t="shared" si="22"/>
        <v>146</v>
      </c>
      <c r="L161" s="91">
        <v>12</v>
      </c>
      <c r="M161" s="91"/>
      <c r="N161" s="93">
        <f>(K161*Table1[[#This Row],[Ühik2]])+M161</f>
        <v>1752</v>
      </c>
      <c r="O161" s="93">
        <f>Table1[[#This Row],[2020. EA ]]*0.338</f>
        <v>592.17600000000004</v>
      </c>
      <c r="P161" s="91"/>
      <c r="R161" t="s">
        <v>2212</v>
      </c>
    </row>
    <row r="162" spans="1:18" x14ac:dyDescent="0.25">
      <c r="A162" s="91" t="str">
        <f t="shared" si="26"/>
        <v>09</v>
      </c>
      <c r="B162" s="92" t="s">
        <v>345</v>
      </c>
      <c r="C162" s="91" t="str">
        <f>VLOOKUP(B162,Table4[],2,FALSE)</f>
        <v xml:space="preserve"> Vinni pajusti Gümnaasium</v>
      </c>
      <c r="D162" s="95" t="str">
        <f>VLOOKUP(Table1[[#This Row],[Tegevusala]],Table4[[Tegevusala kood]:[Tegevusala alanimetus]],4,FALSE)</f>
        <v>Põhihariduse otsekulud</v>
      </c>
      <c r="E162" s="91" t="str">
        <f>VLOOKUP(C162,Table4[[Tegevusala nimetus]:[Tegevusala koondnimetus]],2,FALSE)</f>
        <v>Haridus</v>
      </c>
      <c r="F162" s="91" t="s">
        <v>1449</v>
      </c>
      <c r="G162" s="91" t="s">
        <v>1403</v>
      </c>
      <c r="H162" s="91">
        <v>0.25</v>
      </c>
      <c r="I162" s="91"/>
      <c r="J162" s="91">
        <v>584</v>
      </c>
      <c r="K162" s="91">
        <f t="shared" si="22"/>
        <v>146</v>
      </c>
      <c r="L162" s="91">
        <v>12</v>
      </c>
      <c r="M162" s="91"/>
      <c r="N162" s="93">
        <f>(K162*Table1[[#This Row],[Ühik2]])+M162</f>
        <v>1752</v>
      </c>
      <c r="O162" s="93">
        <f>Table1[[#This Row],[2020. EA ]]*0.338</f>
        <v>592.17600000000004</v>
      </c>
      <c r="P162" s="91"/>
    </row>
    <row r="163" spans="1:18" x14ac:dyDescent="0.25">
      <c r="A163" s="91" t="str">
        <f t="shared" si="26"/>
        <v>09</v>
      </c>
      <c r="B163" s="92" t="s">
        <v>345</v>
      </c>
      <c r="C163" s="91" t="str">
        <f>VLOOKUP(B163,Table4[],2,FALSE)</f>
        <v xml:space="preserve"> Vinni pajusti Gümnaasium</v>
      </c>
      <c r="D163" s="95" t="str">
        <f>VLOOKUP(Table1[[#This Row],[Tegevusala]],Table4[[Tegevusala kood]:[Tegevusala alanimetus]],4,FALSE)</f>
        <v>Põhihariduse otsekulud</v>
      </c>
      <c r="E163" s="91" t="str">
        <f>VLOOKUP(C163,Table4[[Tegevusala nimetus]:[Tegevusala koondnimetus]],2,FALSE)</f>
        <v>Haridus</v>
      </c>
      <c r="F163" s="91" t="s">
        <v>1449</v>
      </c>
      <c r="G163" s="91" t="s">
        <v>1403</v>
      </c>
      <c r="H163" s="91">
        <v>1</v>
      </c>
      <c r="I163" s="91"/>
      <c r="J163" s="91">
        <v>584</v>
      </c>
      <c r="K163" s="91">
        <f t="shared" si="22"/>
        <v>584</v>
      </c>
      <c r="L163" s="91">
        <v>12</v>
      </c>
      <c r="M163" s="91"/>
      <c r="N163" s="93">
        <f>(K163*Table1[[#This Row],[Ühik2]])+M163</f>
        <v>7008</v>
      </c>
      <c r="O163" s="93">
        <f>Table1[[#This Row],[2020. EA ]]*0.338</f>
        <v>2368.7040000000002</v>
      </c>
      <c r="P163" s="91"/>
    </row>
    <row r="164" spans="1:18" x14ac:dyDescent="0.25">
      <c r="A164" s="91" t="str">
        <f t="shared" si="26"/>
        <v>09</v>
      </c>
      <c r="B164" s="92" t="s">
        <v>345</v>
      </c>
      <c r="C164" s="91" t="str">
        <f>VLOOKUP(B164,Table4[],2,FALSE)</f>
        <v xml:space="preserve"> Vinni pajusti Gümnaasium</v>
      </c>
      <c r="D164" s="95" t="str">
        <f>VLOOKUP(Table1[[#This Row],[Tegevusala]],Table4[[Tegevusala kood]:[Tegevusala alanimetus]],4,FALSE)</f>
        <v>Põhihariduse otsekulud</v>
      </c>
      <c r="E164" s="91" t="str">
        <f>VLOOKUP(C164,Table4[[Tegevusala nimetus]:[Tegevusala koondnimetus]],2,FALSE)</f>
        <v>Haridus</v>
      </c>
      <c r="F164" s="91" t="s">
        <v>1449</v>
      </c>
      <c r="G164" s="91" t="s">
        <v>1404</v>
      </c>
      <c r="H164" s="91">
        <v>1</v>
      </c>
      <c r="I164" s="91"/>
      <c r="J164" s="91">
        <v>584</v>
      </c>
      <c r="K164" s="91">
        <f t="shared" si="22"/>
        <v>584</v>
      </c>
      <c r="L164" s="91">
        <v>12</v>
      </c>
      <c r="M164" s="91"/>
      <c r="N164" s="93">
        <f>(K164*Table1[[#This Row],[Ühik2]])+M164</f>
        <v>7008</v>
      </c>
      <c r="O164" s="93">
        <f>Table1[[#This Row],[2020. EA ]]*0.338</f>
        <v>2368.7040000000002</v>
      </c>
      <c r="P164" s="91"/>
    </row>
    <row r="165" spans="1:18" x14ac:dyDescent="0.25">
      <c r="A165" s="14" t="str">
        <f t="shared" si="26"/>
        <v>09</v>
      </c>
      <c r="B165" t="s">
        <v>345</v>
      </c>
      <c r="C165" s="14" t="str">
        <f>VLOOKUP(B165,Table4[],2,FALSE)</f>
        <v xml:space="preserve"> Vinni pajusti Gümnaasium</v>
      </c>
      <c r="D165" s="39" t="str">
        <f>VLOOKUP(Table1[[#This Row],[Tegevusala]],Table4[[Tegevusala kood]:[Tegevusala alanimetus]],4,FALSE)</f>
        <v>Põhihariduse otsekulud</v>
      </c>
      <c r="E165" s="14" t="str">
        <f>VLOOKUP(C165,Table4[[Tegevusala nimetus]:[Tegevusala koondnimetus]],2,FALSE)</f>
        <v>Haridus</v>
      </c>
      <c r="F165" s="14" t="s">
        <v>1449</v>
      </c>
      <c r="G165" s="14" t="s">
        <v>1311</v>
      </c>
      <c r="H165" s="14">
        <v>0.3</v>
      </c>
      <c r="I165" s="14"/>
      <c r="J165" s="14">
        <v>1315</v>
      </c>
      <c r="K165" s="14">
        <f t="shared" si="22"/>
        <v>394.5</v>
      </c>
      <c r="L165" s="14">
        <v>12</v>
      </c>
      <c r="M165" s="14"/>
      <c r="N165" s="44">
        <f>(K165*Table1[[#This Row],[Ühik2]])+M165</f>
        <v>4734</v>
      </c>
      <c r="O165" s="44">
        <f>Table1[[#This Row],[2020. EA ]]*0.338</f>
        <v>1600.0920000000001</v>
      </c>
      <c r="P165" s="14"/>
    </row>
    <row r="166" spans="1:18" x14ac:dyDescent="0.25">
      <c r="A166" s="14" t="str">
        <f t="shared" si="26"/>
        <v>09</v>
      </c>
      <c r="B166" t="s">
        <v>345</v>
      </c>
      <c r="C166" s="14" t="str">
        <f>VLOOKUP(B166,Table4[],2,FALSE)</f>
        <v xml:space="preserve"> Vinni pajusti Gümnaasium</v>
      </c>
      <c r="D166" s="39" t="str">
        <f>VLOOKUP(Table1[[#This Row],[Tegevusala]],Table4[[Tegevusala kood]:[Tegevusala alanimetus]],4,FALSE)</f>
        <v>Põhihariduse otsekulud</v>
      </c>
      <c r="E166" s="14" t="str">
        <f>VLOOKUP(C166,Table4[[Tegevusala nimetus]:[Tegevusala koondnimetus]],2,FALSE)</f>
        <v>Haridus</v>
      </c>
      <c r="F166" s="14" t="s">
        <v>1449</v>
      </c>
      <c r="G166" s="14" t="s">
        <v>1311</v>
      </c>
      <c r="H166" s="14">
        <v>1</v>
      </c>
      <c r="I166" s="14"/>
      <c r="J166" s="14">
        <v>1450</v>
      </c>
      <c r="K166" s="14">
        <f t="shared" si="22"/>
        <v>1450</v>
      </c>
      <c r="L166" s="14">
        <v>12</v>
      </c>
      <c r="M166" s="14"/>
      <c r="N166" s="44">
        <f>(K166*Table1[[#This Row],[Ühik2]])+M166</f>
        <v>17400</v>
      </c>
      <c r="O166" s="44">
        <f>Table1[[#This Row],[2020. EA ]]*0.338</f>
        <v>5881.2000000000007</v>
      </c>
      <c r="P166" s="14"/>
    </row>
    <row r="167" spans="1:18" x14ac:dyDescent="0.25">
      <c r="A167" s="91" t="str">
        <f t="shared" si="26"/>
        <v>09</v>
      </c>
      <c r="B167" s="92" t="s">
        <v>345</v>
      </c>
      <c r="C167" s="91" t="str">
        <f>VLOOKUP(B167,Table4[],2,FALSE)</f>
        <v xml:space="preserve"> Vinni pajusti Gümnaasium</v>
      </c>
      <c r="D167" s="95" t="str">
        <f>VLOOKUP(Table1[[#This Row],[Tegevusala]],Table4[[Tegevusala kood]:[Tegevusala alanimetus]],4,FALSE)</f>
        <v>Põhihariduse otsekulud</v>
      </c>
      <c r="E167" s="91" t="str">
        <f>VLOOKUP(C167,Table4[[Tegevusala nimetus]:[Tegevusala koondnimetus]],2,FALSE)</f>
        <v>Haridus</v>
      </c>
      <c r="F167" s="91" t="s">
        <v>1449</v>
      </c>
      <c r="G167" s="91" t="s">
        <v>479</v>
      </c>
      <c r="H167" s="91">
        <v>0.5</v>
      </c>
      <c r="I167" s="91"/>
      <c r="J167" s="91">
        <v>584</v>
      </c>
      <c r="K167" s="91">
        <f t="shared" si="22"/>
        <v>292</v>
      </c>
      <c r="L167" s="91">
        <v>12</v>
      </c>
      <c r="M167" s="91"/>
      <c r="N167" s="93">
        <f>(K167*Table1[[#This Row],[Ühik2]])+M167</f>
        <v>3504</v>
      </c>
      <c r="O167" s="93">
        <f>Table1[[#This Row],[2020. EA ]]*0.338</f>
        <v>1184.3520000000001</v>
      </c>
      <c r="P167" s="91"/>
    </row>
    <row r="168" spans="1:18" x14ac:dyDescent="0.25">
      <c r="A168" s="91" t="str">
        <f t="shared" si="26"/>
        <v>09</v>
      </c>
      <c r="B168" s="92" t="s">
        <v>345</v>
      </c>
      <c r="C168" s="91" t="str">
        <f>VLOOKUP(B168,Table4[],2,FALSE)</f>
        <v xml:space="preserve"> Vinni pajusti Gümnaasium</v>
      </c>
      <c r="D168" s="95" t="str">
        <f>VLOOKUP(Table1[[#This Row],[Tegevusala]],Table4[[Tegevusala kood]:[Tegevusala alanimetus]],4,FALSE)</f>
        <v>Põhihariduse otsekulud</v>
      </c>
      <c r="E168" s="91" t="str">
        <f>VLOOKUP(C168,Table4[[Tegevusala nimetus]:[Tegevusala koondnimetus]],2,FALSE)</f>
        <v>Haridus</v>
      </c>
      <c r="F168" s="91" t="s">
        <v>1449</v>
      </c>
      <c r="G168" s="91" t="s">
        <v>479</v>
      </c>
      <c r="H168" s="91">
        <v>0.5</v>
      </c>
      <c r="I168" s="91"/>
      <c r="J168" s="91">
        <v>584</v>
      </c>
      <c r="K168" s="91">
        <f t="shared" si="22"/>
        <v>292</v>
      </c>
      <c r="L168" s="91">
        <v>12</v>
      </c>
      <c r="M168" s="91"/>
      <c r="N168" s="93">
        <f>(K168*Table1[[#This Row],[Ühik2]])+M168</f>
        <v>3504</v>
      </c>
      <c r="O168" s="93">
        <f>Table1[[#This Row],[2020. EA ]]*0.338</f>
        <v>1184.3520000000001</v>
      </c>
      <c r="P168" s="91"/>
    </row>
    <row r="169" spans="1:18" x14ac:dyDescent="0.25">
      <c r="A169" s="14" t="str">
        <f t="shared" si="26"/>
        <v>09</v>
      </c>
      <c r="B169" t="s">
        <v>345</v>
      </c>
      <c r="C169" s="14" t="str">
        <f>VLOOKUP(B169,Table4[],2,FALSE)</f>
        <v xml:space="preserve"> Vinni pajusti Gümnaasium</v>
      </c>
      <c r="D169" s="39" t="str">
        <f>VLOOKUP(Table1[[#This Row],[Tegevusala]],Table4[[Tegevusala kood]:[Tegevusala alanimetus]],4,FALSE)</f>
        <v>Põhihariduse otsekulud</v>
      </c>
      <c r="E169" s="14" t="str">
        <f>VLOOKUP(C169,Table4[[Tegevusala nimetus]:[Tegevusala koondnimetus]],2,FALSE)</f>
        <v>Haridus</v>
      </c>
      <c r="F169" s="14" t="s">
        <v>1449</v>
      </c>
      <c r="G169" s="14" t="s">
        <v>1372</v>
      </c>
      <c r="H169" s="14">
        <v>1</v>
      </c>
      <c r="I169" s="14"/>
      <c r="J169" s="14">
        <v>1100</v>
      </c>
      <c r="K169" s="14">
        <f t="shared" si="22"/>
        <v>1100</v>
      </c>
      <c r="L169" s="14">
        <v>12</v>
      </c>
      <c r="M169" s="14"/>
      <c r="N169" s="44">
        <f>(K169*Table1[[#This Row],[Ühik2]])+M169</f>
        <v>13200</v>
      </c>
      <c r="O169" s="44">
        <f>Table1[[#This Row],[2020. EA ]]*0.338</f>
        <v>4461.6000000000004</v>
      </c>
      <c r="P169" s="14"/>
    </row>
    <row r="170" spans="1:18" x14ac:dyDescent="0.25">
      <c r="A170" s="14" t="str">
        <f t="shared" si="26"/>
        <v>09</v>
      </c>
      <c r="B170" t="s">
        <v>345</v>
      </c>
      <c r="C170" s="14" t="str">
        <f>VLOOKUP(B170,Table4[],2,FALSE)</f>
        <v xml:space="preserve"> Vinni pajusti Gümnaasium</v>
      </c>
      <c r="D170" s="39" t="str">
        <f>VLOOKUP(Table1[[#This Row],[Tegevusala]],Table4[[Tegevusala kood]:[Tegevusala alanimetus]],4,FALSE)</f>
        <v>Põhihariduse otsekulud</v>
      </c>
      <c r="E170" s="14" t="str">
        <f>VLOOKUP(C170,Table4[[Tegevusala nimetus]:[Tegevusala koondnimetus]],2,FALSE)</f>
        <v>Haridus</v>
      </c>
      <c r="F170" s="14" t="s">
        <v>1449</v>
      </c>
      <c r="G170" s="14" t="s">
        <v>1405</v>
      </c>
      <c r="H170" s="14">
        <v>0.5</v>
      </c>
      <c r="I170" s="14"/>
      <c r="J170" s="14">
        <v>700</v>
      </c>
      <c r="K170" s="14">
        <f t="shared" si="22"/>
        <v>350</v>
      </c>
      <c r="L170" s="14">
        <v>12</v>
      </c>
      <c r="M170" s="14"/>
      <c r="N170" s="44">
        <f>(K170*Table1[[#This Row],[Ühik2]])+M170</f>
        <v>4200</v>
      </c>
      <c r="O170" s="44">
        <f>Table1[[#This Row],[2020. EA ]]*0.338</f>
        <v>1419.6000000000001</v>
      </c>
      <c r="P170" s="14"/>
    </row>
    <row r="171" spans="1:18" x14ac:dyDescent="0.25">
      <c r="A171" s="14" t="str">
        <f t="shared" si="26"/>
        <v>09</v>
      </c>
      <c r="B171" t="s">
        <v>345</v>
      </c>
      <c r="C171" s="14" t="str">
        <f>VLOOKUP(B171,Table4[],2,FALSE)</f>
        <v xml:space="preserve"> Vinni pajusti Gümnaasium</v>
      </c>
      <c r="D171" s="39" t="str">
        <f>VLOOKUP(Table1[[#This Row],[Tegevusala]],Table4[[Tegevusala kood]:[Tegevusala alanimetus]],4,FALSE)</f>
        <v>Põhihariduse otsekulud</v>
      </c>
      <c r="E171" s="14" t="str">
        <f>VLOOKUP(C171,Table4[[Tegevusala nimetus]:[Tegevusala koondnimetus]],2,FALSE)</f>
        <v>Haridus</v>
      </c>
      <c r="F171" s="14" t="s">
        <v>1449</v>
      </c>
      <c r="G171" s="14" t="s">
        <v>1406</v>
      </c>
      <c r="H171" s="14">
        <v>0.05</v>
      </c>
      <c r="I171" s="14"/>
      <c r="J171" s="14">
        <v>1315</v>
      </c>
      <c r="K171" s="14">
        <f t="shared" si="22"/>
        <v>65.75</v>
      </c>
      <c r="L171" s="14">
        <v>12</v>
      </c>
      <c r="M171" s="14"/>
      <c r="N171" s="44">
        <f>(K171*Table1[[#This Row],[Ühik2]])+M171</f>
        <v>789</v>
      </c>
      <c r="O171" s="44">
        <f>Table1[[#This Row],[2020. EA ]]*0.338</f>
        <v>266.68200000000002</v>
      </c>
      <c r="P171" s="14"/>
    </row>
    <row r="172" spans="1:18" x14ac:dyDescent="0.25">
      <c r="A172" s="14" t="str">
        <f t="shared" si="26"/>
        <v>09</v>
      </c>
      <c r="B172" t="s">
        <v>345</v>
      </c>
      <c r="C172" s="14" t="str">
        <f>VLOOKUP(B172,Table4[],2,FALSE)</f>
        <v xml:space="preserve"> Vinni pajusti Gümnaasium</v>
      </c>
      <c r="D172" s="39" t="str">
        <f>VLOOKUP(Table1[[#This Row],[Tegevusala]],Table4[[Tegevusala kood]:[Tegevusala alanimetus]],4,FALSE)</f>
        <v>Põhihariduse otsekulud</v>
      </c>
      <c r="E172" s="14" t="str">
        <f>VLOOKUP(C172,Table4[[Tegevusala nimetus]:[Tegevusala koondnimetus]],2,FALSE)</f>
        <v>Haridus</v>
      </c>
      <c r="F172" s="14" t="s">
        <v>1449</v>
      </c>
      <c r="G172" s="14" t="s">
        <v>1407</v>
      </c>
      <c r="H172" s="14">
        <v>0.05</v>
      </c>
      <c r="I172" s="14"/>
      <c r="J172" s="14">
        <v>700</v>
      </c>
      <c r="K172" s="14">
        <f t="shared" si="22"/>
        <v>35</v>
      </c>
      <c r="L172" s="37">
        <v>10</v>
      </c>
      <c r="M172" s="14"/>
      <c r="N172" s="44">
        <f>(K172*Table1[[#This Row],[Ühik2]])+M172</f>
        <v>350</v>
      </c>
      <c r="O172" s="44">
        <f>Table1[[#This Row],[2020. EA ]]*0.338</f>
        <v>118.30000000000001</v>
      </c>
      <c r="P172" s="14"/>
    </row>
    <row r="173" spans="1:18" x14ac:dyDescent="0.25">
      <c r="A173" s="14" t="str">
        <f t="shared" si="26"/>
        <v>09</v>
      </c>
      <c r="B173" t="s">
        <v>345</v>
      </c>
      <c r="C173" s="14" t="str">
        <f>VLOOKUP(B173,Table4[],2,FALSE)</f>
        <v xml:space="preserve"> Vinni pajusti Gümnaasium</v>
      </c>
      <c r="D173" s="39" t="str">
        <f>VLOOKUP(Table1[[#This Row],[Tegevusala]],Table4[[Tegevusala kood]:[Tegevusala alanimetus]],4,FALSE)</f>
        <v>Põhihariduse otsekulud</v>
      </c>
      <c r="E173" s="14" t="str">
        <f>VLOOKUP(C173,Table4[[Tegevusala nimetus]:[Tegevusala koondnimetus]],2,FALSE)</f>
        <v>Haridus</v>
      </c>
      <c r="F173" s="14" t="s">
        <v>1449</v>
      </c>
      <c r="G173" s="14" t="s">
        <v>1407</v>
      </c>
      <c r="H173" s="14">
        <v>0.05</v>
      </c>
      <c r="I173" s="14"/>
      <c r="J173" s="14">
        <v>700</v>
      </c>
      <c r="K173" s="14">
        <f t="shared" si="22"/>
        <v>35</v>
      </c>
      <c r="L173" s="37">
        <v>10</v>
      </c>
      <c r="M173" s="14"/>
      <c r="N173" s="44">
        <f>(K173*Table1[[#This Row],[Ühik2]])+M173</f>
        <v>350</v>
      </c>
      <c r="O173" s="44">
        <f>Table1[[#This Row],[2020. EA ]]*0.338</f>
        <v>118.30000000000001</v>
      </c>
      <c r="P173" s="14"/>
    </row>
    <row r="174" spans="1:18" x14ac:dyDescent="0.25">
      <c r="A174" s="14" t="str">
        <f t="shared" si="26"/>
        <v>09</v>
      </c>
      <c r="B174" t="s">
        <v>345</v>
      </c>
      <c r="C174" s="14" t="str">
        <f>VLOOKUP(B174,Table4[],2,FALSE)</f>
        <v xml:space="preserve"> Vinni pajusti Gümnaasium</v>
      </c>
      <c r="D174" s="39" t="str">
        <f>VLOOKUP(Table1[[#This Row],[Tegevusala]],Table4[[Tegevusala kood]:[Tegevusala alanimetus]],4,FALSE)</f>
        <v>Põhihariduse otsekulud</v>
      </c>
      <c r="E174" s="14" t="str">
        <f>VLOOKUP(C174,Table4[[Tegevusala nimetus]:[Tegevusala koondnimetus]],2,FALSE)</f>
        <v>Haridus</v>
      </c>
      <c r="F174" s="14" t="s">
        <v>1449</v>
      </c>
      <c r="G174" s="14" t="s">
        <v>1407</v>
      </c>
      <c r="H174" s="14">
        <v>7.0000000000000007E-2</v>
      </c>
      <c r="I174" s="14"/>
      <c r="J174" s="14">
        <v>700</v>
      </c>
      <c r="K174" s="14">
        <f t="shared" si="22"/>
        <v>49.000000000000007</v>
      </c>
      <c r="L174" s="37">
        <v>10</v>
      </c>
      <c r="M174" s="14"/>
      <c r="N174" s="44">
        <f>(K174*Table1[[#This Row],[Ühik2]])+M174</f>
        <v>490.00000000000006</v>
      </c>
      <c r="O174" s="44">
        <f>Table1[[#This Row],[2020. EA ]]*0.338</f>
        <v>165.62000000000003</v>
      </c>
      <c r="P174" s="14"/>
    </row>
    <row r="175" spans="1:18" x14ac:dyDescent="0.25">
      <c r="A175" s="14" t="str">
        <f t="shared" si="26"/>
        <v>09</v>
      </c>
      <c r="B175" t="s">
        <v>345</v>
      </c>
      <c r="C175" s="14" t="str">
        <f>VLOOKUP(B175,Table4[],2,FALSE)</f>
        <v xml:space="preserve"> Vinni pajusti Gümnaasium</v>
      </c>
      <c r="D175" s="39" t="str">
        <f>VLOOKUP(Table1[[#This Row],[Tegevusala]],Table4[[Tegevusala kood]:[Tegevusala alanimetus]],4,FALSE)</f>
        <v>Põhihariduse otsekulud</v>
      </c>
      <c r="E175" s="14" t="str">
        <f>VLOOKUP(C175,Table4[[Tegevusala nimetus]:[Tegevusala koondnimetus]],2,FALSE)</f>
        <v>Haridus</v>
      </c>
      <c r="F175" s="14" t="s">
        <v>1449</v>
      </c>
      <c r="G175" s="14" t="s">
        <v>1407</v>
      </c>
      <c r="H175" s="14">
        <v>0.09</v>
      </c>
      <c r="I175" s="14"/>
      <c r="J175" s="14">
        <v>700</v>
      </c>
      <c r="K175" s="14">
        <f t="shared" si="22"/>
        <v>63</v>
      </c>
      <c r="L175" s="37">
        <v>10</v>
      </c>
      <c r="M175" s="14"/>
      <c r="N175" s="44">
        <f>(K175*Table1[[#This Row],[Ühik2]])+M175</f>
        <v>630</v>
      </c>
      <c r="O175" s="44">
        <f>Table1[[#This Row],[2020. EA ]]*0.338</f>
        <v>212.94000000000003</v>
      </c>
      <c r="P175" s="14"/>
    </row>
    <row r="176" spans="1:18" x14ac:dyDescent="0.25">
      <c r="A176" s="14" t="str">
        <f t="shared" si="26"/>
        <v>09</v>
      </c>
      <c r="B176" t="s">
        <v>345</v>
      </c>
      <c r="C176" s="14" t="str">
        <f>VLOOKUP(B176,Table4[],2,FALSE)</f>
        <v xml:space="preserve"> Vinni pajusti Gümnaasium</v>
      </c>
      <c r="D176" s="39" t="str">
        <f>VLOOKUP(Table1[[#This Row],[Tegevusala]],Table4[[Tegevusala kood]:[Tegevusala alanimetus]],4,FALSE)</f>
        <v>Põhihariduse otsekulud</v>
      </c>
      <c r="E176" s="14" t="str">
        <f>VLOOKUP(C176,Table4[[Tegevusala nimetus]:[Tegevusala koondnimetus]],2,FALSE)</f>
        <v>Haridus</v>
      </c>
      <c r="F176" s="14" t="s">
        <v>1449</v>
      </c>
      <c r="G176" s="14" t="s">
        <v>1407</v>
      </c>
      <c r="H176" s="14">
        <v>0.09</v>
      </c>
      <c r="I176" s="14"/>
      <c r="J176" s="14">
        <v>700</v>
      </c>
      <c r="K176" s="14">
        <f t="shared" si="22"/>
        <v>63</v>
      </c>
      <c r="L176" s="37">
        <v>10</v>
      </c>
      <c r="M176" s="14"/>
      <c r="N176" s="44">
        <f>(K176*Table1[[#This Row],[Ühik2]])+M176</f>
        <v>630</v>
      </c>
      <c r="O176" s="44">
        <f>Table1[[#This Row],[2020. EA ]]*0.338</f>
        <v>212.94000000000003</v>
      </c>
      <c r="P176" s="14"/>
    </row>
    <row r="177" spans="1:18" x14ac:dyDescent="0.25">
      <c r="A177" s="14" t="str">
        <f t="shared" si="26"/>
        <v>09</v>
      </c>
      <c r="B177" t="s">
        <v>345</v>
      </c>
      <c r="C177" s="14" t="str">
        <f>VLOOKUP(B177,Table4[],2,FALSE)</f>
        <v xml:space="preserve"> Vinni pajusti Gümnaasium</v>
      </c>
      <c r="D177" s="39" t="str">
        <f>VLOOKUP(Table1[[#This Row],[Tegevusala]],Table4[[Tegevusala kood]:[Tegevusala alanimetus]],4,FALSE)</f>
        <v>Põhihariduse otsekulud</v>
      </c>
      <c r="E177" s="14" t="str">
        <f>VLOOKUP(C177,Table4[[Tegevusala nimetus]:[Tegevusala koondnimetus]],2,FALSE)</f>
        <v>Haridus</v>
      </c>
      <c r="F177" s="14" t="s">
        <v>1449</v>
      </c>
      <c r="G177" s="14" t="s">
        <v>1407</v>
      </c>
      <c r="H177" s="14">
        <v>0.09</v>
      </c>
      <c r="I177" s="14"/>
      <c r="J177" s="14">
        <v>700</v>
      </c>
      <c r="K177" s="14">
        <f t="shared" si="22"/>
        <v>63</v>
      </c>
      <c r="L177" s="37">
        <v>10</v>
      </c>
      <c r="M177" s="14"/>
      <c r="N177" s="44">
        <f>(K177*Table1[[#This Row],[Ühik2]])+M177</f>
        <v>630</v>
      </c>
      <c r="O177" s="44">
        <f>Table1[[#This Row],[2020. EA ]]*0.338</f>
        <v>212.94000000000003</v>
      </c>
      <c r="P177" s="14"/>
    </row>
    <row r="178" spans="1:18" x14ac:dyDescent="0.25">
      <c r="A178" s="14" t="str">
        <f t="shared" si="26"/>
        <v>09</v>
      </c>
      <c r="B178" t="s">
        <v>345</v>
      </c>
      <c r="C178" s="14" t="str">
        <f>VLOOKUP(B178,Table4[],2,FALSE)</f>
        <v xml:space="preserve"> Vinni pajusti Gümnaasium</v>
      </c>
      <c r="D178" s="39" t="str">
        <f>VLOOKUP(Table1[[#This Row],[Tegevusala]],Table4[[Tegevusala kood]:[Tegevusala alanimetus]],4,FALSE)</f>
        <v>Põhihariduse otsekulud</v>
      </c>
      <c r="E178" s="14" t="str">
        <f>VLOOKUP(C178,Table4[[Tegevusala nimetus]:[Tegevusala koondnimetus]],2,FALSE)</f>
        <v>Haridus</v>
      </c>
      <c r="F178" s="14" t="s">
        <v>1449</v>
      </c>
      <c r="G178" s="14" t="s">
        <v>1407</v>
      </c>
      <c r="H178" s="14">
        <v>0.11</v>
      </c>
      <c r="I178" s="14"/>
      <c r="J178" s="14">
        <v>700</v>
      </c>
      <c r="K178" s="14">
        <f t="shared" si="22"/>
        <v>77</v>
      </c>
      <c r="L178" s="37">
        <v>10</v>
      </c>
      <c r="M178" s="14"/>
      <c r="N178" s="44">
        <f>(K178*Table1[[#This Row],[Ühik2]])+M178</f>
        <v>770</v>
      </c>
      <c r="O178" s="44">
        <f>Table1[[#This Row],[2020. EA ]]*0.338</f>
        <v>260.26</v>
      </c>
      <c r="P178" s="14"/>
    </row>
    <row r="179" spans="1:18" x14ac:dyDescent="0.25">
      <c r="A179" s="14" t="str">
        <f t="shared" si="26"/>
        <v>09</v>
      </c>
      <c r="B179" t="s">
        <v>345</v>
      </c>
      <c r="C179" s="14" t="str">
        <f>VLOOKUP(B179,Table4[],2,FALSE)</f>
        <v xml:space="preserve"> Vinni pajusti Gümnaasium</v>
      </c>
      <c r="D179" s="39" t="str">
        <f>VLOOKUP(Table1[[#This Row],[Tegevusala]],Table4[[Tegevusala kood]:[Tegevusala alanimetus]],4,FALSE)</f>
        <v>Põhihariduse otsekulud</v>
      </c>
      <c r="E179" s="14" t="str">
        <f>VLOOKUP(C179,Table4[[Tegevusala nimetus]:[Tegevusala koondnimetus]],2,FALSE)</f>
        <v>Haridus</v>
      </c>
      <c r="F179" s="14" t="s">
        <v>1449</v>
      </c>
      <c r="G179" s="14" t="s">
        <v>1407</v>
      </c>
      <c r="H179" s="14">
        <v>0.14000000000000001</v>
      </c>
      <c r="I179" s="14"/>
      <c r="J179" s="14">
        <v>700</v>
      </c>
      <c r="K179" s="14">
        <f t="shared" si="22"/>
        <v>98.000000000000014</v>
      </c>
      <c r="L179" s="37">
        <v>10</v>
      </c>
      <c r="M179" s="14"/>
      <c r="N179" s="44">
        <f>(K179*Table1[[#This Row],[Ühik2]])+M179</f>
        <v>980.00000000000011</v>
      </c>
      <c r="O179" s="44">
        <f>Table1[[#This Row],[2020. EA ]]*0.338</f>
        <v>331.24000000000007</v>
      </c>
      <c r="P179" s="14"/>
    </row>
    <row r="180" spans="1:18" x14ac:dyDescent="0.25">
      <c r="A180" s="14" t="str">
        <f t="shared" si="26"/>
        <v>09</v>
      </c>
      <c r="B180" t="s">
        <v>345</v>
      </c>
      <c r="C180" s="14" t="str">
        <f>VLOOKUP(B180,Table4[],2,FALSE)</f>
        <v xml:space="preserve"> Vinni pajusti Gümnaasium</v>
      </c>
      <c r="D180" s="39" t="str">
        <f>VLOOKUP(Table1[[#This Row],[Tegevusala]],Table4[[Tegevusala kood]:[Tegevusala alanimetus]],4,FALSE)</f>
        <v>Põhihariduse otsekulud</v>
      </c>
      <c r="E180" s="14" t="str">
        <f>VLOOKUP(C180,Table4[[Tegevusala nimetus]:[Tegevusala koondnimetus]],2,FALSE)</f>
        <v>Haridus</v>
      </c>
      <c r="F180" s="14" t="s">
        <v>1449</v>
      </c>
      <c r="G180" s="14" t="s">
        <v>1407</v>
      </c>
      <c r="H180" s="14">
        <v>0.14000000000000001</v>
      </c>
      <c r="I180" s="14"/>
      <c r="J180" s="14">
        <v>700</v>
      </c>
      <c r="K180" s="14">
        <f t="shared" si="22"/>
        <v>98.000000000000014</v>
      </c>
      <c r="L180" s="37">
        <v>10</v>
      </c>
      <c r="M180" s="14"/>
      <c r="N180" s="44">
        <f>(K180*Table1[[#This Row],[Ühik2]])+M180</f>
        <v>980.00000000000011</v>
      </c>
      <c r="O180" s="44">
        <f>Table1[[#This Row],[2020. EA ]]*0.338</f>
        <v>331.24000000000007</v>
      </c>
      <c r="P180" s="14"/>
    </row>
    <row r="181" spans="1:18" x14ac:dyDescent="0.25">
      <c r="A181" s="14" t="str">
        <f t="shared" si="26"/>
        <v>09</v>
      </c>
      <c r="B181" t="s">
        <v>345</v>
      </c>
      <c r="C181" s="14" t="str">
        <f>VLOOKUP(B181,Table4[],2,FALSE)</f>
        <v xml:space="preserve"> Vinni pajusti Gümnaasium</v>
      </c>
      <c r="D181" s="39" t="str">
        <f>VLOOKUP(Table1[[#This Row],[Tegevusala]],Table4[[Tegevusala kood]:[Tegevusala alanimetus]],4,FALSE)</f>
        <v>Põhihariduse otsekulud</v>
      </c>
      <c r="E181" s="14" t="str">
        <f>VLOOKUP(C181,Table4[[Tegevusala nimetus]:[Tegevusala koondnimetus]],2,FALSE)</f>
        <v>Haridus</v>
      </c>
      <c r="F181" s="14" t="s">
        <v>1449</v>
      </c>
      <c r="G181" s="14" t="s">
        <v>1407</v>
      </c>
      <c r="H181" s="14">
        <v>0.14000000000000001</v>
      </c>
      <c r="I181" s="14"/>
      <c r="J181" s="14">
        <v>700</v>
      </c>
      <c r="K181" s="14">
        <f t="shared" si="22"/>
        <v>98.000000000000014</v>
      </c>
      <c r="L181" s="37">
        <v>10</v>
      </c>
      <c r="M181" s="14"/>
      <c r="N181" s="44">
        <f>(K181*Table1[[#This Row],[Ühik2]])+M181</f>
        <v>980.00000000000011</v>
      </c>
      <c r="O181" s="44">
        <f>Table1[[#This Row],[2020. EA ]]*0.338</f>
        <v>331.24000000000007</v>
      </c>
      <c r="P181" s="14"/>
    </row>
    <row r="182" spans="1:18" x14ac:dyDescent="0.25">
      <c r="A182" s="14" t="str">
        <f t="shared" ref="A182:A213" si="27">LEFT(B182,2)</f>
        <v>09</v>
      </c>
      <c r="B182" t="s">
        <v>345</v>
      </c>
      <c r="C182" s="14" t="str">
        <f>VLOOKUP(B182,Table4[],2,FALSE)</f>
        <v xml:space="preserve"> Vinni pajusti Gümnaasium</v>
      </c>
      <c r="D182" s="39" t="str">
        <f>VLOOKUP(Table1[[#This Row],[Tegevusala]],Table4[[Tegevusala kood]:[Tegevusala alanimetus]],4,FALSE)</f>
        <v>Põhihariduse otsekulud</v>
      </c>
      <c r="E182" s="14" t="str">
        <f>VLOOKUP(C182,Table4[[Tegevusala nimetus]:[Tegevusala koondnimetus]],2,FALSE)</f>
        <v>Haridus</v>
      </c>
      <c r="F182" s="14" t="s">
        <v>1449</v>
      </c>
      <c r="G182" s="14" t="s">
        <v>1407</v>
      </c>
      <c r="H182" s="14">
        <v>0.14000000000000001</v>
      </c>
      <c r="I182" s="14"/>
      <c r="J182" s="14">
        <v>700</v>
      </c>
      <c r="K182" s="14">
        <f t="shared" si="22"/>
        <v>98.000000000000014</v>
      </c>
      <c r="L182" s="37">
        <v>10</v>
      </c>
      <c r="M182" s="14"/>
      <c r="N182" s="44">
        <f>(K182*Table1[[#This Row],[Ühik2]])+M182</f>
        <v>980.00000000000011</v>
      </c>
      <c r="O182" s="44">
        <f>Table1[[#This Row],[2020. EA ]]*0.338</f>
        <v>331.24000000000007</v>
      </c>
      <c r="P182" s="14"/>
    </row>
    <row r="183" spans="1:18" x14ac:dyDescent="0.25">
      <c r="A183" s="14" t="str">
        <f t="shared" si="27"/>
        <v>09</v>
      </c>
      <c r="B183" t="s">
        <v>345</v>
      </c>
      <c r="C183" s="14" t="str">
        <f>VLOOKUP(B183,Table4[],2,FALSE)</f>
        <v xml:space="preserve"> Vinni pajusti Gümnaasium</v>
      </c>
      <c r="D183" s="39" t="str">
        <f>VLOOKUP(Table1[[#This Row],[Tegevusala]],Table4[[Tegevusala kood]:[Tegevusala alanimetus]],4,FALSE)</f>
        <v>Põhihariduse otsekulud</v>
      </c>
      <c r="E183" s="14" t="str">
        <f>VLOOKUP(C183,Table4[[Tegevusala nimetus]:[Tegevusala koondnimetus]],2,FALSE)</f>
        <v>Haridus</v>
      </c>
      <c r="F183" s="14" t="s">
        <v>1449</v>
      </c>
      <c r="G183" s="14" t="s">
        <v>1407</v>
      </c>
      <c r="H183" s="14">
        <v>0.23</v>
      </c>
      <c r="I183" s="14"/>
      <c r="J183" s="14">
        <v>700</v>
      </c>
      <c r="K183" s="14">
        <f t="shared" si="22"/>
        <v>161</v>
      </c>
      <c r="L183" s="37">
        <v>10</v>
      </c>
      <c r="M183" s="14"/>
      <c r="N183" s="44">
        <f>(K183*Table1[[#This Row],[Ühik2]])+M183</f>
        <v>1610</v>
      </c>
      <c r="O183" s="44">
        <f>Table1[[#This Row],[2020. EA ]]*0.338</f>
        <v>544.18000000000006</v>
      </c>
      <c r="P183" s="14"/>
    </row>
    <row r="184" spans="1:18" x14ac:dyDescent="0.25">
      <c r="A184" s="14" t="str">
        <f t="shared" si="27"/>
        <v>09</v>
      </c>
      <c r="B184" t="s">
        <v>345</v>
      </c>
      <c r="C184" s="14" t="str">
        <f>VLOOKUP(B184,Table4[],2,FALSE)</f>
        <v xml:space="preserve"> Vinni pajusti Gümnaasium</v>
      </c>
      <c r="D184" s="39" t="str">
        <f>VLOOKUP(Table1[[#This Row],[Tegevusala]],Table4[[Tegevusala kood]:[Tegevusala alanimetus]],4,FALSE)</f>
        <v>Põhihariduse otsekulud</v>
      </c>
      <c r="E184" s="14" t="str">
        <f>VLOOKUP(C184,Table4[[Tegevusala nimetus]:[Tegevusala koondnimetus]],2,FALSE)</f>
        <v>Haridus</v>
      </c>
      <c r="F184" s="14" t="s">
        <v>1449</v>
      </c>
      <c r="G184" s="14" t="s">
        <v>1407</v>
      </c>
      <c r="H184" s="14">
        <v>0.27</v>
      </c>
      <c r="I184" s="14"/>
      <c r="J184" s="14">
        <v>700</v>
      </c>
      <c r="K184" s="14">
        <f t="shared" si="22"/>
        <v>189</v>
      </c>
      <c r="L184" s="37">
        <v>10</v>
      </c>
      <c r="M184" s="14"/>
      <c r="N184" s="44">
        <f>(K184*Table1[[#This Row],[Ühik2]])+M184</f>
        <v>1890</v>
      </c>
      <c r="O184" s="44">
        <f>Table1[[#This Row],[2020. EA ]]*0.338</f>
        <v>638.82000000000005</v>
      </c>
      <c r="P184" s="14"/>
    </row>
    <row r="185" spans="1:18" x14ac:dyDescent="0.25">
      <c r="A185" s="14" t="str">
        <f t="shared" si="27"/>
        <v>09</v>
      </c>
      <c r="B185" t="s">
        <v>345</v>
      </c>
      <c r="C185" s="14" t="str">
        <f>VLOOKUP(B185,Table4[],2,FALSE)</f>
        <v xml:space="preserve"> Vinni pajusti Gümnaasium</v>
      </c>
      <c r="D185" s="39" t="str">
        <f>VLOOKUP(Table1[[#This Row],[Tegevusala]],Table4[[Tegevusala kood]:[Tegevusala alanimetus]],4,FALSE)</f>
        <v>Põhihariduse otsekulud</v>
      </c>
      <c r="E185" s="14" t="str">
        <f>VLOOKUP(C185,Table4[[Tegevusala nimetus]:[Tegevusala koondnimetus]],2,FALSE)</f>
        <v>Haridus</v>
      </c>
      <c r="F185" s="14" t="s">
        <v>1449</v>
      </c>
      <c r="G185" s="14" t="s">
        <v>1408</v>
      </c>
      <c r="H185" s="14">
        <v>1</v>
      </c>
      <c r="I185" s="14"/>
      <c r="J185" s="14">
        <v>1315</v>
      </c>
      <c r="K185" s="14">
        <f t="shared" si="22"/>
        <v>1315</v>
      </c>
      <c r="L185" s="14">
        <v>12</v>
      </c>
      <c r="M185" s="14"/>
      <c r="N185" s="44">
        <f>(K185*Table1[[#This Row],[Ühik2]])+M185</f>
        <v>15780</v>
      </c>
      <c r="O185" s="44">
        <f>Table1[[#This Row],[2020. EA ]]*0.338</f>
        <v>5333.64</v>
      </c>
      <c r="P185" s="14"/>
    </row>
    <row r="186" spans="1:18" x14ac:dyDescent="0.25">
      <c r="A186" s="14" t="str">
        <f t="shared" si="27"/>
        <v>09</v>
      </c>
      <c r="B186" t="s">
        <v>345</v>
      </c>
      <c r="C186" s="14" t="str">
        <f>VLOOKUP(B186,Table4[],2,FALSE)</f>
        <v xml:space="preserve"> Vinni pajusti Gümnaasium</v>
      </c>
      <c r="D186" s="39" t="str">
        <f>VLOOKUP(Table1[[#This Row],[Tegevusala]],Table4[[Tegevusala kood]:[Tegevusala alanimetus]],4,FALSE)</f>
        <v>Põhihariduse otsekulud</v>
      </c>
      <c r="E186" s="14" t="str">
        <f>VLOOKUP(C186,Table4[[Tegevusala nimetus]:[Tegevusala koondnimetus]],2,FALSE)</f>
        <v>Haridus</v>
      </c>
      <c r="F186" s="14" t="s">
        <v>1449</v>
      </c>
      <c r="G186" s="14" t="s">
        <v>528</v>
      </c>
      <c r="H186" s="14">
        <v>1</v>
      </c>
      <c r="I186" s="14"/>
      <c r="J186" s="14">
        <v>700</v>
      </c>
      <c r="K186" s="14">
        <f t="shared" si="22"/>
        <v>700</v>
      </c>
      <c r="L186" s="14">
        <v>12</v>
      </c>
      <c r="M186" s="14"/>
      <c r="N186" s="44">
        <f>(K186*Table1[[#This Row],[Ühik2]])+M186</f>
        <v>8400</v>
      </c>
      <c r="O186" s="44">
        <f>Table1[[#This Row],[2020. EA ]]*0.338</f>
        <v>2839.2000000000003</v>
      </c>
      <c r="P186" s="14"/>
    </row>
    <row r="187" spans="1:18" x14ac:dyDescent="0.25">
      <c r="A187" s="91" t="str">
        <f t="shared" si="27"/>
        <v>09</v>
      </c>
      <c r="B187" s="92" t="s">
        <v>345</v>
      </c>
      <c r="C187" s="91" t="str">
        <f>VLOOKUP(B187,Table4[],2,FALSE)</f>
        <v xml:space="preserve"> Vinni pajusti Gümnaasium</v>
      </c>
      <c r="D187" s="95" t="str">
        <f>VLOOKUP(Table1[[#This Row],[Tegevusala]],Table4[[Tegevusala kood]:[Tegevusala alanimetus]],4,FALSE)</f>
        <v>Põhihariduse otsekulud</v>
      </c>
      <c r="E187" s="91" t="str">
        <f>VLOOKUP(C187,Table4[[Tegevusala nimetus]:[Tegevusala koondnimetus]],2,FALSE)</f>
        <v>Haridus</v>
      </c>
      <c r="F187" s="91" t="s">
        <v>1449</v>
      </c>
      <c r="G187" s="91" t="s">
        <v>481</v>
      </c>
      <c r="H187" s="91">
        <v>1</v>
      </c>
      <c r="I187" s="91"/>
      <c r="J187" s="91">
        <v>584</v>
      </c>
      <c r="K187" s="91">
        <f t="shared" si="22"/>
        <v>584</v>
      </c>
      <c r="L187" s="91">
        <v>12</v>
      </c>
      <c r="M187" s="91"/>
      <c r="N187" s="93">
        <f>(K187*Table1[[#This Row],[Ühik2]])+M187</f>
        <v>7008</v>
      </c>
      <c r="O187" s="93">
        <f>Table1[[#This Row],[2020. EA ]]*0.338</f>
        <v>2368.7040000000002</v>
      </c>
      <c r="P187" s="91"/>
    </row>
    <row r="188" spans="1:18" x14ac:dyDescent="0.25">
      <c r="A188" s="14" t="str">
        <f t="shared" si="27"/>
        <v>09</v>
      </c>
      <c r="B188" t="s">
        <v>345</v>
      </c>
      <c r="C188" s="14" t="str">
        <f>VLOOKUP(B188,Table4[],2,FALSE)</f>
        <v xml:space="preserve"> Vinni pajusti Gümnaasium</v>
      </c>
      <c r="D188" s="39" t="str">
        <f>VLOOKUP(Table1[[#This Row],[Tegevusala]],Table4[[Tegevusala kood]:[Tegevusala alanimetus]],4,FALSE)</f>
        <v>Põhihariduse otsekulud</v>
      </c>
      <c r="E188" s="14" t="str">
        <f>VLOOKUP(C188,Table4[[Tegevusala nimetus]:[Tegevusala koondnimetus]],2,FALSE)</f>
        <v>Haridus</v>
      </c>
      <c r="F188" s="14" t="s">
        <v>1449</v>
      </c>
      <c r="G188" s="14" t="s">
        <v>1409</v>
      </c>
      <c r="H188" s="14">
        <v>0.09</v>
      </c>
      <c r="I188" s="14"/>
      <c r="J188" s="14">
        <v>700</v>
      </c>
      <c r="K188" s="14">
        <f t="shared" si="22"/>
        <v>63</v>
      </c>
      <c r="L188" s="37">
        <v>10</v>
      </c>
      <c r="M188" s="14"/>
      <c r="N188" s="44">
        <f>(K188*Table1[[#This Row],[Ühik2]])+M188</f>
        <v>630</v>
      </c>
      <c r="O188" s="44">
        <f>Table1[[#This Row],[2020. EA ]]*0.338</f>
        <v>212.94000000000003</v>
      </c>
      <c r="P188" s="14"/>
    </row>
    <row r="189" spans="1:18" x14ac:dyDescent="0.25">
      <c r="A189" s="14" t="str">
        <f t="shared" si="27"/>
        <v>09</v>
      </c>
      <c r="B189" t="s">
        <v>345</v>
      </c>
      <c r="C189" s="14" t="str">
        <f>VLOOKUP(B189,Table4[],2,FALSE)</f>
        <v xml:space="preserve"> Vinni pajusti Gümnaasium</v>
      </c>
      <c r="D189" s="39" t="str">
        <f>VLOOKUP(Table1[[#This Row],[Tegevusala]],Table4[[Tegevusala kood]:[Tegevusala alanimetus]],4,FALSE)</f>
        <v>Põhihariduse otsekulud</v>
      </c>
      <c r="E189" s="14" t="str">
        <f>VLOOKUP(C189,Table4[[Tegevusala nimetus]:[Tegevusala koondnimetus]],2,FALSE)</f>
        <v>Haridus</v>
      </c>
      <c r="F189" s="14" t="s">
        <v>1449</v>
      </c>
      <c r="G189" s="14" t="s">
        <v>1410</v>
      </c>
      <c r="H189" s="14">
        <v>0.27</v>
      </c>
      <c r="I189" s="14"/>
      <c r="J189" s="14">
        <v>700</v>
      </c>
      <c r="K189" s="14">
        <f t="shared" si="22"/>
        <v>189</v>
      </c>
      <c r="L189" s="37">
        <v>10</v>
      </c>
      <c r="M189" s="14"/>
      <c r="N189" s="44">
        <f>(K189*Table1[[#This Row],[Ühik2]])+M189</f>
        <v>1890</v>
      </c>
      <c r="O189" s="44">
        <f>Table1[[#This Row],[2020. EA ]]*0.338</f>
        <v>638.82000000000005</v>
      </c>
      <c r="P189" s="14"/>
    </row>
    <row r="190" spans="1:18" x14ac:dyDescent="0.25">
      <c r="A190" s="14" t="str">
        <f t="shared" si="27"/>
        <v>09</v>
      </c>
      <c r="B190" t="s">
        <v>345</v>
      </c>
      <c r="C190" s="14" t="str">
        <f>VLOOKUP(B190,Table4[],2,FALSE)</f>
        <v xml:space="preserve"> Vinni pajusti Gümnaasium</v>
      </c>
      <c r="D190" s="39" t="str">
        <f>VLOOKUP(Table1[[#This Row],[Tegevusala]],Table4[[Tegevusala kood]:[Tegevusala alanimetus]],4,FALSE)</f>
        <v>Põhihariduse otsekulud</v>
      </c>
      <c r="E190" s="14" t="str">
        <f>VLOOKUP(C190,Table4[[Tegevusala nimetus]:[Tegevusala koondnimetus]],2,FALSE)</f>
        <v>Haridus</v>
      </c>
      <c r="F190" s="14" t="s">
        <v>1449</v>
      </c>
      <c r="G190" s="14" t="s">
        <v>1411</v>
      </c>
      <c r="H190" s="14">
        <v>0.27</v>
      </c>
      <c r="I190" s="14"/>
      <c r="J190" s="14">
        <v>700</v>
      </c>
      <c r="K190" s="14">
        <f t="shared" si="22"/>
        <v>189</v>
      </c>
      <c r="L190" s="37">
        <v>10</v>
      </c>
      <c r="M190" s="14"/>
      <c r="N190" s="44">
        <f>(K190*Table1[[#This Row],[Ühik2]])+M190</f>
        <v>1890</v>
      </c>
      <c r="O190" s="44">
        <f>Table1[[#This Row],[2020. EA ]]*0.338</f>
        <v>638.82000000000005</v>
      </c>
      <c r="P190" s="14"/>
      <c r="R190" t="s">
        <v>2065</v>
      </c>
    </row>
    <row r="191" spans="1:18" x14ac:dyDescent="0.25">
      <c r="A191" s="14" t="str">
        <f t="shared" si="27"/>
        <v>09</v>
      </c>
      <c r="B191" t="s">
        <v>345</v>
      </c>
      <c r="C191" s="14" t="str">
        <f>VLOOKUP(B191,Table4[],2,FALSE)</f>
        <v xml:space="preserve"> Vinni pajusti Gümnaasium</v>
      </c>
      <c r="D191" s="39" t="str">
        <f>VLOOKUP(Table1[[#This Row],[Tegevusala]],Table4[[Tegevusala kood]:[Tegevusala alanimetus]],4,FALSE)</f>
        <v>Põhihariduse otsekulud</v>
      </c>
      <c r="E191" s="14" t="str">
        <f>VLOOKUP(C191,Table4[[Tegevusala nimetus]:[Tegevusala koondnimetus]],2,FALSE)</f>
        <v>Haridus</v>
      </c>
      <c r="F191" s="14" t="s">
        <v>1449</v>
      </c>
      <c r="G191" s="14" t="s">
        <v>1412</v>
      </c>
      <c r="H191" s="14">
        <v>0.09</v>
      </c>
      <c r="I191" s="14"/>
      <c r="J191" s="14">
        <v>700</v>
      </c>
      <c r="K191" s="14">
        <f t="shared" ref="K191:K254" si="28">H191*J191</f>
        <v>63</v>
      </c>
      <c r="L191" s="37">
        <v>10</v>
      </c>
      <c r="M191" s="14"/>
      <c r="N191" s="44">
        <f>(K191*Table1[[#This Row],[Ühik2]])+M191</f>
        <v>630</v>
      </c>
      <c r="O191" s="44">
        <f>Table1[[#This Row],[2020. EA ]]*0.338</f>
        <v>212.94000000000003</v>
      </c>
      <c r="P191" s="14"/>
    </row>
    <row r="192" spans="1:18" x14ac:dyDescent="0.25">
      <c r="A192" s="14" t="str">
        <f t="shared" si="27"/>
        <v>09</v>
      </c>
      <c r="B192" t="s">
        <v>345</v>
      </c>
      <c r="C192" s="14" t="str">
        <f>VLOOKUP(B192,Table4[],2,FALSE)</f>
        <v xml:space="preserve"> Vinni pajusti Gümnaasium</v>
      </c>
      <c r="D192" s="39" t="str">
        <f>VLOOKUP(Table1[[#This Row],[Tegevusala]],Table4[[Tegevusala kood]:[Tegevusala alanimetus]],4,FALSE)</f>
        <v>Põhihariduse otsekulud</v>
      </c>
      <c r="E192" s="14" t="str">
        <f>VLOOKUP(C192,Table4[[Tegevusala nimetus]:[Tegevusala koondnimetus]],2,FALSE)</f>
        <v>Haridus</v>
      </c>
      <c r="F192" s="14" t="s">
        <v>1449</v>
      </c>
      <c r="G192" s="14" t="s">
        <v>1413</v>
      </c>
      <c r="H192" s="14">
        <v>1</v>
      </c>
      <c r="I192" s="14"/>
      <c r="J192" s="14">
        <v>700</v>
      </c>
      <c r="K192" s="14">
        <f t="shared" si="28"/>
        <v>700</v>
      </c>
      <c r="L192" s="37">
        <v>10</v>
      </c>
      <c r="M192" s="14"/>
      <c r="N192" s="44">
        <f>(K192*Table1[[#This Row],[Ühik2]])+M192</f>
        <v>7000</v>
      </c>
      <c r="O192" s="44">
        <f>Table1[[#This Row],[2020. EA ]]*0.338</f>
        <v>2366</v>
      </c>
      <c r="P192" s="14"/>
    </row>
    <row r="193" spans="1:18" x14ac:dyDescent="0.25">
      <c r="A193" s="14" t="str">
        <f t="shared" si="27"/>
        <v>09</v>
      </c>
      <c r="B193" t="s">
        <v>345</v>
      </c>
      <c r="C193" s="14" t="str">
        <f>VLOOKUP(B193,Table4[],2,FALSE)</f>
        <v xml:space="preserve"> Vinni pajusti Gümnaasium</v>
      </c>
      <c r="D193" s="39" t="str">
        <f>VLOOKUP(Table1[[#This Row],[Tegevusala]],Table4[[Tegevusala kood]:[Tegevusala alanimetus]],4,FALSE)</f>
        <v>Põhihariduse otsekulud</v>
      </c>
      <c r="E193" s="14" t="str">
        <f>VLOOKUP(C193,Table4[[Tegevusala nimetus]:[Tegevusala koondnimetus]],2,FALSE)</f>
        <v>Haridus</v>
      </c>
      <c r="F193" s="14" t="s">
        <v>1449</v>
      </c>
      <c r="G193" s="14" t="s">
        <v>1413</v>
      </c>
      <c r="H193" s="14">
        <v>0.45</v>
      </c>
      <c r="I193" s="14"/>
      <c r="J193" s="14">
        <v>700</v>
      </c>
      <c r="K193" s="14">
        <f t="shared" si="28"/>
        <v>315</v>
      </c>
      <c r="L193" s="37">
        <v>10</v>
      </c>
      <c r="M193" s="14"/>
      <c r="N193" s="44">
        <f>(K193*Table1[[#This Row],[Ühik2]])+M193</f>
        <v>3150</v>
      </c>
      <c r="O193" s="44">
        <f>Table1[[#This Row],[2020. EA ]]*0.338</f>
        <v>1064.7</v>
      </c>
      <c r="P193" s="14"/>
    </row>
    <row r="194" spans="1:18" x14ac:dyDescent="0.25">
      <c r="A194" s="14" t="str">
        <f t="shared" si="27"/>
        <v>09</v>
      </c>
      <c r="B194" t="s">
        <v>345</v>
      </c>
      <c r="C194" s="14" t="str">
        <f>VLOOKUP(B194,Table4[],2,FALSE)</f>
        <v xml:space="preserve"> Vinni pajusti Gümnaasium</v>
      </c>
      <c r="D194" s="39" t="str">
        <f>VLOOKUP(Table1[[#This Row],[Tegevusala]],Table4[[Tegevusala kood]:[Tegevusala alanimetus]],4,FALSE)</f>
        <v>Põhihariduse otsekulud</v>
      </c>
      <c r="E194" s="14" t="str">
        <f>VLOOKUP(C194,Table4[[Tegevusala nimetus]:[Tegevusala koondnimetus]],2,FALSE)</f>
        <v>Haridus</v>
      </c>
      <c r="F194" s="14" t="s">
        <v>1449</v>
      </c>
      <c r="G194" s="14" t="s">
        <v>1414</v>
      </c>
      <c r="H194" s="14">
        <v>0.5</v>
      </c>
      <c r="I194" s="14"/>
      <c r="J194" s="14">
        <v>700</v>
      </c>
      <c r="K194" s="14">
        <f t="shared" si="28"/>
        <v>350</v>
      </c>
      <c r="L194" s="37">
        <v>10</v>
      </c>
      <c r="M194" s="14"/>
      <c r="N194" s="44">
        <f>(K194*Table1[[#This Row],[Ühik2]])+M194</f>
        <v>3500</v>
      </c>
      <c r="O194" s="44">
        <f>Table1[[#This Row],[2020. EA ]]*0.338</f>
        <v>1183</v>
      </c>
      <c r="P194" s="14" t="s">
        <v>2215</v>
      </c>
    </row>
    <row r="195" spans="1:18" x14ac:dyDescent="0.25">
      <c r="A195" s="14" t="str">
        <f t="shared" si="27"/>
        <v>09</v>
      </c>
      <c r="B195" t="s">
        <v>345</v>
      </c>
      <c r="C195" s="14" t="str">
        <f>VLOOKUP(B195,Table4[],2,FALSE)</f>
        <v xml:space="preserve"> Vinni pajusti Gümnaasium</v>
      </c>
      <c r="D195" s="39" t="str">
        <f>VLOOKUP(Table1[[#This Row],[Tegevusala]],Table4[[Tegevusala kood]:[Tegevusala alanimetus]],4,FALSE)</f>
        <v>Põhihariduse otsekulud</v>
      </c>
      <c r="E195" s="14" t="str">
        <f>VLOOKUP(C195,Table4[[Tegevusala nimetus]:[Tegevusala koondnimetus]],2,FALSE)</f>
        <v>Haridus</v>
      </c>
      <c r="F195" s="14" t="s">
        <v>1449</v>
      </c>
      <c r="G195" s="14" t="s">
        <v>1415</v>
      </c>
      <c r="H195" s="14">
        <v>0.09</v>
      </c>
      <c r="I195" s="14"/>
      <c r="J195" s="14">
        <v>700</v>
      </c>
      <c r="K195" s="14">
        <f t="shared" si="28"/>
        <v>63</v>
      </c>
      <c r="L195" s="37">
        <v>10</v>
      </c>
      <c r="M195" s="14"/>
      <c r="N195" s="44">
        <f>(K195*Table1[[#This Row],[Ühik2]])+M195</f>
        <v>630</v>
      </c>
      <c r="O195" s="44">
        <f>Table1[[#This Row],[2020. EA ]]*0.338</f>
        <v>212.94000000000003</v>
      </c>
      <c r="P195" s="14"/>
    </row>
    <row r="196" spans="1:18" x14ac:dyDescent="0.25">
      <c r="A196" s="14" t="str">
        <f t="shared" si="27"/>
        <v>09</v>
      </c>
      <c r="B196" t="s">
        <v>345</v>
      </c>
      <c r="C196" s="14" t="str">
        <f>VLOOKUP(B196,Table4[],2,FALSE)</f>
        <v xml:space="preserve"> Vinni pajusti Gümnaasium</v>
      </c>
      <c r="D196" s="39" t="str">
        <f>VLOOKUP(Table1[[#This Row],[Tegevusala]],Table4[[Tegevusala kood]:[Tegevusala alanimetus]],4,FALSE)</f>
        <v>Põhihariduse otsekulud</v>
      </c>
      <c r="E196" s="14" t="str">
        <f>VLOOKUP(C196,Table4[[Tegevusala nimetus]:[Tegevusala koondnimetus]],2,FALSE)</f>
        <v>Haridus</v>
      </c>
      <c r="F196" s="14" t="s">
        <v>1449</v>
      </c>
      <c r="G196" s="14" t="s">
        <v>1416</v>
      </c>
      <c r="H196" s="14">
        <v>0.05</v>
      </c>
      <c r="I196" s="14"/>
      <c r="J196" s="14">
        <v>700</v>
      </c>
      <c r="K196" s="14">
        <f t="shared" si="28"/>
        <v>35</v>
      </c>
      <c r="L196" s="37">
        <v>10</v>
      </c>
      <c r="M196" s="14"/>
      <c r="N196" s="44">
        <f>(K196*Table1[[#This Row],[Ühik2]])+M196</f>
        <v>350</v>
      </c>
      <c r="O196" s="44">
        <f>Table1[[#This Row],[2020. EA ]]*0.338</f>
        <v>118.30000000000001</v>
      </c>
      <c r="P196" s="14"/>
    </row>
    <row r="197" spans="1:18" x14ac:dyDescent="0.25">
      <c r="A197" s="14" t="str">
        <f t="shared" si="27"/>
        <v>09</v>
      </c>
      <c r="B197" t="s">
        <v>345</v>
      </c>
      <c r="C197" s="14" t="str">
        <f>VLOOKUP(B197,Table4[],2,FALSE)</f>
        <v xml:space="preserve"> Vinni pajusti Gümnaasium</v>
      </c>
      <c r="D197" s="39" t="str">
        <f>VLOOKUP(Table1[[#This Row],[Tegevusala]],Table4[[Tegevusala kood]:[Tegevusala alanimetus]],4,FALSE)</f>
        <v>Põhihariduse otsekulud</v>
      </c>
      <c r="E197" s="14" t="str">
        <f>VLOOKUP(C197,Table4[[Tegevusala nimetus]:[Tegevusala koondnimetus]],2,FALSE)</f>
        <v>Haridus</v>
      </c>
      <c r="F197" s="14" t="s">
        <v>1449</v>
      </c>
      <c r="G197" s="14" t="s">
        <v>1417</v>
      </c>
      <c r="H197" s="14">
        <v>0.09</v>
      </c>
      <c r="I197" s="14"/>
      <c r="J197" s="14">
        <v>700</v>
      </c>
      <c r="K197" s="14">
        <f t="shared" si="28"/>
        <v>63</v>
      </c>
      <c r="L197" s="37">
        <v>10</v>
      </c>
      <c r="M197" s="14"/>
      <c r="N197" s="44">
        <f>(K197*Table1[[#This Row],[Ühik2]])+M197</f>
        <v>630</v>
      </c>
      <c r="O197" s="44">
        <f>Table1[[#This Row],[2020. EA ]]*0.338</f>
        <v>212.94000000000003</v>
      </c>
      <c r="P197" s="14"/>
      <c r="R197" t="s">
        <v>2211</v>
      </c>
    </row>
    <row r="198" spans="1:18" x14ac:dyDescent="0.25">
      <c r="A198" s="14" t="str">
        <f t="shared" si="27"/>
        <v>09</v>
      </c>
      <c r="B198" t="s">
        <v>345</v>
      </c>
      <c r="C198" s="14" t="str">
        <f>VLOOKUP(B198,Table4[],2,FALSE)</f>
        <v xml:space="preserve"> Vinni pajusti Gümnaasium</v>
      </c>
      <c r="D198" s="39" t="str">
        <f>VLOOKUP(Table1[[#This Row],[Tegevusala]],Table4[[Tegevusala kood]:[Tegevusala alanimetus]],4,FALSE)</f>
        <v>Põhihariduse otsekulud</v>
      </c>
      <c r="E198" s="14" t="str">
        <f>VLOOKUP(C198,Table4[[Tegevusala nimetus]:[Tegevusala koondnimetus]],2,FALSE)</f>
        <v>Haridus</v>
      </c>
      <c r="F198" s="14" t="s">
        <v>1449</v>
      </c>
      <c r="G198" s="14" t="s">
        <v>1418</v>
      </c>
      <c r="H198" s="14">
        <v>0.09</v>
      </c>
      <c r="I198" s="14"/>
      <c r="J198" s="14">
        <v>700</v>
      </c>
      <c r="K198" s="14">
        <f t="shared" si="28"/>
        <v>63</v>
      </c>
      <c r="L198" s="37">
        <v>4</v>
      </c>
      <c r="M198" s="14"/>
      <c r="N198" s="44">
        <f>(K198*Table1[[#This Row],[Ühik2]])+M198</f>
        <v>252</v>
      </c>
      <c r="O198" s="44">
        <f>Table1[[#This Row],[2020. EA ]]*0.338</f>
        <v>85.176000000000002</v>
      </c>
      <c r="P198" s="14" t="s">
        <v>2214</v>
      </c>
    </row>
    <row r="199" spans="1:18" x14ac:dyDescent="0.25">
      <c r="A199" s="14" t="str">
        <f t="shared" si="27"/>
        <v>09</v>
      </c>
      <c r="B199" t="s">
        <v>345</v>
      </c>
      <c r="C199" s="14" t="str">
        <f>VLOOKUP(B199,Table4[],2,FALSE)</f>
        <v xml:space="preserve"> Vinni pajusti Gümnaasium</v>
      </c>
      <c r="D199" s="39" t="str">
        <f>VLOOKUP(Table1[[#This Row],[Tegevusala]],Table4[[Tegevusala kood]:[Tegevusala alanimetus]],4,FALSE)</f>
        <v>Põhihariduse otsekulud</v>
      </c>
      <c r="E199" s="14" t="str">
        <f>VLOOKUP(C199,Table4[[Tegevusala nimetus]:[Tegevusala koondnimetus]],2,FALSE)</f>
        <v>Haridus</v>
      </c>
      <c r="F199" s="14" t="s">
        <v>1449</v>
      </c>
      <c r="G199" s="14" t="s">
        <v>1419</v>
      </c>
      <c r="H199" s="14">
        <v>0.14000000000000001</v>
      </c>
      <c r="I199" s="14"/>
      <c r="J199" s="14">
        <v>700</v>
      </c>
      <c r="K199" s="14">
        <f t="shared" si="28"/>
        <v>98.000000000000014</v>
      </c>
      <c r="L199" s="37">
        <v>4</v>
      </c>
      <c r="M199" s="14"/>
      <c r="N199" s="44">
        <f>(K199*Table1[[#This Row],[Ühik2]])+M199</f>
        <v>392.00000000000006</v>
      </c>
      <c r="O199" s="44">
        <f>Table1[[#This Row],[2020. EA ]]*0.338</f>
        <v>132.49600000000004</v>
      </c>
      <c r="P199" s="14" t="s">
        <v>2214</v>
      </c>
    </row>
    <row r="200" spans="1:18" x14ac:dyDescent="0.25">
      <c r="A200" s="14" t="str">
        <f t="shared" si="27"/>
        <v>09</v>
      </c>
      <c r="B200" t="s">
        <v>345</v>
      </c>
      <c r="C200" s="14" t="str">
        <f>VLOOKUP(B200,Table4[],2,FALSE)</f>
        <v xml:space="preserve"> Vinni pajusti Gümnaasium</v>
      </c>
      <c r="D200" s="39" t="str">
        <f>VLOOKUP(Table1[[#This Row],[Tegevusala]],Table4[[Tegevusala kood]:[Tegevusala alanimetus]],4,FALSE)</f>
        <v>Põhihariduse otsekulud</v>
      </c>
      <c r="E200" s="14" t="str">
        <f>VLOOKUP(C200,Table4[[Tegevusala nimetus]:[Tegevusala koondnimetus]],2,FALSE)</f>
        <v>Haridus</v>
      </c>
      <c r="F200" s="14" t="s">
        <v>1449</v>
      </c>
      <c r="G200" s="14" t="s">
        <v>1419</v>
      </c>
      <c r="H200" s="14">
        <v>0.32</v>
      </c>
      <c r="I200" s="14"/>
      <c r="J200" s="14">
        <v>700</v>
      </c>
      <c r="K200" s="14">
        <f t="shared" si="28"/>
        <v>224</v>
      </c>
      <c r="L200" s="37">
        <v>4</v>
      </c>
      <c r="M200" s="14"/>
      <c r="N200" s="44">
        <f>(K200*Table1[[#This Row],[Ühik2]])+M200</f>
        <v>896</v>
      </c>
      <c r="O200" s="44">
        <f>Table1[[#This Row],[2020. EA ]]*0.338</f>
        <v>302.84800000000001</v>
      </c>
      <c r="P200" s="14" t="s">
        <v>2214</v>
      </c>
    </row>
    <row r="201" spans="1:18" x14ac:dyDescent="0.25">
      <c r="A201" s="14" t="str">
        <f t="shared" si="27"/>
        <v>09</v>
      </c>
      <c r="B201" t="s">
        <v>345</v>
      </c>
      <c r="C201" s="14" t="str">
        <f>VLOOKUP(B201,Table4[],2,FALSE)</f>
        <v xml:space="preserve"> Vinni pajusti Gümnaasium</v>
      </c>
      <c r="D201" s="39" t="str">
        <f>VLOOKUP(Table1[[#This Row],[Tegevusala]],Table4[[Tegevusala kood]:[Tegevusala alanimetus]],4,FALSE)</f>
        <v>Põhihariduse otsekulud</v>
      </c>
      <c r="E201" s="14" t="str">
        <f>VLOOKUP(C201,Table4[[Tegevusala nimetus]:[Tegevusala koondnimetus]],2,FALSE)</f>
        <v>Haridus</v>
      </c>
      <c r="F201" s="14" t="s">
        <v>1449</v>
      </c>
      <c r="G201" s="14" t="s">
        <v>1420</v>
      </c>
      <c r="H201" s="14">
        <v>0.36</v>
      </c>
      <c r="I201" s="14"/>
      <c r="J201" s="14">
        <v>700</v>
      </c>
      <c r="K201" s="14">
        <f t="shared" si="28"/>
        <v>252</v>
      </c>
      <c r="L201" s="37">
        <v>10</v>
      </c>
      <c r="M201" s="14"/>
      <c r="N201" s="44">
        <f>(K201*Table1[[#This Row],[Ühik2]])+M201</f>
        <v>2520</v>
      </c>
      <c r="O201" s="44">
        <f>Table1[[#This Row],[2020. EA ]]*0.338</f>
        <v>851.7600000000001</v>
      </c>
      <c r="P201" s="14"/>
    </row>
    <row r="202" spans="1:18" x14ac:dyDescent="0.25">
      <c r="A202" s="14" t="str">
        <f t="shared" si="27"/>
        <v>09</v>
      </c>
      <c r="B202" t="s">
        <v>345</v>
      </c>
      <c r="C202" s="14" t="str">
        <f>VLOOKUP(B202,Table4[],2,FALSE)</f>
        <v xml:space="preserve"> Vinni pajusti Gümnaasium</v>
      </c>
      <c r="D202" s="39" t="str">
        <f>VLOOKUP(Table1[[#This Row],[Tegevusala]],Table4[[Tegevusala kood]:[Tegevusala alanimetus]],4,FALSE)</f>
        <v>Põhihariduse otsekulud</v>
      </c>
      <c r="E202" s="14" t="str">
        <f>VLOOKUP(C202,Table4[[Tegevusala nimetus]:[Tegevusala koondnimetus]],2,FALSE)</f>
        <v>Haridus</v>
      </c>
      <c r="F202" s="14" t="s">
        <v>1449</v>
      </c>
      <c r="G202" s="14" t="s">
        <v>1421</v>
      </c>
      <c r="H202" s="14">
        <v>0.09</v>
      </c>
      <c r="I202" s="14"/>
      <c r="J202" s="14">
        <v>700</v>
      </c>
      <c r="K202" s="14">
        <f t="shared" si="28"/>
        <v>63</v>
      </c>
      <c r="L202" s="37">
        <v>10</v>
      </c>
      <c r="M202" s="14"/>
      <c r="N202" s="44">
        <f>(K202*Table1[[#This Row],[Ühik2]])+M202</f>
        <v>630</v>
      </c>
      <c r="O202" s="44">
        <f>Table1[[#This Row],[2020. EA ]]*0.338</f>
        <v>212.94000000000003</v>
      </c>
      <c r="P202" s="14" t="s">
        <v>2216</v>
      </c>
    </row>
    <row r="203" spans="1:18" x14ac:dyDescent="0.25">
      <c r="A203" s="14" t="str">
        <f t="shared" si="27"/>
        <v>09</v>
      </c>
      <c r="B203" t="s">
        <v>345</v>
      </c>
      <c r="C203" s="14" t="str">
        <f>VLOOKUP(B203,Table4[],2,FALSE)</f>
        <v xml:space="preserve"> Vinni pajusti Gümnaasium</v>
      </c>
      <c r="D203" s="39" t="str">
        <f>VLOOKUP(Table1[[#This Row],[Tegevusala]],Table4[[Tegevusala kood]:[Tegevusala alanimetus]],4,FALSE)</f>
        <v>Põhihariduse otsekulud</v>
      </c>
      <c r="E203" s="14" t="str">
        <f>VLOOKUP(C203,Table4[[Tegevusala nimetus]:[Tegevusala koondnimetus]],2,FALSE)</f>
        <v>Haridus</v>
      </c>
      <c r="F203" s="14" t="s">
        <v>1449</v>
      </c>
      <c r="G203" s="14" t="s">
        <v>1422</v>
      </c>
      <c r="H203" s="14">
        <v>0.36</v>
      </c>
      <c r="I203" s="14"/>
      <c r="J203" s="14">
        <v>700</v>
      </c>
      <c r="K203" s="14">
        <f t="shared" si="28"/>
        <v>252</v>
      </c>
      <c r="L203" s="37">
        <v>10</v>
      </c>
      <c r="M203" s="14"/>
      <c r="N203" s="44">
        <f>(K203*Table1[[#This Row],[Ühik2]])+M203</f>
        <v>2520</v>
      </c>
      <c r="O203" s="44">
        <f>Table1[[#This Row],[2020. EA ]]*0.338</f>
        <v>851.7600000000001</v>
      </c>
      <c r="P203" s="14"/>
    </row>
    <row r="204" spans="1:18" x14ac:dyDescent="0.25">
      <c r="A204" s="14" t="str">
        <f t="shared" si="27"/>
        <v>09</v>
      </c>
      <c r="B204" t="s">
        <v>345</v>
      </c>
      <c r="C204" s="14" t="str">
        <f>VLOOKUP(B204,Table4[],2,FALSE)</f>
        <v xml:space="preserve"> Vinni pajusti Gümnaasium</v>
      </c>
      <c r="D204" s="39" t="str">
        <f>VLOOKUP(Table1[[#This Row],[Tegevusala]],Table4[[Tegevusala kood]:[Tegevusala alanimetus]],4,FALSE)</f>
        <v>Põhihariduse otsekulud</v>
      </c>
      <c r="E204" s="14" t="str">
        <f>VLOOKUP(C204,Table4[[Tegevusala nimetus]:[Tegevusala koondnimetus]],2,FALSE)</f>
        <v>Haridus</v>
      </c>
      <c r="F204" s="14" t="s">
        <v>1449</v>
      </c>
      <c r="G204" s="14" t="s">
        <v>1423</v>
      </c>
      <c r="H204" s="14">
        <v>0.09</v>
      </c>
      <c r="I204" s="14"/>
      <c r="J204" s="14">
        <v>700</v>
      </c>
      <c r="K204" s="14">
        <f t="shared" si="28"/>
        <v>63</v>
      </c>
      <c r="L204" s="37">
        <v>10</v>
      </c>
      <c r="M204" s="14"/>
      <c r="N204" s="44">
        <f>(K204*Table1[[#This Row],[Ühik2]])+M204</f>
        <v>630</v>
      </c>
      <c r="O204" s="44">
        <f>Table1[[#This Row],[2020. EA ]]*0.338</f>
        <v>212.94000000000003</v>
      </c>
      <c r="P204" s="14" t="s">
        <v>2217</v>
      </c>
    </row>
    <row r="205" spans="1:18" x14ac:dyDescent="0.25">
      <c r="A205" s="14" t="str">
        <f t="shared" si="27"/>
        <v>09</v>
      </c>
      <c r="B205" t="s">
        <v>345</v>
      </c>
      <c r="C205" s="14" t="str">
        <f>VLOOKUP(B205,Table4[],2,FALSE)</f>
        <v xml:space="preserve"> Vinni pajusti Gümnaasium</v>
      </c>
      <c r="D205" s="39" t="str">
        <f>VLOOKUP(Table1[[#This Row],[Tegevusala]],Table4[[Tegevusala kood]:[Tegevusala alanimetus]],4,FALSE)</f>
        <v>Põhihariduse otsekulud</v>
      </c>
      <c r="E205" s="14" t="str">
        <f>VLOOKUP(C205,Table4[[Tegevusala nimetus]:[Tegevusala koondnimetus]],2,FALSE)</f>
        <v>Haridus</v>
      </c>
      <c r="F205" s="14" t="s">
        <v>1449</v>
      </c>
      <c r="G205" s="14" t="s">
        <v>1423</v>
      </c>
      <c r="H205" s="14">
        <v>0.09</v>
      </c>
      <c r="I205" s="14"/>
      <c r="J205" s="14">
        <v>700</v>
      </c>
      <c r="K205" s="14">
        <f t="shared" si="28"/>
        <v>63</v>
      </c>
      <c r="L205" s="37">
        <v>10</v>
      </c>
      <c r="M205" s="14"/>
      <c r="N205" s="44">
        <f>(K205*Table1[[#This Row],[Ühik2]])+M205</f>
        <v>630</v>
      </c>
      <c r="O205" s="44">
        <f>Table1[[#This Row],[2020. EA ]]*0.338</f>
        <v>212.94000000000003</v>
      </c>
      <c r="P205" s="14" t="s">
        <v>2217</v>
      </c>
    </row>
    <row r="206" spans="1:18" x14ac:dyDescent="0.25">
      <c r="A206" s="14" t="str">
        <f t="shared" si="27"/>
        <v>09</v>
      </c>
      <c r="B206" t="s">
        <v>345</v>
      </c>
      <c r="C206" s="14" t="str">
        <f>VLOOKUP(B206,Table4[],2,FALSE)</f>
        <v xml:space="preserve"> Vinni pajusti Gümnaasium</v>
      </c>
      <c r="D206" s="39" t="str">
        <f>VLOOKUP(Table1[[#This Row],[Tegevusala]],Table4[[Tegevusala kood]:[Tegevusala alanimetus]],4,FALSE)</f>
        <v>Põhihariduse otsekulud</v>
      </c>
      <c r="E206" s="14" t="str">
        <f>VLOOKUP(C206,Table4[[Tegevusala nimetus]:[Tegevusala koondnimetus]],2,FALSE)</f>
        <v>Haridus</v>
      </c>
      <c r="F206" s="14" t="s">
        <v>1449</v>
      </c>
      <c r="G206" s="14" t="s">
        <v>1424</v>
      </c>
      <c r="H206" s="14">
        <v>0.09</v>
      </c>
      <c r="I206" s="14"/>
      <c r="J206" s="14">
        <v>700</v>
      </c>
      <c r="K206" s="14">
        <f t="shared" si="28"/>
        <v>63</v>
      </c>
      <c r="L206" s="37">
        <v>4</v>
      </c>
      <c r="M206" s="14"/>
      <c r="N206" s="44">
        <f>(K206*Table1[[#This Row],[Ühik2]])+M206</f>
        <v>252</v>
      </c>
      <c r="O206" s="44">
        <f>Table1[[#This Row],[2020. EA ]]*0.338</f>
        <v>85.176000000000002</v>
      </c>
      <c r="P206" s="14" t="s">
        <v>2214</v>
      </c>
    </row>
    <row r="207" spans="1:18" x14ac:dyDescent="0.25">
      <c r="A207" s="14" t="str">
        <f t="shared" si="27"/>
        <v>09</v>
      </c>
      <c r="B207" t="s">
        <v>345</v>
      </c>
      <c r="C207" s="14" t="str">
        <f>VLOOKUP(B207,Table4[],2,FALSE)</f>
        <v xml:space="preserve"> Vinni pajusti Gümnaasium</v>
      </c>
      <c r="D207" s="39" t="str">
        <f>VLOOKUP(Table1[[#This Row],[Tegevusala]],Table4[[Tegevusala kood]:[Tegevusala alanimetus]],4,FALSE)</f>
        <v>Põhihariduse otsekulud</v>
      </c>
      <c r="E207" s="14" t="str">
        <f>VLOOKUP(C207,Table4[[Tegevusala nimetus]:[Tegevusala koondnimetus]],2,FALSE)</f>
        <v>Haridus</v>
      </c>
      <c r="F207" s="14" t="s">
        <v>1449</v>
      </c>
      <c r="G207" s="14" t="s">
        <v>1425</v>
      </c>
      <c r="H207" s="14">
        <v>0.18</v>
      </c>
      <c r="I207" s="14"/>
      <c r="J207" s="14">
        <v>700</v>
      </c>
      <c r="K207" s="14">
        <f t="shared" si="28"/>
        <v>126</v>
      </c>
      <c r="L207" s="37">
        <v>10</v>
      </c>
      <c r="M207" s="14"/>
      <c r="N207" s="44">
        <f>(K207*Table1[[#This Row],[Ühik2]])+M207</f>
        <v>1260</v>
      </c>
      <c r="O207" s="44">
        <f>Table1[[#This Row],[2020. EA ]]*0.338</f>
        <v>425.88000000000005</v>
      </c>
      <c r="P207" s="14"/>
      <c r="R207" t="s">
        <v>2208</v>
      </c>
    </row>
    <row r="208" spans="1:18" x14ac:dyDescent="0.25">
      <c r="A208" s="14" t="str">
        <f t="shared" si="27"/>
        <v>09</v>
      </c>
      <c r="B208" t="s">
        <v>345</v>
      </c>
      <c r="C208" s="14" t="str">
        <f>VLOOKUP(B208,Table4[],2,FALSE)</f>
        <v xml:space="preserve"> Vinni pajusti Gümnaasium</v>
      </c>
      <c r="D208" s="39" t="str">
        <f>VLOOKUP(Table1[[#This Row],[Tegevusala]],Table4[[Tegevusala kood]:[Tegevusala alanimetus]],4,FALSE)</f>
        <v>Põhihariduse otsekulud</v>
      </c>
      <c r="E208" s="14" t="str">
        <f>VLOOKUP(C208,Table4[[Tegevusala nimetus]:[Tegevusala koondnimetus]],2,FALSE)</f>
        <v>Haridus</v>
      </c>
      <c r="F208" s="14" t="s">
        <v>1449</v>
      </c>
      <c r="G208" s="14" t="s">
        <v>1426</v>
      </c>
      <c r="H208" s="14">
        <v>0.09</v>
      </c>
      <c r="I208" s="14"/>
      <c r="J208" s="14">
        <v>700</v>
      </c>
      <c r="K208" s="14">
        <f t="shared" si="28"/>
        <v>63</v>
      </c>
      <c r="L208" s="37">
        <v>4</v>
      </c>
      <c r="M208" s="14"/>
      <c r="N208" s="44">
        <f>(K208*Table1[[#This Row],[Ühik2]])+M208</f>
        <v>252</v>
      </c>
      <c r="O208" s="44">
        <f>Table1[[#This Row],[2020. EA ]]*0.338</f>
        <v>85.176000000000002</v>
      </c>
      <c r="P208" s="14" t="s">
        <v>2214</v>
      </c>
    </row>
    <row r="209" spans="1:16" x14ac:dyDescent="0.25">
      <c r="A209" s="14" t="str">
        <f t="shared" si="27"/>
        <v>09</v>
      </c>
      <c r="B209" t="s">
        <v>345</v>
      </c>
      <c r="C209" s="14" t="str">
        <f>VLOOKUP(B209,Table4[],2,FALSE)</f>
        <v xml:space="preserve"> Vinni pajusti Gümnaasium</v>
      </c>
      <c r="D209" s="39" t="str">
        <f>VLOOKUP(Table1[[#This Row],[Tegevusala]],Table4[[Tegevusala kood]:[Tegevusala alanimetus]],4,FALSE)</f>
        <v>Põhihariduse otsekulud</v>
      </c>
      <c r="E209" s="14" t="str">
        <f>VLOOKUP(C209,Table4[[Tegevusala nimetus]:[Tegevusala koondnimetus]],2,FALSE)</f>
        <v>Haridus</v>
      </c>
      <c r="F209" s="14" t="s">
        <v>1449</v>
      </c>
      <c r="G209" s="14" t="s">
        <v>1426</v>
      </c>
      <c r="H209" s="14">
        <v>0.45</v>
      </c>
      <c r="I209" s="14"/>
      <c r="J209" s="14">
        <v>700</v>
      </c>
      <c r="K209" s="14">
        <f t="shared" si="28"/>
        <v>315</v>
      </c>
      <c r="L209" s="37">
        <v>10</v>
      </c>
      <c r="M209" s="14"/>
      <c r="N209" s="44">
        <f>(K209*Table1[[#This Row],[Ühik2]])+M209</f>
        <v>3150</v>
      </c>
      <c r="O209" s="44">
        <f>Table1[[#This Row],[2020. EA ]]*0.338</f>
        <v>1064.7</v>
      </c>
      <c r="P209" s="14"/>
    </row>
    <row r="210" spans="1:16" x14ac:dyDescent="0.25">
      <c r="A210" s="14" t="str">
        <f t="shared" si="27"/>
        <v>09</v>
      </c>
      <c r="B210" t="s">
        <v>345</v>
      </c>
      <c r="C210" s="14" t="str">
        <f>VLOOKUP(B210,Table4[],2,FALSE)</f>
        <v xml:space="preserve"> Vinni pajusti Gümnaasium</v>
      </c>
      <c r="D210" s="39" t="str">
        <f>VLOOKUP(Table1[[#This Row],[Tegevusala]],Table4[[Tegevusala kood]:[Tegevusala alanimetus]],4,FALSE)</f>
        <v>Põhihariduse otsekulud</v>
      </c>
      <c r="E210" s="14" t="str">
        <f>VLOOKUP(C210,Table4[[Tegevusala nimetus]:[Tegevusala koondnimetus]],2,FALSE)</f>
        <v>Haridus</v>
      </c>
      <c r="F210" s="14" t="s">
        <v>1449</v>
      </c>
      <c r="G210" s="14" t="s">
        <v>1427</v>
      </c>
      <c r="H210" s="14">
        <v>0.18</v>
      </c>
      <c r="I210" s="14"/>
      <c r="J210" s="14">
        <v>700</v>
      </c>
      <c r="K210" s="14">
        <f t="shared" si="28"/>
        <v>126</v>
      </c>
      <c r="L210" s="37">
        <v>10</v>
      </c>
      <c r="M210" s="14"/>
      <c r="N210" s="44">
        <f>(K210*Table1[[#This Row],[Ühik2]])+M210</f>
        <v>1260</v>
      </c>
      <c r="O210" s="44">
        <f>Table1[[#This Row],[2020. EA ]]*0.338</f>
        <v>425.88000000000005</v>
      </c>
      <c r="P210" s="14"/>
    </row>
    <row r="211" spans="1:16" x14ac:dyDescent="0.25">
      <c r="A211" s="14" t="str">
        <f t="shared" si="27"/>
        <v>09</v>
      </c>
      <c r="B211" t="s">
        <v>345</v>
      </c>
      <c r="C211" s="14" t="str">
        <f>VLOOKUP(B211,Table4[],2,FALSE)</f>
        <v xml:space="preserve"> Vinni pajusti Gümnaasium</v>
      </c>
      <c r="D211" s="39" t="str">
        <f>VLOOKUP(Table1[[#This Row],[Tegevusala]],Table4[[Tegevusala kood]:[Tegevusala alanimetus]],4,FALSE)</f>
        <v>Põhihariduse otsekulud</v>
      </c>
      <c r="E211" s="14" t="str">
        <f>VLOOKUP(C211,Table4[[Tegevusala nimetus]:[Tegevusala koondnimetus]],2,FALSE)</f>
        <v>Haridus</v>
      </c>
      <c r="F211" s="14" t="s">
        <v>1449</v>
      </c>
      <c r="G211" s="14" t="s">
        <v>1428</v>
      </c>
      <c r="H211" s="14">
        <v>0.05</v>
      </c>
      <c r="I211" s="14"/>
      <c r="J211" s="14">
        <v>700</v>
      </c>
      <c r="K211" s="14">
        <f t="shared" si="28"/>
        <v>35</v>
      </c>
      <c r="L211" s="37">
        <v>10</v>
      </c>
      <c r="M211" s="14"/>
      <c r="N211" s="44">
        <f>(K211*Table1[[#This Row],[Ühik2]])+M211</f>
        <v>350</v>
      </c>
      <c r="O211" s="44">
        <f>Table1[[#This Row],[2020. EA ]]*0.338</f>
        <v>118.30000000000001</v>
      </c>
      <c r="P211" s="14" t="s">
        <v>2216</v>
      </c>
    </row>
    <row r="212" spans="1:16" x14ac:dyDescent="0.25">
      <c r="A212" s="14" t="str">
        <f t="shared" si="27"/>
        <v>09</v>
      </c>
      <c r="B212" t="s">
        <v>345</v>
      </c>
      <c r="C212" s="14" t="str">
        <f>VLOOKUP(B212,Table4[],2,FALSE)</f>
        <v xml:space="preserve"> Vinni pajusti Gümnaasium</v>
      </c>
      <c r="D212" s="39" t="str">
        <f>VLOOKUP(Table1[[#This Row],[Tegevusala]],Table4[[Tegevusala kood]:[Tegevusala alanimetus]],4,FALSE)</f>
        <v>Põhihariduse otsekulud</v>
      </c>
      <c r="E212" s="14" t="str">
        <f>VLOOKUP(C212,Table4[[Tegevusala nimetus]:[Tegevusala koondnimetus]],2,FALSE)</f>
        <v>Haridus</v>
      </c>
      <c r="F212" s="14" t="s">
        <v>1449</v>
      </c>
      <c r="G212" s="14" t="s">
        <v>1429</v>
      </c>
      <c r="H212" s="14">
        <v>0.05</v>
      </c>
      <c r="I212" s="14"/>
      <c r="J212" s="14">
        <v>700</v>
      </c>
      <c r="K212" s="14">
        <f t="shared" si="28"/>
        <v>35</v>
      </c>
      <c r="L212" s="37">
        <v>10</v>
      </c>
      <c r="M212" s="14"/>
      <c r="N212" s="44">
        <f>(K212*Table1[[#This Row],[Ühik2]])+M212</f>
        <v>350</v>
      </c>
      <c r="O212" s="44">
        <f>Table1[[#This Row],[2020. EA ]]*0.338</f>
        <v>118.30000000000001</v>
      </c>
      <c r="P212" s="14"/>
    </row>
    <row r="213" spans="1:16" x14ac:dyDescent="0.25">
      <c r="A213" s="14" t="str">
        <f t="shared" si="27"/>
        <v>09</v>
      </c>
      <c r="B213" t="s">
        <v>345</v>
      </c>
      <c r="C213" s="14" t="str">
        <f>VLOOKUP(B213,Table4[],2,FALSE)</f>
        <v xml:space="preserve"> Vinni pajusti Gümnaasium</v>
      </c>
      <c r="D213" s="39" t="str">
        <f>VLOOKUP(Table1[[#This Row],[Tegevusala]],Table4[[Tegevusala kood]:[Tegevusala alanimetus]],4,FALSE)</f>
        <v>Põhihariduse otsekulud</v>
      </c>
      <c r="E213" s="14" t="str">
        <f>VLOOKUP(C213,Table4[[Tegevusala nimetus]:[Tegevusala koondnimetus]],2,FALSE)</f>
        <v>Haridus</v>
      </c>
      <c r="F213" s="14" t="s">
        <v>1449</v>
      </c>
      <c r="G213" s="14" t="s">
        <v>1429</v>
      </c>
      <c r="H213" s="14">
        <v>0.09</v>
      </c>
      <c r="I213" s="14"/>
      <c r="J213" s="14">
        <v>700</v>
      </c>
      <c r="K213" s="14">
        <f t="shared" si="28"/>
        <v>63</v>
      </c>
      <c r="L213" s="37">
        <v>10</v>
      </c>
      <c r="M213" s="14"/>
      <c r="N213" s="44">
        <f>(K213*Table1[[#This Row],[Ühik2]])+M213</f>
        <v>630</v>
      </c>
      <c r="O213" s="44">
        <f>Table1[[#This Row],[2020. EA ]]*0.338</f>
        <v>212.94000000000003</v>
      </c>
      <c r="P213" s="14"/>
    </row>
    <row r="214" spans="1:16" x14ac:dyDescent="0.25">
      <c r="A214" s="14" t="str">
        <f t="shared" ref="A214:A233" si="29">LEFT(B214,2)</f>
        <v>09</v>
      </c>
      <c r="B214" t="s">
        <v>345</v>
      </c>
      <c r="C214" s="14" t="str">
        <f>VLOOKUP(B214,Table4[],2,FALSE)</f>
        <v xml:space="preserve"> Vinni pajusti Gümnaasium</v>
      </c>
      <c r="D214" s="39" t="str">
        <f>VLOOKUP(Table1[[#This Row],[Tegevusala]],Table4[[Tegevusala kood]:[Tegevusala alanimetus]],4,FALSE)</f>
        <v>Põhihariduse otsekulud</v>
      </c>
      <c r="E214" s="14" t="str">
        <f>VLOOKUP(C214,Table4[[Tegevusala nimetus]:[Tegevusala koondnimetus]],2,FALSE)</f>
        <v>Haridus</v>
      </c>
      <c r="F214" s="14" t="s">
        <v>1449</v>
      </c>
      <c r="G214" s="14" t="s">
        <v>1430</v>
      </c>
      <c r="H214" s="14">
        <v>0.09</v>
      </c>
      <c r="I214" s="14"/>
      <c r="J214" s="14">
        <v>700</v>
      </c>
      <c r="K214" s="14">
        <f t="shared" si="28"/>
        <v>63</v>
      </c>
      <c r="L214" s="37">
        <v>10</v>
      </c>
      <c r="M214" s="14"/>
      <c r="N214" s="44">
        <f>(K214*Table1[[#This Row],[Ühik2]])+M214</f>
        <v>630</v>
      </c>
      <c r="O214" s="44">
        <f>Table1[[#This Row],[2020. EA ]]*0.338</f>
        <v>212.94000000000003</v>
      </c>
      <c r="P214" s="14"/>
    </row>
    <row r="215" spans="1:16" x14ac:dyDescent="0.25">
      <c r="A215" s="14" t="str">
        <f t="shared" si="29"/>
        <v>09</v>
      </c>
      <c r="B215" t="s">
        <v>345</v>
      </c>
      <c r="C215" s="14" t="str">
        <f>VLOOKUP(B215,Table4[],2,FALSE)</f>
        <v xml:space="preserve"> Vinni pajusti Gümnaasium</v>
      </c>
      <c r="D215" s="39" t="str">
        <f>VLOOKUP(Table1[[#This Row],[Tegevusala]],Table4[[Tegevusala kood]:[Tegevusala alanimetus]],4,FALSE)</f>
        <v>Põhihariduse otsekulud</v>
      </c>
      <c r="E215" s="14" t="str">
        <f>VLOOKUP(C215,Table4[[Tegevusala nimetus]:[Tegevusala koondnimetus]],2,FALSE)</f>
        <v>Haridus</v>
      </c>
      <c r="F215" s="14" t="s">
        <v>1449</v>
      </c>
      <c r="G215" s="14" t="s">
        <v>1431</v>
      </c>
      <c r="H215" s="14">
        <v>0.18</v>
      </c>
      <c r="I215" s="14"/>
      <c r="J215" s="14">
        <v>700</v>
      </c>
      <c r="K215" s="14">
        <f t="shared" si="28"/>
        <v>126</v>
      </c>
      <c r="L215" s="37">
        <v>4</v>
      </c>
      <c r="M215" s="14"/>
      <c r="N215" s="44">
        <f>(K215*Table1[[#This Row],[Ühik2]])+M215</f>
        <v>504</v>
      </c>
      <c r="O215" s="44">
        <f>Table1[[#This Row],[2020. EA ]]*0.338</f>
        <v>170.352</v>
      </c>
      <c r="P215" s="14" t="s">
        <v>2214</v>
      </c>
    </row>
    <row r="216" spans="1:16" x14ac:dyDescent="0.25">
      <c r="A216" s="14" t="str">
        <f t="shared" si="29"/>
        <v>09</v>
      </c>
      <c r="B216" t="s">
        <v>345</v>
      </c>
      <c r="C216" s="14" t="str">
        <f>VLOOKUP(B216,Table4[],2,FALSE)</f>
        <v xml:space="preserve"> Vinni pajusti Gümnaasium</v>
      </c>
      <c r="D216" s="39" t="str">
        <f>VLOOKUP(Table1[[#This Row],[Tegevusala]],Table4[[Tegevusala kood]:[Tegevusala alanimetus]],4,FALSE)</f>
        <v>Põhihariduse otsekulud</v>
      </c>
      <c r="E216" s="14" t="str">
        <f>VLOOKUP(C216,Table4[[Tegevusala nimetus]:[Tegevusala koondnimetus]],2,FALSE)</f>
        <v>Haridus</v>
      </c>
      <c r="F216" s="14" t="s">
        <v>1449</v>
      </c>
      <c r="G216" s="14" t="s">
        <v>1432</v>
      </c>
      <c r="H216" s="14">
        <v>0.36</v>
      </c>
      <c r="I216" s="14"/>
      <c r="J216" s="14">
        <v>700</v>
      </c>
      <c r="K216" s="14">
        <f t="shared" si="28"/>
        <v>252</v>
      </c>
      <c r="L216" s="37">
        <v>10</v>
      </c>
      <c r="M216" s="14"/>
      <c r="N216" s="44">
        <f>(K216*Table1[[#This Row],[Ühik2]])+M216</f>
        <v>2520</v>
      </c>
      <c r="O216" s="44">
        <f>Table1[[#This Row],[2020. EA ]]*0.338</f>
        <v>851.7600000000001</v>
      </c>
      <c r="P216" s="14"/>
    </row>
    <row r="217" spans="1:16" x14ac:dyDescent="0.25">
      <c r="A217" s="14" t="str">
        <f t="shared" si="29"/>
        <v>09</v>
      </c>
      <c r="B217" t="s">
        <v>345</v>
      </c>
      <c r="C217" s="14" t="str">
        <f>VLOOKUP(B217,Table4[],2,FALSE)</f>
        <v xml:space="preserve"> Vinni pajusti Gümnaasium</v>
      </c>
      <c r="D217" s="39" t="str">
        <f>VLOOKUP(Table1[[#This Row],[Tegevusala]],Table4[[Tegevusala kood]:[Tegevusala alanimetus]],4,FALSE)</f>
        <v>Põhihariduse otsekulud</v>
      </c>
      <c r="E217" s="14" t="str">
        <f>VLOOKUP(C217,Table4[[Tegevusala nimetus]:[Tegevusala koondnimetus]],2,FALSE)</f>
        <v>Haridus</v>
      </c>
      <c r="F217" s="14" t="s">
        <v>1449</v>
      </c>
      <c r="G217" s="14" t="s">
        <v>1433</v>
      </c>
      <c r="H217" s="14">
        <v>0.09</v>
      </c>
      <c r="I217" s="14"/>
      <c r="J217" s="14">
        <v>700</v>
      </c>
      <c r="K217" s="14">
        <f t="shared" si="28"/>
        <v>63</v>
      </c>
      <c r="L217" s="37">
        <v>10</v>
      </c>
      <c r="M217" s="14"/>
      <c r="N217" s="44">
        <f>(K217*Table1[[#This Row],[Ühik2]])+M217</f>
        <v>630</v>
      </c>
      <c r="O217" s="44">
        <f>Table1[[#This Row],[2020. EA ]]*0.338</f>
        <v>212.94000000000003</v>
      </c>
      <c r="P217" s="14" t="s">
        <v>2216</v>
      </c>
    </row>
    <row r="218" spans="1:16" x14ac:dyDescent="0.25">
      <c r="A218" s="14" t="str">
        <f t="shared" si="29"/>
        <v>09</v>
      </c>
      <c r="B218" t="s">
        <v>345</v>
      </c>
      <c r="C218" s="14" t="str">
        <f>VLOOKUP(B218,Table4[],2,FALSE)</f>
        <v xml:space="preserve"> Vinni pajusti Gümnaasium</v>
      </c>
      <c r="D218" s="39" t="str">
        <f>VLOOKUP(Table1[[#This Row],[Tegevusala]],Table4[[Tegevusala kood]:[Tegevusala alanimetus]],4,FALSE)</f>
        <v>Põhihariduse otsekulud</v>
      </c>
      <c r="E218" s="14" t="str">
        <f>VLOOKUP(C218,Table4[[Tegevusala nimetus]:[Tegevusala koondnimetus]],2,FALSE)</f>
        <v>Haridus</v>
      </c>
      <c r="F218" s="14" t="s">
        <v>1449</v>
      </c>
      <c r="G218" s="14" t="s">
        <v>1434</v>
      </c>
      <c r="H218" s="14">
        <v>0.45</v>
      </c>
      <c r="I218" s="14"/>
      <c r="J218" s="14">
        <v>700</v>
      </c>
      <c r="K218" s="14">
        <f t="shared" si="28"/>
        <v>315</v>
      </c>
      <c r="L218" s="37">
        <v>10</v>
      </c>
      <c r="M218" s="14"/>
      <c r="N218" s="44">
        <f>(K218*Table1[[#This Row],[Ühik2]])+M218</f>
        <v>3150</v>
      </c>
      <c r="O218" s="44">
        <f>Table1[[#This Row],[2020. EA ]]*0.338</f>
        <v>1064.7</v>
      </c>
      <c r="P218" s="14"/>
    </row>
    <row r="219" spans="1:16" x14ac:dyDescent="0.25">
      <c r="A219" s="14" t="str">
        <f t="shared" si="29"/>
        <v>09</v>
      </c>
      <c r="B219" t="s">
        <v>345</v>
      </c>
      <c r="C219" s="14" t="str">
        <f>VLOOKUP(B219,Table4[],2,FALSE)</f>
        <v xml:space="preserve"> Vinni pajusti Gümnaasium</v>
      </c>
      <c r="D219" s="39" t="str">
        <f>VLOOKUP(Table1[[#This Row],[Tegevusala]],Table4[[Tegevusala kood]:[Tegevusala alanimetus]],4,FALSE)</f>
        <v>Põhihariduse otsekulud</v>
      </c>
      <c r="E219" s="14" t="str">
        <f>VLOOKUP(C219,Table4[[Tegevusala nimetus]:[Tegevusala koondnimetus]],2,FALSE)</f>
        <v>Haridus</v>
      </c>
      <c r="F219" s="14" t="s">
        <v>1449</v>
      </c>
      <c r="G219" s="14" t="s">
        <v>1435</v>
      </c>
      <c r="H219" s="14">
        <v>0.09</v>
      </c>
      <c r="I219" s="14"/>
      <c r="J219" s="14">
        <v>700</v>
      </c>
      <c r="K219" s="14">
        <f t="shared" si="28"/>
        <v>63</v>
      </c>
      <c r="L219" s="37">
        <v>10</v>
      </c>
      <c r="M219" s="14"/>
      <c r="N219" s="44">
        <f>(K219*Table1[[#This Row],[Ühik2]])+M219</f>
        <v>630</v>
      </c>
      <c r="O219" s="44">
        <f>Table1[[#This Row],[2020. EA ]]*0.338</f>
        <v>212.94000000000003</v>
      </c>
      <c r="P219" s="14" t="s">
        <v>2216</v>
      </c>
    </row>
    <row r="220" spans="1:16" x14ac:dyDescent="0.25">
      <c r="A220" s="14" t="str">
        <f t="shared" si="29"/>
        <v>09</v>
      </c>
      <c r="B220" t="s">
        <v>345</v>
      </c>
      <c r="C220" s="14" t="str">
        <f>VLOOKUP(B220,Table4[],2,FALSE)</f>
        <v xml:space="preserve"> Vinni pajusti Gümnaasium</v>
      </c>
      <c r="D220" s="39" t="str">
        <f>VLOOKUP(Table1[[#This Row],[Tegevusala]],Table4[[Tegevusala kood]:[Tegevusala alanimetus]],4,FALSE)</f>
        <v>Põhihariduse otsekulud</v>
      </c>
      <c r="E220" s="14" t="str">
        <f>VLOOKUP(C220,Table4[[Tegevusala nimetus]:[Tegevusala koondnimetus]],2,FALSE)</f>
        <v>Haridus</v>
      </c>
      <c r="F220" s="14" t="s">
        <v>1449</v>
      </c>
      <c r="G220" s="14" t="s">
        <v>1436</v>
      </c>
      <c r="H220" s="14">
        <v>0.18</v>
      </c>
      <c r="I220" s="14"/>
      <c r="J220" s="14">
        <v>700</v>
      </c>
      <c r="K220" s="14">
        <f t="shared" si="28"/>
        <v>126</v>
      </c>
      <c r="L220" s="37">
        <v>4</v>
      </c>
      <c r="M220" s="14"/>
      <c r="N220" s="44">
        <f>(K220*Table1[[#This Row],[Ühik2]])+M220</f>
        <v>504</v>
      </c>
      <c r="O220" s="44">
        <f>Table1[[#This Row],[2020. EA ]]*0.338</f>
        <v>170.352</v>
      </c>
      <c r="P220" s="14" t="s">
        <v>2214</v>
      </c>
    </row>
    <row r="221" spans="1:16" x14ac:dyDescent="0.25">
      <c r="A221" s="14" t="str">
        <f t="shared" si="29"/>
        <v>09</v>
      </c>
      <c r="B221" t="s">
        <v>345</v>
      </c>
      <c r="C221" s="14" t="str">
        <f>VLOOKUP(B221,Table4[],2,FALSE)</f>
        <v xml:space="preserve"> Vinni pajusti Gümnaasium</v>
      </c>
      <c r="D221" s="39" t="str">
        <f>VLOOKUP(Table1[[#This Row],[Tegevusala]],Table4[[Tegevusala kood]:[Tegevusala alanimetus]],4,FALSE)</f>
        <v>Põhihariduse otsekulud</v>
      </c>
      <c r="E221" s="14" t="str">
        <f>VLOOKUP(C221,Table4[[Tegevusala nimetus]:[Tegevusala koondnimetus]],2,FALSE)</f>
        <v>Haridus</v>
      </c>
      <c r="F221" s="14" t="s">
        <v>1449</v>
      </c>
      <c r="G221" s="14" t="s">
        <v>1437</v>
      </c>
      <c r="H221" s="14">
        <v>0.25</v>
      </c>
      <c r="I221" s="14"/>
      <c r="J221" s="14">
        <v>700</v>
      </c>
      <c r="K221" s="14">
        <f t="shared" si="28"/>
        <v>175</v>
      </c>
      <c r="L221" s="37">
        <v>10</v>
      </c>
      <c r="M221" s="14"/>
      <c r="N221" s="44">
        <f>(K221*Table1[[#This Row],[Ühik2]])+M221</f>
        <v>1750</v>
      </c>
      <c r="O221" s="44">
        <f>Table1[[#This Row],[2020. EA ]]*0.338</f>
        <v>591.5</v>
      </c>
      <c r="P221" s="14" t="s">
        <v>2216</v>
      </c>
    </row>
    <row r="222" spans="1:16" x14ac:dyDescent="0.25">
      <c r="A222" s="14" t="str">
        <f t="shared" si="29"/>
        <v>09</v>
      </c>
      <c r="B222" t="s">
        <v>345</v>
      </c>
      <c r="C222" s="14" t="str">
        <f>VLOOKUP(B222,Table4[],2,FALSE)</f>
        <v xml:space="preserve"> Vinni pajusti Gümnaasium</v>
      </c>
      <c r="D222" s="39" t="str">
        <f>VLOOKUP(Table1[[#This Row],[Tegevusala]],Table4[[Tegevusala kood]:[Tegevusala alanimetus]],4,FALSE)</f>
        <v>Põhihariduse otsekulud</v>
      </c>
      <c r="E222" s="14" t="str">
        <f>VLOOKUP(C222,Table4[[Tegevusala nimetus]:[Tegevusala koondnimetus]],2,FALSE)</f>
        <v>Haridus</v>
      </c>
      <c r="F222" s="14" t="s">
        <v>1449</v>
      </c>
      <c r="G222" s="14" t="s">
        <v>1438</v>
      </c>
      <c r="H222" s="14">
        <v>0.09</v>
      </c>
      <c r="I222" s="14"/>
      <c r="J222" s="14">
        <v>700</v>
      </c>
      <c r="K222" s="14">
        <f t="shared" si="28"/>
        <v>63</v>
      </c>
      <c r="L222" s="37">
        <v>10</v>
      </c>
      <c r="M222" s="14"/>
      <c r="N222" s="44">
        <f>(K222*Table1[[#This Row],[Ühik2]])+M222</f>
        <v>630</v>
      </c>
      <c r="O222" s="44">
        <f>Table1[[#This Row],[2020. EA ]]*0.338</f>
        <v>212.94000000000003</v>
      </c>
      <c r="P222" s="14"/>
    </row>
    <row r="223" spans="1:16" x14ac:dyDescent="0.25">
      <c r="A223" s="14" t="str">
        <f t="shared" si="29"/>
        <v>09</v>
      </c>
      <c r="B223" t="s">
        <v>345</v>
      </c>
      <c r="C223" s="14" t="str">
        <f>VLOOKUP(B223,Table4[],2,FALSE)</f>
        <v xml:space="preserve"> Vinni pajusti Gümnaasium</v>
      </c>
      <c r="D223" s="39" t="str">
        <f>VLOOKUP(Table1[[#This Row],[Tegevusala]],Table4[[Tegevusala kood]:[Tegevusala alanimetus]],4,FALSE)</f>
        <v>Põhihariduse otsekulud</v>
      </c>
      <c r="E223" s="14" t="str">
        <f>VLOOKUP(C223,Table4[[Tegevusala nimetus]:[Tegevusala koondnimetus]],2,FALSE)</f>
        <v>Haridus</v>
      </c>
      <c r="F223" s="14" t="s">
        <v>1449</v>
      </c>
      <c r="G223" s="14" t="s">
        <v>1439</v>
      </c>
      <c r="H223" s="14">
        <v>0.09</v>
      </c>
      <c r="I223" s="14"/>
      <c r="J223" s="14">
        <v>700</v>
      </c>
      <c r="K223" s="14">
        <f t="shared" si="28"/>
        <v>63</v>
      </c>
      <c r="L223" s="37">
        <v>10</v>
      </c>
      <c r="M223" s="14"/>
      <c r="N223" s="44">
        <f>(K223*Table1[[#This Row],[Ühik2]])+M223</f>
        <v>630</v>
      </c>
      <c r="O223" s="44">
        <f>Table1[[#This Row],[2020. EA ]]*0.338</f>
        <v>212.94000000000003</v>
      </c>
      <c r="P223" s="14" t="s">
        <v>2216</v>
      </c>
    </row>
    <row r="224" spans="1:16" x14ac:dyDescent="0.25">
      <c r="A224" s="14" t="str">
        <f t="shared" si="29"/>
        <v>09</v>
      </c>
      <c r="B224" t="s">
        <v>345</v>
      </c>
      <c r="C224" s="14" t="str">
        <f>VLOOKUP(B224,Table4[],2,FALSE)</f>
        <v xml:space="preserve"> Vinni pajusti Gümnaasium</v>
      </c>
      <c r="D224" s="39" t="str">
        <f>VLOOKUP(Table1[[#This Row],[Tegevusala]],Table4[[Tegevusala kood]:[Tegevusala alanimetus]],4,FALSE)</f>
        <v>Põhihariduse otsekulud</v>
      </c>
      <c r="E224" s="14" t="str">
        <f>VLOOKUP(C224,Table4[[Tegevusala nimetus]:[Tegevusala koondnimetus]],2,FALSE)</f>
        <v>Haridus</v>
      </c>
      <c r="F224" s="14" t="s">
        <v>1449</v>
      </c>
      <c r="G224" s="14" t="s">
        <v>1440</v>
      </c>
      <c r="H224" s="14">
        <v>0.14000000000000001</v>
      </c>
      <c r="I224" s="14"/>
      <c r="J224" s="14">
        <v>700</v>
      </c>
      <c r="K224" s="14">
        <f t="shared" si="28"/>
        <v>98.000000000000014</v>
      </c>
      <c r="L224" s="37">
        <v>10</v>
      </c>
      <c r="M224" s="14"/>
      <c r="N224" s="44">
        <f>(K224*Table1[[#This Row],[Ühik2]])+M224</f>
        <v>980.00000000000011</v>
      </c>
      <c r="O224" s="44">
        <f>Table1[[#This Row],[2020. EA ]]*0.338</f>
        <v>331.24000000000007</v>
      </c>
      <c r="P224" s="14" t="s">
        <v>2216</v>
      </c>
    </row>
    <row r="225" spans="1:18" x14ac:dyDescent="0.25">
      <c r="A225" s="14" t="str">
        <f t="shared" si="29"/>
        <v>09</v>
      </c>
      <c r="B225" t="s">
        <v>345</v>
      </c>
      <c r="C225" s="14" t="str">
        <f>VLOOKUP(B225,Table4[],2,FALSE)</f>
        <v xml:space="preserve"> Vinni pajusti Gümnaasium</v>
      </c>
      <c r="D225" s="39" t="str">
        <f>VLOOKUP(Table1[[#This Row],[Tegevusala]],Table4[[Tegevusala kood]:[Tegevusala alanimetus]],4,FALSE)</f>
        <v>Põhihariduse otsekulud</v>
      </c>
      <c r="E225" s="14" t="str">
        <f>VLOOKUP(C225,Table4[[Tegevusala nimetus]:[Tegevusala koondnimetus]],2,FALSE)</f>
        <v>Haridus</v>
      </c>
      <c r="F225" s="14" t="s">
        <v>1449</v>
      </c>
      <c r="G225" s="14" t="s">
        <v>1441</v>
      </c>
      <c r="H225" s="14">
        <v>0.09</v>
      </c>
      <c r="I225" s="14"/>
      <c r="J225" s="14">
        <v>700</v>
      </c>
      <c r="K225" s="14">
        <f t="shared" si="28"/>
        <v>63</v>
      </c>
      <c r="L225" s="37">
        <v>10</v>
      </c>
      <c r="M225" s="14"/>
      <c r="N225" s="44">
        <f>(K225*Table1[[#This Row],[Ühik2]])+M225</f>
        <v>630</v>
      </c>
      <c r="O225" s="44">
        <f>Table1[[#This Row],[2020. EA ]]*0.338</f>
        <v>212.94000000000003</v>
      </c>
      <c r="P225" s="14"/>
    </row>
    <row r="226" spans="1:18" x14ac:dyDescent="0.25">
      <c r="A226" s="14" t="str">
        <f t="shared" si="29"/>
        <v>09</v>
      </c>
      <c r="B226" t="s">
        <v>345</v>
      </c>
      <c r="C226" s="14" t="str">
        <f>VLOOKUP(B226,Table4[],2,FALSE)</f>
        <v xml:space="preserve"> Vinni pajusti Gümnaasium</v>
      </c>
      <c r="D226" s="39" t="str">
        <f>VLOOKUP(Table1[[#This Row],[Tegevusala]],Table4[[Tegevusala kood]:[Tegevusala alanimetus]],4,FALSE)</f>
        <v>Põhihariduse otsekulud</v>
      </c>
      <c r="E226" s="14" t="str">
        <f>VLOOKUP(C226,Table4[[Tegevusala nimetus]:[Tegevusala koondnimetus]],2,FALSE)</f>
        <v>Haridus</v>
      </c>
      <c r="F226" s="14" t="s">
        <v>1449</v>
      </c>
      <c r="G226" s="14" t="s">
        <v>1442</v>
      </c>
      <c r="H226" s="14">
        <v>0.27</v>
      </c>
      <c r="I226" s="14"/>
      <c r="J226" s="14">
        <v>700</v>
      </c>
      <c r="K226" s="14">
        <f t="shared" si="28"/>
        <v>189</v>
      </c>
      <c r="L226" s="37">
        <v>10</v>
      </c>
      <c r="M226" s="14"/>
      <c r="N226" s="44">
        <f>(K226*Table1[[#This Row],[Ühik2]])+M226</f>
        <v>1890</v>
      </c>
      <c r="O226" s="44">
        <f>Table1[[#This Row],[2020. EA ]]*0.338</f>
        <v>638.82000000000005</v>
      </c>
      <c r="P226" s="14"/>
    </row>
    <row r="227" spans="1:18" x14ac:dyDescent="0.25">
      <c r="A227" s="14" t="str">
        <f t="shared" si="29"/>
        <v>09</v>
      </c>
      <c r="B227" t="s">
        <v>345</v>
      </c>
      <c r="C227" s="14" t="str">
        <f>VLOOKUP(B227,Table4[],2,FALSE)</f>
        <v xml:space="preserve"> Vinni pajusti Gümnaasium</v>
      </c>
      <c r="D227" s="39" t="str">
        <f>VLOOKUP(Table1[[#This Row],[Tegevusala]],Table4[[Tegevusala kood]:[Tegevusala alanimetus]],4,FALSE)</f>
        <v>Põhihariduse otsekulud</v>
      </c>
      <c r="E227" s="14" t="str">
        <f>VLOOKUP(C227,Table4[[Tegevusala nimetus]:[Tegevusala koondnimetus]],2,FALSE)</f>
        <v>Haridus</v>
      </c>
      <c r="F227" s="14" t="s">
        <v>1449</v>
      </c>
      <c r="G227" s="14" t="s">
        <v>1443</v>
      </c>
      <c r="H227" s="14">
        <v>1</v>
      </c>
      <c r="I227" s="14"/>
      <c r="J227" s="14">
        <v>700</v>
      </c>
      <c r="K227" s="14">
        <f t="shared" si="28"/>
        <v>700</v>
      </c>
      <c r="L227" s="14">
        <v>12</v>
      </c>
      <c r="M227" s="14"/>
      <c r="N227" s="44">
        <f>(K227*Table1[[#This Row],[Ühik2]])+M227</f>
        <v>8400</v>
      </c>
      <c r="O227" s="44">
        <f>Table1[[#This Row],[2020. EA ]]*0.338</f>
        <v>2839.2000000000003</v>
      </c>
      <c r="P227" s="14" t="s">
        <v>2209</v>
      </c>
    </row>
    <row r="228" spans="1:18" x14ac:dyDescent="0.25">
      <c r="A228" s="14" t="str">
        <f t="shared" si="29"/>
        <v>09</v>
      </c>
      <c r="B228" t="s">
        <v>345</v>
      </c>
      <c r="C228" s="14" t="str">
        <f>VLOOKUP(B228,Table4[],2,FALSE)</f>
        <v xml:space="preserve"> Vinni pajusti Gümnaasium</v>
      </c>
      <c r="D228" s="39" t="str">
        <f>VLOOKUP(Table1[[#This Row],[Tegevusala]],Table4[[Tegevusala kood]:[Tegevusala alanimetus]],4,FALSE)</f>
        <v>Põhihariduse otsekulud</v>
      </c>
      <c r="E228" s="14" t="str">
        <f>VLOOKUP(C228,Table4[[Tegevusala nimetus]:[Tegevusala koondnimetus]],2,FALSE)</f>
        <v>Haridus</v>
      </c>
      <c r="F228" s="14" t="s">
        <v>1449</v>
      </c>
      <c r="G228" s="14" t="s">
        <v>1444</v>
      </c>
      <c r="H228" s="14">
        <v>1</v>
      </c>
      <c r="I228" s="14"/>
      <c r="J228" s="14">
        <v>1315</v>
      </c>
      <c r="K228" s="14">
        <f t="shared" si="28"/>
        <v>1315</v>
      </c>
      <c r="L228" s="14">
        <v>12</v>
      </c>
      <c r="M228" s="14"/>
      <c r="N228" s="44">
        <f>(K228*Table1[[#This Row],[Ühik2]])+M228</f>
        <v>15780</v>
      </c>
      <c r="O228" s="44">
        <f>Table1[[#This Row],[2020. EA ]]*0.338</f>
        <v>5333.64</v>
      </c>
      <c r="P228" s="14"/>
    </row>
    <row r="229" spans="1:18" x14ac:dyDescent="0.25">
      <c r="A229" s="14" t="str">
        <f t="shared" si="29"/>
        <v>09</v>
      </c>
      <c r="B229" t="s">
        <v>345</v>
      </c>
      <c r="C229" s="14" t="str">
        <f>VLOOKUP(B229,Table4[],2,FALSE)</f>
        <v xml:space="preserve"> Vinni pajusti Gümnaasium</v>
      </c>
      <c r="D229" s="39" t="str">
        <f>VLOOKUP(Table1[[#This Row],[Tegevusala]],Table4[[Tegevusala kood]:[Tegevusala alanimetus]],4,FALSE)</f>
        <v>Põhihariduse otsekulud</v>
      </c>
      <c r="E229" s="14" t="str">
        <f>VLOOKUP(C229,Table4[[Tegevusala nimetus]:[Tegevusala koondnimetus]],2,FALSE)</f>
        <v>Haridus</v>
      </c>
      <c r="F229" s="14" t="s">
        <v>1449</v>
      </c>
      <c r="G229" s="14" t="s">
        <v>1445</v>
      </c>
      <c r="H229" s="14">
        <v>1</v>
      </c>
      <c r="I229" s="14"/>
      <c r="J229" s="14">
        <v>940</v>
      </c>
      <c r="K229" s="14">
        <f t="shared" si="28"/>
        <v>940</v>
      </c>
      <c r="L229" s="14">
        <v>12</v>
      </c>
      <c r="M229" s="14"/>
      <c r="N229" s="44">
        <f>(K229*Table1[[#This Row],[Ühik2]])+M229</f>
        <v>11280</v>
      </c>
      <c r="O229" s="44">
        <f>Table1[[#This Row],[2020. EA ]]*0.338</f>
        <v>3812.6400000000003</v>
      </c>
      <c r="P229" s="14"/>
    </row>
    <row r="230" spans="1:18" x14ac:dyDescent="0.25">
      <c r="A230" s="91" t="str">
        <f t="shared" si="29"/>
        <v>09</v>
      </c>
      <c r="B230" s="92" t="s">
        <v>345</v>
      </c>
      <c r="C230" s="91" t="str">
        <f>VLOOKUP(B230,Table4[],2,FALSE)</f>
        <v xml:space="preserve"> Vinni pajusti Gümnaasium</v>
      </c>
      <c r="D230" s="95" t="str">
        <f>VLOOKUP(Table1[[#This Row],[Tegevusala]],Table4[[Tegevusala kood]:[Tegevusala alanimetus]],4,FALSE)</f>
        <v>Põhihariduse otsekulud</v>
      </c>
      <c r="E230" s="91" t="str">
        <f>VLOOKUP(C230,Table4[[Tegevusala nimetus]:[Tegevusala koondnimetus]],2,FALSE)</f>
        <v>Haridus</v>
      </c>
      <c r="F230" s="91" t="s">
        <v>1449</v>
      </c>
      <c r="G230" s="91" t="s">
        <v>1446</v>
      </c>
      <c r="H230" s="91">
        <v>1</v>
      </c>
      <c r="I230" s="91"/>
      <c r="J230" s="91">
        <v>584</v>
      </c>
      <c r="K230" s="91">
        <f t="shared" si="28"/>
        <v>584</v>
      </c>
      <c r="L230" s="91">
        <v>12</v>
      </c>
      <c r="M230" s="91"/>
      <c r="N230" s="93">
        <f>(K230*Table1[[#This Row],[Ühik2]])+M230</f>
        <v>7008</v>
      </c>
      <c r="O230" s="93">
        <f>Table1[[#This Row],[2020. EA ]]*0.338</f>
        <v>2368.7040000000002</v>
      </c>
      <c r="P230" s="91"/>
    </row>
    <row r="231" spans="1:18" x14ac:dyDescent="0.25">
      <c r="A231" s="14" t="str">
        <f t="shared" si="29"/>
        <v>09</v>
      </c>
      <c r="B231" t="s">
        <v>345</v>
      </c>
      <c r="C231" s="14" t="str">
        <f>VLOOKUP(B231,Table4[],2,FALSE)</f>
        <v xml:space="preserve"> Vinni pajusti Gümnaasium</v>
      </c>
      <c r="D231" s="39" t="str">
        <f>VLOOKUP(Table1[[#This Row],[Tegevusala]],Table4[[Tegevusala kood]:[Tegevusala alanimetus]],4,FALSE)</f>
        <v>Põhihariduse otsekulud</v>
      </c>
      <c r="E231" s="14" t="str">
        <f>VLOOKUP(C231,Table4[[Tegevusala nimetus]:[Tegevusala koondnimetus]],2,FALSE)</f>
        <v>Haridus</v>
      </c>
      <c r="F231" s="14" t="s">
        <v>1449</v>
      </c>
      <c r="G231" s="14" t="s">
        <v>1270</v>
      </c>
      <c r="H231" s="14">
        <v>1</v>
      </c>
      <c r="I231" s="14"/>
      <c r="J231" s="14">
        <v>700</v>
      </c>
      <c r="K231" s="14">
        <f t="shared" si="28"/>
        <v>700</v>
      </c>
      <c r="L231" s="14">
        <v>12</v>
      </c>
      <c r="M231" s="14"/>
      <c r="N231" s="44">
        <f>(K231*Table1[[#This Row],[Ühik2]])+M231</f>
        <v>8400</v>
      </c>
      <c r="O231" s="44">
        <f>Table1[[#This Row],[2020. EA ]]*0.338</f>
        <v>2839.2000000000003</v>
      </c>
      <c r="P231" s="14"/>
      <c r="R231" t="s">
        <v>2210</v>
      </c>
    </row>
    <row r="232" spans="1:18" x14ac:dyDescent="0.25">
      <c r="A232" s="14" t="str">
        <f t="shared" si="29"/>
        <v>09</v>
      </c>
      <c r="B232" t="s">
        <v>345</v>
      </c>
      <c r="C232" s="14" t="str">
        <f>VLOOKUP(B232,Table4[],2,FALSE)</f>
        <v xml:space="preserve"> Vinni pajusti Gümnaasium</v>
      </c>
      <c r="D232" s="39" t="str">
        <f>VLOOKUP(Table1[[#This Row],[Tegevusala]],Table4[[Tegevusala kood]:[Tegevusala alanimetus]],4,FALSE)</f>
        <v>Põhihariduse otsekulud</v>
      </c>
      <c r="E232" s="14" t="str">
        <f>VLOOKUP(C232,Table4[[Tegevusala nimetus]:[Tegevusala koondnimetus]],2,FALSE)</f>
        <v>Haridus</v>
      </c>
      <c r="F232" s="14" t="s">
        <v>1449</v>
      </c>
      <c r="G232" s="14" t="s">
        <v>1447</v>
      </c>
      <c r="H232" s="14">
        <v>1</v>
      </c>
      <c r="I232" s="14"/>
      <c r="J232" s="14">
        <v>1315</v>
      </c>
      <c r="K232" s="14">
        <f t="shared" si="28"/>
        <v>1315</v>
      </c>
      <c r="L232" s="14">
        <v>12</v>
      </c>
      <c r="M232" s="14"/>
      <c r="N232" s="44">
        <f>(K232*Table1[[#This Row],[Ühik2]])+M232</f>
        <v>15780</v>
      </c>
      <c r="O232" s="44">
        <f>Table1[[#This Row],[2020. EA ]]*0.338</f>
        <v>5333.64</v>
      </c>
      <c r="P232" s="14"/>
    </row>
    <row r="233" spans="1:18" x14ac:dyDescent="0.25">
      <c r="A233" s="14" t="str">
        <f t="shared" si="29"/>
        <v>09</v>
      </c>
      <c r="B233" t="s">
        <v>345</v>
      </c>
      <c r="C233" s="14" t="str">
        <f>VLOOKUP(B233,Table4[],2,FALSE)</f>
        <v xml:space="preserve"> Vinni pajusti Gümnaasium</v>
      </c>
      <c r="D233" s="39" t="str">
        <f>VLOOKUP(Table1[[#This Row],[Tegevusala]],Table4[[Tegevusala kood]:[Tegevusala alanimetus]],4,FALSE)</f>
        <v>Põhihariduse otsekulud</v>
      </c>
      <c r="E233" s="14" t="str">
        <f>VLOOKUP(C233,Table4[[Tegevusala nimetus]:[Tegevusala koondnimetus]],2,FALSE)</f>
        <v>Haridus</v>
      </c>
      <c r="F233" s="14" t="s">
        <v>1449</v>
      </c>
      <c r="G233" s="14" t="s">
        <v>1448</v>
      </c>
      <c r="H233" s="14">
        <v>1</v>
      </c>
      <c r="I233" s="14"/>
      <c r="J233" s="14">
        <v>1200</v>
      </c>
      <c r="K233" s="14">
        <f t="shared" si="28"/>
        <v>1200</v>
      </c>
      <c r="L233" s="14">
        <v>4</v>
      </c>
      <c r="M233" s="14"/>
      <c r="N233" s="44">
        <f>(K233*Table1[[#This Row],[Ühik2]])+M233</f>
        <v>4800</v>
      </c>
      <c r="O233" s="44">
        <f>Table1[[#This Row],[2020. EA ]]*0.338</f>
        <v>1622.4</v>
      </c>
      <c r="P233" s="14" t="s">
        <v>2214</v>
      </c>
    </row>
    <row r="234" spans="1:18" x14ac:dyDescent="0.25">
      <c r="A234" s="14" t="str">
        <f t="shared" ref="A234:A242" si="30">LEFT(B234,2)</f>
        <v>09</v>
      </c>
      <c r="B234" t="s">
        <v>348</v>
      </c>
      <c r="C234" s="14" t="str">
        <f>VLOOKUP(B234,Table4[],2,FALSE)</f>
        <v xml:space="preserve"> Põlula kool</v>
      </c>
      <c r="D234" s="39" t="str">
        <f>VLOOKUP(Table1[[#This Row],[Tegevusala]],Table4[[Tegevusala kood]:[Tegevusala alanimetus]],4,FALSE)</f>
        <v>Põhihariduse otsekulud</v>
      </c>
      <c r="E234" s="14" t="str">
        <f>VLOOKUP(C234,Table4[[Tegevusala nimetus]:[Tegevusala koondnimetus]],2,FALSE)</f>
        <v>Haridus</v>
      </c>
      <c r="F234" s="14" t="s">
        <v>1518</v>
      </c>
      <c r="G234" s="14" t="s">
        <v>2204</v>
      </c>
      <c r="H234" s="14">
        <v>1</v>
      </c>
      <c r="I234" s="14" t="s">
        <v>241</v>
      </c>
      <c r="J234" s="14">
        <v>57469.357000000004</v>
      </c>
      <c r="K234" s="14">
        <f t="shared" si="28"/>
        <v>57469.357000000004</v>
      </c>
      <c r="L234" s="14">
        <v>1</v>
      </c>
      <c r="M234" s="14"/>
      <c r="N234" s="44">
        <f>(K234*Table1[[#This Row],[Ühik2]])+M234</f>
        <v>57469.357000000004</v>
      </c>
      <c r="O234" s="44">
        <f>Table1[[#This Row],[2020. EA ]]*0.338</f>
        <v>19424.642666000003</v>
      </c>
      <c r="P234" s="14"/>
    </row>
    <row r="235" spans="1:18" x14ac:dyDescent="0.25">
      <c r="A235" s="14" t="str">
        <f t="shared" si="30"/>
        <v>09</v>
      </c>
      <c r="B235" t="s">
        <v>348</v>
      </c>
      <c r="C235" s="14" t="str">
        <f>VLOOKUP(B235,Table4[],2,FALSE)</f>
        <v xml:space="preserve"> Põlula kool</v>
      </c>
      <c r="D235" s="39" t="str">
        <f>VLOOKUP(Table1[[#This Row],[Tegevusala]],Table4[[Tegevusala kood]:[Tegevusala alanimetus]],4,FALSE)</f>
        <v>Põhihariduse otsekulud</v>
      </c>
      <c r="E235" s="14" t="str">
        <f>VLOOKUP(C235,Table4[[Tegevusala nimetus]:[Tegevusala koondnimetus]],2,FALSE)</f>
        <v>Haridus</v>
      </c>
      <c r="F235" s="14" t="s">
        <v>1518</v>
      </c>
      <c r="G235" s="14" t="s">
        <v>2198</v>
      </c>
      <c r="H235" s="14">
        <v>1</v>
      </c>
      <c r="I235" s="14"/>
      <c r="J235" s="14">
        <v>5399.85</v>
      </c>
      <c r="K235" s="14">
        <f t="shared" si="28"/>
        <v>5399.85</v>
      </c>
      <c r="L235" s="14">
        <v>1</v>
      </c>
      <c r="M235" s="14"/>
      <c r="N235" s="44">
        <f>(K235*Table1[[#This Row],[Ühik2]])+M235</f>
        <v>5399.85</v>
      </c>
      <c r="O235" s="44">
        <f>Table1[[#This Row],[2020. EA ]]*0.338</f>
        <v>1825.1493000000003</v>
      </c>
      <c r="P235" s="14"/>
    </row>
    <row r="236" spans="1:18" x14ac:dyDescent="0.25">
      <c r="A236" s="14" t="str">
        <f t="shared" si="30"/>
        <v>09</v>
      </c>
      <c r="B236" t="s">
        <v>348</v>
      </c>
      <c r="C236" s="14" t="str">
        <f>VLOOKUP(B236,Table4[],2,FALSE)</f>
        <v xml:space="preserve"> Põlula kool</v>
      </c>
      <c r="D236" s="39" t="str">
        <f>VLOOKUP(Table1[[#This Row],[Tegevusala]],Table4[[Tegevusala kood]:[Tegevusala alanimetus]],4,FALSE)</f>
        <v>Põhihariduse otsekulud</v>
      </c>
      <c r="E236" s="14" t="str">
        <f>VLOOKUP(C236,Table4[[Tegevusala nimetus]:[Tegevusala koondnimetus]],2,FALSE)</f>
        <v>Haridus</v>
      </c>
      <c r="F236" s="14" t="s">
        <v>1518</v>
      </c>
      <c r="G236" s="14" t="s">
        <v>1443</v>
      </c>
      <c r="H236" s="14">
        <v>0.3</v>
      </c>
      <c r="I236" s="14"/>
      <c r="J236" s="14">
        <v>666.7</v>
      </c>
      <c r="K236" s="14">
        <f t="shared" si="28"/>
        <v>200.01000000000002</v>
      </c>
      <c r="L236" s="14">
        <v>12</v>
      </c>
      <c r="M236" s="14"/>
      <c r="N236" s="44">
        <f>(K236*Table1[[#This Row],[Ühik2]])+M236</f>
        <v>2400.1200000000003</v>
      </c>
      <c r="O236" s="44">
        <f>Table1[[#This Row],[2020. EA ]]*0.338</f>
        <v>811.24056000000019</v>
      </c>
      <c r="P236" s="14"/>
    </row>
    <row r="237" spans="1:18" x14ac:dyDescent="0.25">
      <c r="A237" s="14" t="str">
        <f t="shared" si="30"/>
        <v>09</v>
      </c>
      <c r="B237" t="s">
        <v>348</v>
      </c>
      <c r="C237" s="14" t="str">
        <f>VLOOKUP(B237,Table4[],2,FALSE)</f>
        <v xml:space="preserve"> Põlula kool</v>
      </c>
      <c r="D237" s="39" t="str">
        <f>VLOOKUP(Table1[[#This Row],[Tegevusala]],Table4[[Tegevusala kood]:[Tegevusala alanimetus]],4,FALSE)</f>
        <v>Põhihariduse otsekulud</v>
      </c>
      <c r="E237" s="14" t="str">
        <f>VLOOKUP(C237,Table4[[Tegevusala nimetus]:[Tegevusala koondnimetus]],2,FALSE)</f>
        <v>Haridus</v>
      </c>
      <c r="F237" s="14" t="s">
        <v>1518</v>
      </c>
      <c r="G237" s="14" t="s">
        <v>528</v>
      </c>
      <c r="H237" s="14">
        <v>0.25</v>
      </c>
      <c r="I237" s="14"/>
      <c r="J237" s="14">
        <v>616</v>
      </c>
      <c r="K237" s="14">
        <f t="shared" si="28"/>
        <v>154</v>
      </c>
      <c r="L237" s="14">
        <v>12</v>
      </c>
      <c r="M237" s="14"/>
      <c r="N237" s="44">
        <f>(K237*Table1[[#This Row],[Ühik2]])+M237</f>
        <v>1848</v>
      </c>
      <c r="O237" s="44">
        <f>Table1[[#This Row],[2020. EA ]]*0.338</f>
        <v>624.62400000000002</v>
      </c>
      <c r="P237" s="14"/>
    </row>
    <row r="238" spans="1:18" x14ac:dyDescent="0.25">
      <c r="A238" s="14" t="str">
        <f t="shared" si="30"/>
        <v>09</v>
      </c>
      <c r="B238" t="s">
        <v>348</v>
      </c>
      <c r="C238" s="14" t="str">
        <f>VLOOKUP(B238,Table4[],2,FALSE)</f>
        <v xml:space="preserve"> Põlula kool</v>
      </c>
      <c r="D238" s="39" t="str">
        <f>VLOOKUP(Table1[[#This Row],[Tegevusala]],Table4[[Tegevusala kood]:[Tegevusala alanimetus]],4,FALSE)</f>
        <v>Põhihariduse otsekulud</v>
      </c>
      <c r="E238" s="14" t="str">
        <f>VLOOKUP(C238,Table4[[Tegevusala nimetus]:[Tegevusala koondnimetus]],2,FALSE)</f>
        <v>Haridus</v>
      </c>
      <c r="F238" s="14" t="s">
        <v>1518</v>
      </c>
      <c r="G238" s="14" t="s">
        <v>1517</v>
      </c>
      <c r="H238" s="14">
        <v>0.56999999999999995</v>
      </c>
      <c r="I238" s="14"/>
      <c r="J238" s="14">
        <v>991.23</v>
      </c>
      <c r="K238" s="14">
        <f t="shared" si="28"/>
        <v>565.00109999999995</v>
      </c>
      <c r="L238" s="14">
        <v>12</v>
      </c>
      <c r="M238" s="14"/>
      <c r="N238" s="44">
        <f>(K238*Table1[[#This Row],[Ühik2]])+M238</f>
        <v>6780.0131999999994</v>
      </c>
      <c r="O238" s="44">
        <f>Table1[[#This Row],[2020. EA ]]*0.338</f>
        <v>2291.6444615999999</v>
      </c>
      <c r="P238" s="14"/>
    </row>
    <row r="239" spans="1:18" x14ac:dyDescent="0.25">
      <c r="A239" s="91" t="str">
        <f t="shared" si="30"/>
        <v>09</v>
      </c>
      <c r="B239" s="92" t="s">
        <v>348</v>
      </c>
      <c r="C239" s="91" t="str">
        <f>VLOOKUP(B239,Table4[],2,FALSE)</f>
        <v xml:space="preserve"> Põlula kool</v>
      </c>
      <c r="D239" s="95" t="str">
        <f>VLOOKUP(Table1[[#This Row],[Tegevusala]],Table4[[Tegevusala kood]:[Tegevusala alanimetus]],4,FALSE)</f>
        <v>Põhihariduse otsekulud</v>
      </c>
      <c r="E239" s="91" t="str">
        <f>VLOOKUP(C239,Table4[[Tegevusala nimetus]:[Tegevusala koondnimetus]],2,FALSE)</f>
        <v>Haridus</v>
      </c>
      <c r="F239" s="91" t="s">
        <v>1518</v>
      </c>
      <c r="G239" s="91" t="s">
        <v>1402</v>
      </c>
      <c r="H239" s="91">
        <v>1</v>
      </c>
      <c r="I239" s="91"/>
      <c r="J239" s="91">
        <v>584</v>
      </c>
      <c r="K239" s="91">
        <f t="shared" si="28"/>
        <v>584</v>
      </c>
      <c r="L239" s="91">
        <v>12</v>
      </c>
      <c r="M239" s="91"/>
      <c r="N239" s="93">
        <f>(K239*Table1[[#This Row],[Ühik2]])+M239</f>
        <v>7008</v>
      </c>
      <c r="O239" s="93">
        <f>Table1[[#This Row],[2020. EA ]]*0.338</f>
        <v>2368.7040000000002</v>
      </c>
      <c r="P239" s="91"/>
    </row>
    <row r="240" spans="1:18" x14ac:dyDescent="0.25">
      <c r="A240" s="91" t="str">
        <f t="shared" si="30"/>
        <v>09</v>
      </c>
      <c r="B240" s="92" t="s">
        <v>348</v>
      </c>
      <c r="C240" s="91" t="str">
        <f>VLOOKUP(B240,Table4[],2,FALSE)</f>
        <v xml:space="preserve"> Põlula kool</v>
      </c>
      <c r="D240" s="95" t="str">
        <f>VLOOKUP(Table1[[#This Row],[Tegevusala]],Table4[[Tegevusala kood]:[Tegevusala alanimetus]],4,FALSE)</f>
        <v>Põhihariduse otsekulud</v>
      </c>
      <c r="E240" s="91" t="str">
        <f>VLOOKUP(C240,Table4[[Tegevusala nimetus]:[Tegevusala koondnimetus]],2,FALSE)</f>
        <v>Haridus</v>
      </c>
      <c r="F240" s="91" t="s">
        <v>1518</v>
      </c>
      <c r="G240" s="91" t="s">
        <v>479</v>
      </c>
      <c r="H240" s="91">
        <v>1</v>
      </c>
      <c r="I240" s="91"/>
      <c r="J240" s="91">
        <v>584</v>
      </c>
      <c r="K240" s="91">
        <f t="shared" si="28"/>
        <v>584</v>
      </c>
      <c r="L240" s="91">
        <v>12</v>
      </c>
      <c r="M240" s="91"/>
      <c r="N240" s="93">
        <f>(K240*Table1[[#This Row],[Ühik2]])+M240</f>
        <v>7008</v>
      </c>
      <c r="O240" s="93">
        <f>Table1[[#This Row],[2020. EA ]]*0.338</f>
        <v>2368.7040000000002</v>
      </c>
      <c r="P240" s="91"/>
    </row>
    <row r="241" spans="1:16" x14ac:dyDescent="0.25">
      <c r="A241" s="14" t="str">
        <f t="shared" si="30"/>
        <v>09</v>
      </c>
      <c r="B241" t="s">
        <v>348</v>
      </c>
      <c r="C241" s="14" t="str">
        <f>VLOOKUP(B241,Table4[],2,FALSE)</f>
        <v xml:space="preserve"> Põlula kool</v>
      </c>
      <c r="D241" s="39" t="str">
        <f>VLOOKUP(Table1[[#This Row],[Tegevusala]],Table4[[Tegevusala kood]:[Tegevusala alanimetus]],4,FALSE)</f>
        <v>Põhihariduse otsekulud</v>
      </c>
      <c r="E241" s="14" t="str">
        <f>VLOOKUP(C241,Table4[[Tegevusala nimetus]:[Tegevusala koondnimetus]],2,FALSE)</f>
        <v>Haridus</v>
      </c>
      <c r="F241" s="14" t="s">
        <v>1518</v>
      </c>
      <c r="G241" s="14" t="s">
        <v>484</v>
      </c>
      <c r="H241" s="14">
        <v>1</v>
      </c>
      <c r="I241" s="14"/>
      <c r="J241" s="14">
        <v>750</v>
      </c>
      <c r="K241" s="14">
        <f t="shared" si="28"/>
        <v>750</v>
      </c>
      <c r="L241" s="14">
        <v>12</v>
      </c>
      <c r="M241" s="14"/>
      <c r="N241" s="44">
        <f>(K241*Table1[[#This Row],[Ühik2]])+M241</f>
        <v>9000</v>
      </c>
      <c r="O241" s="44">
        <f>Table1[[#This Row],[2020. EA ]]*0.338</f>
        <v>3042</v>
      </c>
      <c r="P241" s="14"/>
    </row>
    <row r="242" spans="1:16" x14ac:dyDescent="0.25">
      <c r="A242" s="14" t="str">
        <f t="shared" si="30"/>
        <v>09</v>
      </c>
      <c r="B242" t="s">
        <v>348</v>
      </c>
      <c r="C242" s="14" t="str">
        <f>VLOOKUP(B242,Table4[],2,FALSE)</f>
        <v xml:space="preserve"> Põlula kool</v>
      </c>
      <c r="D242" s="39" t="str">
        <f>VLOOKUP(Table1[[#This Row],[Tegevusala]],Table4[[Tegevusala kood]:[Tegevusala alanimetus]],4,FALSE)</f>
        <v>Põhihariduse otsekulud</v>
      </c>
      <c r="E242" s="14" t="str">
        <f>VLOOKUP(C242,Table4[[Tegevusala nimetus]:[Tegevusala koondnimetus]],2,FALSE)</f>
        <v>Haridus</v>
      </c>
      <c r="F242" s="14" t="s">
        <v>1518</v>
      </c>
      <c r="G242" s="14" t="s">
        <v>1311</v>
      </c>
      <c r="H242" s="14">
        <v>0.6</v>
      </c>
      <c r="I242" s="14"/>
      <c r="J242" s="14">
        <v>983.35</v>
      </c>
      <c r="K242" s="14">
        <f t="shared" si="28"/>
        <v>590.01</v>
      </c>
      <c r="L242" s="14">
        <v>12</v>
      </c>
      <c r="M242" s="14"/>
      <c r="N242" s="44">
        <f>(K242*Table1[[#This Row],[Ühik2]])+M242</f>
        <v>7080.12</v>
      </c>
      <c r="O242" s="44">
        <f>Table1[[#This Row],[2020. EA ]]*0.338</f>
        <v>2393.0805600000003</v>
      </c>
      <c r="P242" s="14"/>
    </row>
    <row r="243" spans="1:16" x14ac:dyDescent="0.25">
      <c r="A243" s="14" t="str">
        <f t="shared" ref="A243:A249" si="31">LEFT(B243,2)</f>
        <v>09</v>
      </c>
      <c r="B243" t="s">
        <v>348</v>
      </c>
      <c r="C243" s="14" t="str">
        <f>VLOOKUP(B243,Table4[],2,FALSE)</f>
        <v xml:space="preserve"> Põlula kool</v>
      </c>
      <c r="D243" s="39" t="str">
        <f>VLOOKUP(Table1[[#This Row],[Tegevusala]],Table4[[Tegevusala kood]:[Tegevusala alanimetus]],4,FALSE)</f>
        <v>Põhihariduse otsekulud</v>
      </c>
      <c r="E243" s="14" t="str">
        <f>VLOOKUP(C243,Table4[[Tegevusala nimetus]:[Tegevusala koondnimetus]],2,FALSE)</f>
        <v>Haridus</v>
      </c>
      <c r="F243" s="14" t="s">
        <v>1518</v>
      </c>
      <c r="G243" s="14" t="s">
        <v>1519</v>
      </c>
      <c r="H243" s="14">
        <v>1</v>
      </c>
      <c r="I243" s="14" t="s">
        <v>241</v>
      </c>
      <c r="J243" s="14">
        <v>100</v>
      </c>
      <c r="K243" s="14">
        <f t="shared" si="28"/>
        <v>100</v>
      </c>
      <c r="L243" s="14">
        <v>12</v>
      </c>
      <c r="M243" s="14"/>
      <c r="N243" s="44">
        <f>(K243*Table1[[#This Row],[Ühik2]])+M243</f>
        <v>1200</v>
      </c>
      <c r="O243" s="44">
        <f>Table1[[#This Row],[2020. EA ]]*0.338</f>
        <v>405.6</v>
      </c>
      <c r="P243" s="14"/>
    </row>
    <row r="244" spans="1:16" x14ac:dyDescent="0.25">
      <c r="A244" s="14" t="str">
        <f t="shared" si="31"/>
        <v>09</v>
      </c>
      <c r="B244" t="s">
        <v>359</v>
      </c>
      <c r="C244" s="14" t="str">
        <f>VLOOKUP(B244,Table4[],2,FALSE)</f>
        <v xml:space="preserve"> Haldus</v>
      </c>
      <c r="D244" s="39" t="str">
        <f>VLOOKUP(Table1[[#This Row],[Tegevusala]],Table4[[Tegevusala kood]:[Tegevusala alanimetus]],4,FALSE)</f>
        <v>Muu haridus, sh hariduse haldus</v>
      </c>
      <c r="E244" s="14" t="str">
        <f>VLOOKUP(C244,Table4[[Tegevusala nimetus]:[Tegevusala koondnimetus]],2,FALSE)</f>
        <v>Haridus</v>
      </c>
      <c r="F244" s="14" t="s">
        <v>1540</v>
      </c>
      <c r="G244" s="14" t="s">
        <v>1540</v>
      </c>
      <c r="H244" s="14">
        <v>1</v>
      </c>
      <c r="I244" s="14"/>
      <c r="J244" s="14">
        <v>1560</v>
      </c>
      <c r="K244" s="14">
        <f t="shared" si="28"/>
        <v>1560</v>
      </c>
      <c r="L244" s="14">
        <v>12</v>
      </c>
      <c r="M244" s="14"/>
      <c r="N244" s="44">
        <f>(K244*Table1[[#This Row],[Ühik2]])+M244</f>
        <v>18720</v>
      </c>
      <c r="O244" s="44">
        <f>Table1[[#This Row],[2020. EA ]]*0.338</f>
        <v>6327.3600000000006</v>
      </c>
      <c r="P244" s="14"/>
    </row>
    <row r="245" spans="1:16" x14ac:dyDescent="0.25">
      <c r="A245" s="14" t="str">
        <f t="shared" si="31"/>
        <v>09</v>
      </c>
      <c r="B245" t="s">
        <v>359</v>
      </c>
      <c r="C245" s="14" t="str">
        <f>VLOOKUP(B245,Table4[],2,FALSE)</f>
        <v xml:space="preserve"> Haldus</v>
      </c>
      <c r="D245" s="39" t="str">
        <f>VLOOKUP(Table1[[#This Row],[Tegevusala]],Table4[[Tegevusala kood]:[Tegevusala alanimetus]],4,FALSE)</f>
        <v>Muu haridus, sh hariduse haldus</v>
      </c>
      <c r="E245" s="14" t="str">
        <f>VLOOKUP(C245,Table4[[Tegevusala nimetus]:[Tegevusala koondnimetus]],2,FALSE)</f>
        <v>Haridus</v>
      </c>
      <c r="F245" s="14" t="s">
        <v>1540</v>
      </c>
      <c r="G245" s="14" t="s">
        <v>1541</v>
      </c>
      <c r="H245" s="14">
        <v>1</v>
      </c>
      <c r="I245" s="14"/>
      <c r="J245" s="14">
        <v>1450</v>
      </c>
      <c r="K245" s="14">
        <f t="shared" si="28"/>
        <v>1450</v>
      </c>
      <c r="L245" s="14">
        <v>12</v>
      </c>
      <c r="M245" s="14"/>
      <c r="N245" s="44">
        <f>(K245*Table1[[#This Row],[Ühik2]])+M245</f>
        <v>17400</v>
      </c>
      <c r="O245" s="44">
        <f>Table1[[#This Row],[2020. EA ]]*0.338</f>
        <v>5881.2000000000007</v>
      </c>
      <c r="P245" s="14"/>
    </row>
    <row r="246" spans="1:16" x14ac:dyDescent="0.25">
      <c r="A246" s="14" t="str">
        <f t="shared" si="31"/>
        <v>09</v>
      </c>
      <c r="B246" t="s">
        <v>359</v>
      </c>
      <c r="C246" s="14" t="str">
        <f>VLOOKUP(B246,Table4[],2,FALSE)</f>
        <v xml:space="preserve"> Haldus</v>
      </c>
      <c r="D246" s="39" t="str">
        <f>VLOOKUP(Table1[[#This Row],[Tegevusala]],Table4[[Tegevusala kood]:[Tegevusala alanimetus]],4,FALSE)</f>
        <v>Muu haridus, sh hariduse haldus</v>
      </c>
      <c r="E246" s="14" t="str">
        <f>VLOOKUP(C246,Table4[[Tegevusala nimetus]:[Tegevusala koondnimetus]],2,FALSE)</f>
        <v>Haridus</v>
      </c>
      <c r="F246" s="14" t="s">
        <v>1540</v>
      </c>
      <c r="G246" s="14" t="s">
        <v>1542</v>
      </c>
      <c r="H246" s="14">
        <v>1</v>
      </c>
      <c r="I246" s="14"/>
      <c r="J246" s="14">
        <v>1450</v>
      </c>
      <c r="K246" s="14">
        <f t="shared" si="28"/>
        <v>1450</v>
      </c>
      <c r="L246" s="14">
        <v>12</v>
      </c>
      <c r="M246" s="14"/>
      <c r="N246" s="44">
        <f>(K246*Table1[[#This Row],[Ühik2]])+M246</f>
        <v>17400</v>
      </c>
      <c r="O246" s="44">
        <f>Table1[[#This Row],[2020. EA ]]*0.338</f>
        <v>5881.2000000000007</v>
      </c>
      <c r="P246" s="14"/>
    </row>
    <row r="247" spans="1:16" x14ac:dyDescent="0.25">
      <c r="A247" s="14" t="str">
        <f t="shared" si="31"/>
        <v>09</v>
      </c>
      <c r="B247" t="s">
        <v>51</v>
      </c>
      <c r="C247" s="14" t="str">
        <f>VLOOKUP(B247,Table4[],2,FALSE)</f>
        <v xml:space="preserve"> Noorte huviharidus ja huvitegevus</v>
      </c>
      <c r="D247" s="39" t="str">
        <f>VLOOKUP(Table1[[#This Row],[Tegevusala]],Table4[[Tegevusala kood]:[Tegevusala alanimetus]],4,FALSE)</f>
        <v>Noorte huviharidus ja huvitegevus</v>
      </c>
      <c r="E247" s="14" t="str">
        <f>VLOOKUP(C247,Table4[[Tegevusala nimetus]:[Tegevusala koondnimetus]],2,FALSE)</f>
        <v>Haridus</v>
      </c>
      <c r="F247" s="14" t="s">
        <v>1540</v>
      </c>
      <c r="G247" s="14" t="s">
        <v>1560</v>
      </c>
      <c r="H247" s="14">
        <v>1</v>
      </c>
      <c r="I247" s="14"/>
      <c r="J247" s="14">
        <v>108370.7</v>
      </c>
      <c r="K247" s="14">
        <f t="shared" si="28"/>
        <v>108370.7</v>
      </c>
      <c r="L247" s="14">
        <v>1</v>
      </c>
      <c r="M247" s="14"/>
      <c r="N247" s="44">
        <f>(K247*Table1[[#This Row],[Ühik2]])+M247</f>
        <v>108370.7</v>
      </c>
      <c r="O247" s="44">
        <f>Table1[[#This Row],[2020. EA ]]*0.338</f>
        <v>36629.296600000001</v>
      </c>
      <c r="P247" s="14"/>
    </row>
    <row r="248" spans="1:16" x14ac:dyDescent="0.25">
      <c r="A248" s="14" t="str">
        <f t="shared" si="31"/>
        <v>08</v>
      </c>
      <c r="B248" t="s">
        <v>321</v>
      </c>
      <c r="C248" s="14" t="str">
        <f>VLOOKUP(B248,Table4[],2,FALSE)</f>
        <v xml:space="preserve"> Venevere Seltsimaja</v>
      </c>
      <c r="D248" s="39" t="str">
        <f>VLOOKUP(Table1[[#This Row],[Tegevusala]],Table4[[Tegevusala kood]:[Tegevusala alanimetus]],4,FALSE)</f>
        <v>Rahvakultuur</v>
      </c>
      <c r="E248" s="14" t="str">
        <f>VLOOKUP(C248,Table4[[Tegevusala nimetus]:[Tegevusala koondnimetus]],2,FALSE)</f>
        <v>Vabaaeg, kultuur ja religioon</v>
      </c>
      <c r="F248" s="14" t="s">
        <v>1585</v>
      </c>
      <c r="G248" s="14" t="s">
        <v>489</v>
      </c>
      <c r="H248" s="14">
        <v>1</v>
      </c>
      <c r="I248" s="14"/>
      <c r="J248" s="14">
        <v>690</v>
      </c>
      <c r="K248" s="14">
        <f t="shared" si="28"/>
        <v>690</v>
      </c>
      <c r="L248" s="14">
        <v>12</v>
      </c>
      <c r="M248" s="14"/>
      <c r="N248" s="44">
        <f>(K248*Table1[[#This Row],[Ühik2]])+M248</f>
        <v>8280</v>
      </c>
      <c r="O248" s="44">
        <f>Table1[[#This Row],[2020. EA ]]*0.338</f>
        <v>2798.6400000000003</v>
      </c>
      <c r="P248" s="14"/>
    </row>
    <row r="249" spans="1:16" x14ac:dyDescent="0.25">
      <c r="A249" s="14" t="str">
        <f t="shared" si="31"/>
        <v>08</v>
      </c>
      <c r="B249" t="s">
        <v>321</v>
      </c>
      <c r="C249" s="14" t="str">
        <f>VLOOKUP(B249,Table4[],2,FALSE)</f>
        <v xml:space="preserve"> Venevere Seltsimaja</v>
      </c>
      <c r="D249" s="39" t="str">
        <f>VLOOKUP(Table1[[#This Row],[Tegevusala]],Table4[[Tegevusala kood]:[Tegevusala alanimetus]],4,FALSE)</f>
        <v>Rahvakultuur</v>
      </c>
      <c r="E249" s="14" t="str">
        <f>VLOOKUP(C249,Table4[[Tegevusala nimetus]:[Tegevusala koondnimetus]],2,FALSE)</f>
        <v>Vabaaeg, kultuur ja religioon</v>
      </c>
      <c r="F249" s="14" t="s">
        <v>1585</v>
      </c>
      <c r="G249" s="14" t="s">
        <v>935</v>
      </c>
      <c r="H249" s="14">
        <v>1</v>
      </c>
      <c r="I249" s="14"/>
      <c r="J249" s="14"/>
      <c r="K249" s="14">
        <f t="shared" si="28"/>
        <v>0</v>
      </c>
      <c r="L249" s="14"/>
      <c r="M249" s="14">
        <v>650</v>
      </c>
      <c r="N249" s="44">
        <f>(K249*Table1[[#This Row],[Ühik2]])+M249</f>
        <v>650</v>
      </c>
      <c r="O249" s="44">
        <f>Table1[[#This Row],[2020. EA ]]*0.338</f>
        <v>219.70000000000002</v>
      </c>
      <c r="P249" s="14"/>
    </row>
    <row r="250" spans="1:16" x14ac:dyDescent="0.25">
      <c r="A250" s="14" t="str">
        <f t="shared" ref="A250:A254" si="32">LEFT(B250,2)</f>
        <v>10</v>
      </c>
      <c r="B250" t="s">
        <v>372</v>
      </c>
      <c r="C250" s="14" t="str">
        <f>VLOOKUP(B250,Table4[],2,FALSE)</f>
        <v xml:space="preserve"> Tammiku Kodu</v>
      </c>
      <c r="D250" s="39" t="str">
        <f>VLOOKUP(Table1[[#This Row],[Tegevusala]],Table4[[Tegevusala kood]:[Tegevusala alanimetus]],4,FALSE)</f>
        <v>Eakate sotsiaalhoolekande asutused</v>
      </c>
      <c r="E250" s="14" t="str">
        <f>VLOOKUP(C250,Table4[[Tegevusala nimetus]:[Tegevusala koondnimetus]],2,FALSE)</f>
        <v>Sotsiaalne kaitse</v>
      </c>
      <c r="F250" s="14" t="s">
        <v>1594</v>
      </c>
      <c r="G250" s="14" t="s">
        <v>1593</v>
      </c>
      <c r="H250" s="14">
        <v>6</v>
      </c>
      <c r="I250" s="14"/>
      <c r="J250" s="37">
        <v>748</v>
      </c>
      <c r="K250" s="14">
        <f t="shared" si="28"/>
        <v>4488</v>
      </c>
      <c r="L250" s="14">
        <v>12</v>
      </c>
      <c r="M250" s="14"/>
      <c r="N250" s="44">
        <f>(K250*Table1[[#This Row],[Ühik2]])+M250</f>
        <v>53856</v>
      </c>
      <c r="O250" s="44">
        <f>Table1[[#This Row],[2020. EA ]]*0.338</f>
        <v>18203.328000000001</v>
      </c>
      <c r="P250" s="14" t="s">
        <v>2146</v>
      </c>
    </row>
    <row r="251" spans="1:16" x14ac:dyDescent="0.25">
      <c r="A251" s="14" t="str">
        <f t="shared" si="32"/>
        <v>10</v>
      </c>
      <c r="B251" t="s">
        <v>372</v>
      </c>
      <c r="C251" s="14" t="str">
        <f>VLOOKUP(B251,Table4[],2,FALSE)</f>
        <v xml:space="preserve"> Tammiku Kodu</v>
      </c>
      <c r="D251" s="39" t="str">
        <f>VLOOKUP(Table1[[#This Row],[Tegevusala]],Table4[[Tegevusala kood]:[Tegevusala alanimetus]],4,FALSE)</f>
        <v>Eakate sotsiaalhoolekande asutused</v>
      </c>
      <c r="E251" s="14" t="str">
        <f>VLOOKUP(C251,Table4[[Tegevusala nimetus]:[Tegevusala koondnimetus]],2,FALSE)</f>
        <v>Sotsiaalne kaitse</v>
      </c>
      <c r="F251" s="14" t="s">
        <v>1594</v>
      </c>
      <c r="G251" s="14" t="s">
        <v>484</v>
      </c>
      <c r="H251" s="14">
        <v>1</v>
      </c>
      <c r="I251" s="14"/>
      <c r="J251" s="37">
        <v>660</v>
      </c>
      <c r="K251" s="14">
        <f t="shared" si="28"/>
        <v>660</v>
      </c>
      <c r="L251" s="14">
        <v>12</v>
      </c>
      <c r="M251" s="14"/>
      <c r="N251" s="44">
        <f>(K251*Table1[[#This Row],[Ühik2]])+M251</f>
        <v>7920</v>
      </c>
      <c r="O251" s="44">
        <f>Table1[[#This Row],[2020. EA ]]*0.338</f>
        <v>2676.96</v>
      </c>
      <c r="P251" s="14" t="s">
        <v>2146</v>
      </c>
    </row>
    <row r="252" spans="1:16" x14ac:dyDescent="0.25">
      <c r="A252" s="37" t="str">
        <f t="shared" si="32"/>
        <v>10</v>
      </c>
      <c r="B252" s="8" t="s">
        <v>372</v>
      </c>
      <c r="C252" s="37" t="str">
        <f>VLOOKUP(B252,Table4[],2,FALSE)</f>
        <v xml:space="preserve"> Tammiku Kodu</v>
      </c>
      <c r="D252" s="48" t="str">
        <f>VLOOKUP(Table1[[#This Row],[Tegevusala]],Table4[[Tegevusala kood]:[Tegevusala alanimetus]],4,FALSE)</f>
        <v>Eakate sotsiaalhoolekande asutused</v>
      </c>
      <c r="E252" s="37" t="str">
        <f>VLOOKUP(C252,Table4[[Tegevusala nimetus]:[Tegevusala koondnimetus]],2,FALSE)</f>
        <v>Sotsiaalne kaitse</v>
      </c>
      <c r="F252" s="37" t="s">
        <v>1594</v>
      </c>
      <c r="G252" s="37" t="s">
        <v>484</v>
      </c>
      <c r="H252" s="37">
        <v>1</v>
      </c>
      <c r="I252" s="37"/>
      <c r="J252" s="37">
        <v>584</v>
      </c>
      <c r="K252" s="37">
        <f t="shared" si="28"/>
        <v>584</v>
      </c>
      <c r="L252" s="37">
        <v>12</v>
      </c>
      <c r="M252" s="37"/>
      <c r="N252" s="46">
        <f>(K252*Table1[[#This Row],[Ühik2]])+M252</f>
        <v>7008</v>
      </c>
      <c r="O252" s="46">
        <f>Table1[[#This Row],[2020. EA ]]*0.338</f>
        <v>2368.7040000000002</v>
      </c>
      <c r="P252" s="37" t="s">
        <v>2146</v>
      </c>
    </row>
    <row r="253" spans="1:16" x14ac:dyDescent="0.25">
      <c r="A253" s="37" t="str">
        <f t="shared" si="32"/>
        <v>10</v>
      </c>
      <c r="B253" s="8" t="s">
        <v>372</v>
      </c>
      <c r="C253" s="37" t="str">
        <f>VLOOKUP(B253,Table4[],2,FALSE)</f>
        <v xml:space="preserve"> Tammiku Kodu</v>
      </c>
      <c r="D253" s="48" t="str">
        <f>VLOOKUP(Table1[[#This Row],[Tegevusala]],Table4[[Tegevusala kood]:[Tegevusala alanimetus]],4,FALSE)</f>
        <v>Eakate sotsiaalhoolekande asutused</v>
      </c>
      <c r="E253" s="37" t="str">
        <f>VLOOKUP(C253,Table4[[Tegevusala nimetus]:[Tegevusala koondnimetus]],2,FALSE)</f>
        <v>Sotsiaalne kaitse</v>
      </c>
      <c r="F253" s="37" t="s">
        <v>1594</v>
      </c>
      <c r="G253" s="37" t="s">
        <v>479</v>
      </c>
      <c r="H253" s="37">
        <v>0.5</v>
      </c>
      <c r="I253" s="37"/>
      <c r="J253" s="37">
        <v>584</v>
      </c>
      <c r="K253" s="37">
        <f t="shared" si="28"/>
        <v>292</v>
      </c>
      <c r="L253" s="37">
        <v>12</v>
      </c>
      <c r="M253" s="37"/>
      <c r="N253" s="46">
        <f>(K253*Table1[[#This Row],[Ühik2]])+M253</f>
        <v>3504</v>
      </c>
      <c r="O253" s="46">
        <f>Table1[[#This Row],[2020. EA ]]*0.338</f>
        <v>1184.3520000000001</v>
      </c>
      <c r="P253" s="37" t="s">
        <v>2146</v>
      </c>
    </row>
    <row r="254" spans="1:16" x14ac:dyDescent="0.25">
      <c r="A254" s="14" t="str">
        <f t="shared" si="32"/>
        <v>10</v>
      </c>
      <c r="B254" t="s">
        <v>372</v>
      </c>
      <c r="C254" s="14" t="str">
        <f>VLOOKUP(B254,Table4[],2,FALSE)</f>
        <v xml:space="preserve"> Tammiku Kodu</v>
      </c>
      <c r="D254" s="39" t="str">
        <f>VLOOKUP(Table1[[#This Row],[Tegevusala]],Table4[[Tegevusala kood]:[Tegevusala alanimetus]],4,FALSE)</f>
        <v>Eakate sotsiaalhoolekande asutused</v>
      </c>
      <c r="E254" s="14" t="str">
        <f>VLOOKUP(C254,Table4[[Tegevusala nimetus]:[Tegevusala koondnimetus]],2,FALSE)</f>
        <v>Sotsiaalne kaitse</v>
      </c>
      <c r="F254" s="14" t="s">
        <v>1594</v>
      </c>
      <c r="G254" s="14" t="s">
        <v>489</v>
      </c>
      <c r="H254" s="14">
        <v>1</v>
      </c>
      <c r="I254" s="14"/>
      <c r="J254" s="37">
        <v>1060</v>
      </c>
      <c r="K254" s="14">
        <f t="shared" si="28"/>
        <v>1060</v>
      </c>
      <c r="L254" s="14">
        <v>12</v>
      </c>
      <c r="M254" s="14"/>
      <c r="N254" s="44">
        <f>(K254*Table1[[#This Row],[Ühik2]])+M254</f>
        <v>12720</v>
      </c>
      <c r="O254" s="44">
        <f>Table1[[#This Row],[2020. EA ]]*0.338</f>
        <v>4299.3600000000006</v>
      </c>
      <c r="P254" s="14" t="s">
        <v>2146</v>
      </c>
    </row>
    <row r="255" spans="1:16" x14ac:dyDescent="0.25">
      <c r="A255" s="14" t="str">
        <f>LEFT(B255,2)</f>
        <v>10</v>
      </c>
      <c r="B255" t="s">
        <v>372</v>
      </c>
      <c r="C255" s="14" t="str">
        <f>VLOOKUP(B255,Table4[],2,FALSE)</f>
        <v xml:space="preserve"> Tammiku Kodu</v>
      </c>
      <c r="D255" s="39" t="str">
        <f>VLOOKUP(Table1[[#This Row],[Tegevusala]],Table4[[Tegevusala kood]:[Tegevusala alanimetus]],4,FALSE)</f>
        <v>Eakate sotsiaalhoolekande asutused</v>
      </c>
      <c r="E255" s="14" t="str">
        <f>VLOOKUP(C255,Table4[[Tegevusala nimetus]:[Tegevusala koondnimetus]],2,FALSE)</f>
        <v>Sotsiaalne kaitse</v>
      </c>
      <c r="F255" s="14" t="s">
        <v>1594</v>
      </c>
      <c r="G255" s="14" t="s">
        <v>1519</v>
      </c>
      <c r="H255" s="14">
        <v>1</v>
      </c>
      <c r="I255" s="14"/>
      <c r="J255" s="14"/>
      <c r="K255" s="14">
        <f t="shared" ref="K255:K315" si="33">H255*J255</f>
        <v>0</v>
      </c>
      <c r="L255" s="14"/>
      <c r="M255" s="14">
        <v>7842</v>
      </c>
      <c r="N255" s="44">
        <f>(K255*Table1[[#This Row],[Ühik2]])+M255</f>
        <v>7842</v>
      </c>
      <c r="O255" s="44">
        <f>Table1[[#This Row],[2020. EA ]]*0.338</f>
        <v>2650.596</v>
      </c>
      <c r="P255" s="14"/>
    </row>
    <row r="256" spans="1:16" x14ac:dyDescent="0.25">
      <c r="A256" s="14" t="str">
        <f t="shared" ref="A256:A261" si="34">LEFT(B256,2)</f>
        <v>10</v>
      </c>
      <c r="B256" s="3" t="s">
        <v>374</v>
      </c>
      <c r="C256" s="14" t="str">
        <f>VLOOKUP(B256,Table4[],2,FALSE)</f>
        <v xml:space="preserve"> Ulvi Hooldekodu</v>
      </c>
      <c r="D256" s="39" t="str">
        <f>VLOOKUP(Table1[[#This Row],[Tegevusala]],Table4[[Tegevusala kood]:[Tegevusala alanimetus]],4,FALSE)</f>
        <v>Eakate sotsiaalhoolekande asutused</v>
      </c>
      <c r="E256" s="14" t="str">
        <f>VLOOKUP(C256,Table4[[Tegevusala nimetus]:[Tegevusala koondnimetus]],2,FALSE)</f>
        <v>Sotsiaalne kaitse</v>
      </c>
      <c r="F256" s="14" t="s">
        <v>1641</v>
      </c>
      <c r="G256" s="14" t="s">
        <v>489</v>
      </c>
      <c r="H256" s="14">
        <v>1</v>
      </c>
      <c r="I256" s="14"/>
      <c r="J256" s="14">
        <v>1435</v>
      </c>
      <c r="K256" s="14">
        <f t="shared" si="33"/>
        <v>1435</v>
      </c>
      <c r="L256" s="14">
        <v>12</v>
      </c>
      <c r="M256" s="14"/>
      <c r="N256" s="44">
        <f>(K256*Table1[[#This Row],[Ühik2]])+M256</f>
        <v>17220</v>
      </c>
      <c r="O256" s="44">
        <f>Table1[[#This Row],[2020. EA ]]*0.338</f>
        <v>5820.3600000000006</v>
      </c>
      <c r="P256" s="14"/>
    </row>
    <row r="257" spans="1:16" x14ac:dyDescent="0.25">
      <c r="A257" s="14" t="str">
        <f t="shared" si="34"/>
        <v>10</v>
      </c>
      <c r="B257" s="3" t="s">
        <v>374</v>
      </c>
      <c r="C257" s="14" t="str">
        <f>VLOOKUP(B257,Table4[],2,FALSE)</f>
        <v xml:space="preserve"> Ulvi Hooldekodu</v>
      </c>
      <c r="D257" s="39" t="str">
        <f>VLOOKUP(Table1[[#This Row],[Tegevusala]],Table4[[Tegevusala kood]:[Tegevusala alanimetus]],4,FALSE)</f>
        <v>Eakate sotsiaalhoolekande asutused</v>
      </c>
      <c r="E257" s="14" t="str">
        <f>VLOOKUP(C257,Table4[[Tegevusala nimetus]:[Tegevusala koondnimetus]],2,FALSE)</f>
        <v>Sotsiaalne kaitse</v>
      </c>
      <c r="F257" s="14" t="s">
        <v>1641</v>
      </c>
      <c r="G257" s="14" t="s">
        <v>1212</v>
      </c>
      <c r="H257" s="14">
        <v>2</v>
      </c>
      <c r="I257" s="14"/>
      <c r="J257" s="14">
        <v>891</v>
      </c>
      <c r="K257" s="14">
        <f t="shared" si="33"/>
        <v>1782</v>
      </c>
      <c r="L257" s="14">
        <v>12</v>
      </c>
      <c r="M257" s="14"/>
      <c r="N257" s="44">
        <f>(K257*Table1[[#This Row],[Ühik2]])+M257</f>
        <v>21384</v>
      </c>
      <c r="O257" s="44">
        <f>Table1[[#This Row],[2020. EA ]]*0.338</f>
        <v>7227.7920000000004</v>
      </c>
      <c r="P257" s="14"/>
    </row>
    <row r="258" spans="1:16" x14ac:dyDescent="0.25">
      <c r="A258" s="14" t="str">
        <f t="shared" si="34"/>
        <v>10</v>
      </c>
      <c r="B258" s="3" t="s">
        <v>374</v>
      </c>
      <c r="C258" s="14" t="str">
        <f>VLOOKUP(B258,Table4[],2,FALSE)</f>
        <v xml:space="preserve"> Ulvi Hooldekodu</v>
      </c>
      <c r="D258" s="39" t="str">
        <f>VLOOKUP(Table1[[#This Row],[Tegevusala]],Table4[[Tegevusala kood]:[Tegevusala alanimetus]],4,FALSE)</f>
        <v>Eakate sotsiaalhoolekande asutused</v>
      </c>
      <c r="E258" s="14" t="str">
        <f>VLOOKUP(C258,Table4[[Tegevusala nimetus]:[Tegevusala koondnimetus]],2,FALSE)</f>
        <v>Sotsiaalne kaitse</v>
      </c>
      <c r="F258" s="14" t="s">
        <v>1641</v>
      </c>
      <c r="G258" s="14" t="s">
        <v>1372</v>
      </c>
      <c r="H258" s="14">
        <v>1</v>
      </c>
      <c r="I258" s="14"/>
      <c r="J258" s="14">
        <v>880</v>
      </c>
      <c r="K258" s="14">
        <f t="shared" si="33"/>
        <v>880</v>
      </c>
      <c r="L258" s="14">
        <v>12</v>
      </c>
      <c r="M258" s="14"/>
      <c r="N258" s="44">
        <f>(K258*Table1[[#This Row],[Ühik2]])+M258</f>
        <v>10560</v>
      </c>
      <c r="O258" s="44">
        <f>Table1[[#This Row],[2020. EA ]]*0.338</f>
        <v>3569.28</v>
      </c>
      <c r="P258" s="14"/>
    </row>
    <row r="259" spans="1:16" x14ac:dyDescent="0.25">
      <c r="A259" s="14" t="str">
        <f t="shared" si="34"/>
        <v>10</v>
      </c>
      <c r="B259" s="3" t="s">
        <v>374</v>
      </c>
      <c r="C259" s="14" t="str">
        <f>VLOOKUP(B259,Table4[],2,FALSE)</f>
        <v xml:space="preserve"> Ulvi Hooldekodu</v>
      </c>
      <c r="D259" s="39" t="str">
        <f>VLOOKUP(Table1[[#This Row],[Tegevusala]],Table4[[Tegevusala kood]:[Tegevusala alanimetus]],4,FALSE)</f>
        <v>Eakate sotsiaalhoolekande asutused</v>
      </c>
      <c r="E259" s="14" t="str">
        <f>VLOOKUP(C259,Table4[[Tegevusala nimetus]:[Tegevusala koondnimetus]],2,FALSE)</f>
        <v>Sotsiaalne kaitse</v>
      </c>
      <c r="F259" s="14" t="s">
        <v>1641</v>
      </c>
      <c r="G259" s="14" t="s">
        <v>1402</v>
      </c>
      <c r="H259" s="14">
        <v>1</v>
      </c>
      <c r="I259" s="14"/>
      <c r="J259" s="14">
        <v>770</v>
      </c>
      <c r="K259" s="14">
        <f t="shared" si="33"/>
        <v>770</v>
      </c>
      <c r="L259" s="14">
        <v>12</v>
      </c>
      <c r="M259" s="14"/>
      <c r="N259" s="44">
        <f>(K259*Table1[[#This Row],[Ühik2]])+M259</f>
        <v>9240</v>
      </c>
      <c r="O259" s="44">
        <f>Table1[[#This Row],[2020. EA ]]*0.338</f>
        <v>3123.1200000000003</v>
      </c>
      <c r="P259" s="14"/>
    </row>
    <row r="260" spans="1:16" x14ac:dyDescent="0.25">
      <c r="A260" s="91" t="str">
        <f t="shared" si="34"/>
        <v>10</v>
      </c>
      <c r="B260" s="96" t="s">
        <v>374</v>
      </c>
      <c r="C260" s="91" t="str">
        <f>VLOOKUP(B260,Table4[],2,FALSE)</f>
        <v xml:space="preserve"> Ulvi Hooldekodu</v>
      </c>
      <c r="D260" s="95" t="str">
        <f>VLOOKUP(Table1[[#This Row],[Tegevusala]],Table4[[Tegevusala kood]:[Tegevusala alanimetus]],4,FALSE)</f>
        <v>Eakate sotsiaalhoolekande asutused</v>
      </c>
      <c r="E260" s="91" t="str">
        <f>VLOOKUP(C260,Table4[[Tegevusala nimetus]:[Tegevusala koondnimetus]],2,FALSE)</f>
        <v>Sotsiaalne kaitse</v>
      </c>
      <c r="F260" s="91" t="s">
        <v>1641</v>
      </c>
      <c r="G260" s="91" t="s">
        <v>479</v>
      </c>
      <c r="H260" s="91">
        <v>1</v>
      </c>
      <c r="I260" s="91"/>
      <c r="J260" s="91">
        <v>292</v>
      </c>
      <c r="K260" s="91">
        <f t="shared" si="33"/>
        <v>292</v>
      </c>
      <c r="L260" s="91">
        <v>12</v>
      </c>
      <c r="M260" s="91"/>
      <c r="N260" s="93">
        <f>(K260*Table1[[#This Row],[Ühik2]])+M260</f>
        <v>3504</v>
      </c>
      <c r="O260" s="93">
        <f>Table1[[#This Row],[2020. EA ]]*0.338</f>
        <v>1184.3520000000001</v>
      </c>
      <c r="P260" s="91"/>
    </row>
    <row r="261" spans="1:16" x14ac:dyDescent="0.25">
      <c r="A261" s="14" t="str">
        <f t="shared" si="34"/>
        <v>10</v>
      </c>
      <c r="B261" s="3" t="s">
        <v>374</v>
      </c>
      <c r="C261" s="14" t="str">
        <f>VLOOKUP(B261,Table4[],2,FALSE)</f>
        <v xml:space="preserve"> Ulvi Hooldekodu</v>
      </c>
      <c r="D261" s="39" t="str">
        <f>VLOOKUP(Table1[[#This Row],[Tegevusala]],Table4[[Tegevusala kood]:[Tegevusala alanimetus]],4,FALSE)</f>
        <v>Eakate sotsiaalhoolekande asutused</v>
      </c>
      <c r="E261" s="14" t="str">
        <f>VLOOKUP(C261,Table4[[Tegevusala nimetus]:[Tegevusala koondnimetus]],2,FALSE)</f>
        <v>Sotsiaalne kaitse</v>
      </c>
      <c r="F261" s="14" t="s">
        <v>1641</v>
      </c>
      <c r="G261" s="14" t="s">
        <v>1642</v>
      </c>
      <c r="H261" s="14">
        <v>6.5</v>
      </c>
      <c r="I261" s="14"/>
      <c r="J261" s="14">
        <v>948.61540000000002</v>
      </c>
      <c r="K261" s="14">
        <f t="shared" si="33"/>
        <v>6166.0001000000002</v>
      </c>
      <c r="L261" s="14">
        <v>12</v>
      </c>
      <c r="M261" s="14"/>
      <c r="N261" s="44">
        <f>(K261*Table1[[#This Row],[Ühik2]])+M261</f>
        <v>73992.001199999999</v>
      </c>
      <c r="O261" s="44">
        <f>Table1[[#This Row],[2020. EA ]]*0.338</f>
        <v>25009.296405600002</v>
      </c>
      <c r="P261" s="14"/>
    </row>
    <row r="262" spans="1:16" x14ac:dyDescent="0.25">
      <c r="A262" s="14" t="str">
        <f>LEFT(B262,2)</f>
        <v>10</v>
      </c>
      <c r="B262" s="3" t="s">
        <v>374</v>
      </c>
      <c r="C262" s="14" t="str">
        <f>VLOOKUP(B262,Table4[],2,FALSE)</f>
        <v xml:space="preserve"> Ulvi Hooldekodu</v>
      </c>
      <c r="D262" s="39" t="str">
        <f>VLOOKUP(Table1[[#This Row],[Tegevusala]],Table4[[Tegevusala kood]:[Tegevusala alanimetus]],4,FALSE)</f>
        <v>Eakate sotsiaalhoolekande asutused</v>
      </c>
      <c r="E262" s="14" t="str">
        <f>VLOOKUP(C262,Table4[[Tegevusala nimetus]:[Tegevusala koondnimetus]],2,FALSE)</f>
        <v>Sotsiaalne kaitse</v>
      </c>
      <c r="F262" s="14" t="s">
        <v>1641</v>
      </c>
      <c r="G262" s="14" t="s">
        <v>935</v>
      </c>
      <c r="H262" s="14">
        <v>1</v>
      </c>
      <c r="I262" s="14"/>
      <c r="J262" s="14"/>
      <c r="K262" s="14">
        <f t="shared" si="33"/>
        <v>0</v>
      </c>
      <c r="L262" s="14"/>
      <c r="M262" s="14">
        <v>1600</v>
      </c>
      <c r="N262" s="44">
        <f>(K262*Table1[[#This Row],[Ühik2]])+M262</f>
        <v>1600</v>
      </c>
      <c r="O262" s="44">
        <f>Table1[[#This Row],[2020. EA ]]*0.338</f>
        <v>540.80000000000007</v>
      </c>
      <c r="P262" s="14"/>
    </row>
    <row r="263" spans="1:16" x14ac:dyDescent="0.25">
      <c r="A263" s="14" t="str">
        <f>LEFT(B263,2)</f>
        <v>08</v>
      </c>
      <c r="B263" t="s">
        <v>302</v>
      </c>
      <c r="C263" s="14" t="str">
        <f>VLOOKUP(B263,Table4[],2,FALSE)</f>
        <v xml:space="preserve"> Tudu Raamatukogu</v>
      </c>
      <c r="D263" s="39" t="str">
        <f>VLOOKUP(Table1[[#This Row],[Tegevusala]],Table4[[Tegevusala kood]:[Tegevusala alanimetus]],4,FALSE)</f>
        <v>Raamatukogud</v>
      </c>
      <c r="E263" s="14" t="str">
        <f>VLOOKUP(C263,Table4[[Tegevusala nimetus]:[Tegevusala koondnimetus]],2,FALSE)</f>
        <v>Vabaaeg, kultuur ja religioon</v>
      </c>
      <c r="F263" s="14" t="s">
        <v>1672</v>
      </c>
      <c r="G263" s="14" t="s">
        <v>489</v>
      </c>
      <c r="H263" s="14">
        <v>1</v>
      </c>
      <c r="I263" s="14"/>
      <c r="J263" s="14">
        <v>591</v>
      </c>
      <c r="K263" s="14">
        <f t="shared" si="33"/>
        <v>591</v>
      </c>
      <c r="L263" s="14">
        <v>12</v>
      </c>
      <c r="M263" s="14"/>
      <c r="N263" s="44">
        <f>(K263*Table1[[#This Row],[Ühik2]])+M263</f>
        <v>7092</v>
      </c>
      <c r="O263" s="44">
        <f>Table1[[#This Row],[2020. EA ]]*0.338</f>
        <v>2397.096</v>
      </c>
      <c r="P263" s="14"/>
    </row>
    <row r="264" spans="1:16" x14ac:dyDescent="0.25">
      <c r="A264" s="14" t="str">
        <f t="shared" ref="A264:A286" si="35">LEFT(B264,2)</f>
        <v>10</v>
      </c>
      <c r="B264" s="3" t="s">
        <v>384</v>
      </c>
      <c r="C264" s="14" t="str">
        <f>VLOOKUP(B264,Table4[],2,FALSE)</f>
        <v xml:space="preserve"> Vinni Perekodu</v>
      </c>
      <c r="D264" s="39" t="str">
        <f>VLOOKUP(Table1[[#This Row],[Tegevusala]],Table4[[Tegevusala kood]:[Tegevusala alanimetus]],4,FALSE)</f>
        <v>Laste ja noorte sotsiaalhoolekande asutused</v>
      </c>
      <c r="E264" s="14" t="str">
        <f>VLOOKUP(C264,Table4[[Tegevusala nimetus]:[Tegevusala koondnimetus]],2,FALSE)</f>
        <v>Sotsiaalne kaitse</v>
      </c>
      <c r="F264" s="14" t="s">
        <v>1679</v>
      </c>
      <c r="G264" s="14" t="s">
        <v>489</v>
      </c>
      <c r="H264" s="14">
        <v>1</v>
      </c>
      <c r="I264" s="14"/>
      <c r="J264" s="14">
        <v>1800</v>
      </c>
      <c r="K264" s="14">
        <f t="shared" si="33"/>
        <v>1800</v>
      </c>
      <c r="L264" s="14">
        <v>12</v>
      </c>
      <c r="M264" s="14">
        <v>1800</v>
      </c>
      <c r="N264" s="44">
        <f>(K264*Table1[[#This Row],[Ühik2]])+M264</f>
        <v>23400</v>
      </c>
      <c r="O264" s="44">
        <f>Table1[[#This Row],[2020. EA ]]*0.338</f>
        <v>7909.2000000000007</v>
      </c>
      <c r="P264" s="14"/>
    </row>
    <row r="265" spans="1:16" x14ac:dyDescent="0.25">
      <c r="A265" s="14" t="str">
        <f t="shared" si="35"/>
        <v>10</v>
      </c>
      <c r="B265" s="3" t="s">
        <v>384</v>
      </c>
      <c r="C265" s="14" t="str">
        <f>VLOOKUP(B265,Table4[],2,FALSE)</f>
        <v xml:space="preserve"> Vinni Perekodu</v>
      </c>
      <c r="D265" s="39" t="str">
        <f>VLOOKUP(Table1[[#This Row],[Tegevusala]],Table4[[Tegevusala kood]:[Tegevusala alanimetus]],4,FALSE)</f>
        <v>Laste ja noorte sotsiaalhoolekande asutused</v>
      </c>
      <c r="E265" s="14" t="str">
        <f>VLOOKUP(C265,Table4[[Tegevusala nimetus]:[Tegevusala koondnimetus]],2,FALSE)</f>
        <v>Sotsiaalne kaitse</v>
      </c>
      <c r="F265" s="14" t="s">
        <v>1679</v>
      </c>
      <c r="G265" s="14" t="s">
        <v>471</v>
      </c>
      <c r="H265" s="14">
        <v>1</v>
      </c>
      <c r="I265" s="14"/>
      <c r="J265" s="14">
        <v>1350</v>
      </c>
      <c r="K265" s="14">
        <f t="shared" si="33"/>
        <v>1350</v>
      </c>
      <c r="L265" s="14">
        <v>12</v>
      </c>
      <c r="M265" s="14">
        <v>1350</v>
      </c>
      <c r="N265" s="44">
        <f>(K265*Table1[[#This Row],[Ühik2]])+M265</f>
        <v>17550</v>
      </c>
      <c r="O265" s="44">
        <f>Table1[[#This Row],[2020. EA ]]*0.338</f>
        <v>5931.9000000000005</v>
      </c>
      <c r="P265" s="14"/>
    </row>
    <row r="266" spans="1:16" x14ac:dyDescent="0.25">
      <c r="A266" s="38" t="str">
        <f t="shared" si="35"/>
        <v>10</v>
      </c>
      <c r="B266" s="34" t="s">
        <v>384</v>
      </c>
      <c r="C266" s="38" t="str">
        <f>VLOOKUP(B266,Table4[],2,FALSE)</f>
        <v xml:space="preserve"> Vinni Perekodu</v>
      </c>
      <c r="D266" s="39" t="str">
        <f>VLOOKUP(Table1[[#This Row],[Tegevusala]],Table4[[Tegevusala kood]:[Tegevusala alanimetus]],4,FALSE)</f>
        <v>Laste ja noorte sotsiaalhoolekande asutused</v>
      </c>
      <c r="E266" s="38" t="str">
        <f>VLOOKUP(C266,Table4[[Tegevusala nimetus]:[Tegevusala koondnimetus]],2,FALSE)</f>
        <v>Sotsiaalne kaitse</v>
      </c>
      <c r="F266" s="38" t="s">
        <v>1679</v>
      </c>
      <c r="G266" s="38" t="s">
        <v>1372</v>
      </c>
      <c r="H266" s="38">
        <v>1</v>
      </c>
      <c r="I266" s="38"/>
      <c r="J266" s="38">
        <v>1350</v>
      </c>
      <c r="K266" s="38">
        <f t="shared" si="33"/>
        <v>1350</v>
      </c>
      <c r="L266" s="38">
        <v>12</v>
      </c>
      <c r="M266" s="38">
        <v>1350</v>
      </c>
      <c r="N266" s="45">
        <f>(K266*Table1[[#This Row],[Ühik2]])+M266</f>
        <v>17550</v>
      </c>
      <c r="O266" s="45">
        <f>Table1[[#This Row],[2020. EA ]]*0.338</f>
        <v>5931.9000000000005</v>
      </c>
      <c r="P266" s="38"/>
    </row>
    <row r="267" spans="1:16" x14ac:dyDescent="0.25">
      <c r="A267" s="14" t="str">
        <f t="shared" si="35"/>
        <v>10</v>
      </c>
      <c r="B267" s="3" t="s">
        <v>384</v>
      </c>
      <c r="C267" s="14" t="str">
        <f>VLOOKUP(B267,Table4[],2,FALSE)</f>
        <v xml:space="preserve"> Vinni Perekodu</v>
      </c>
      <c r="D267" s="39" t="str">
        <f>VLOOKUP(Table1[[#This Row],[Tegevusala]],Table4[[Tegevusala kood]:[Tegevusala alanimetus]],4,FALSE)</f>
        <v>Laste ja noorte sotsiaalhoolekande asutused</v>
      </c>
      <c r="E267" s="14" t="str">
        <f>VLOOKUP(C267,Table4[[Tegevusala nimetus]:[Tegevusala koondnimetus]],2,FALSE)</f>
        <v>Sotsiaalne kaitse</v>
      </c>
      <c r="F267" s="14" t="s">
        <v>1679</v>
      </c>
      <c r="G267" s="14" t="s">
        <v>1681</v>
      </c>
      <c r="H267" s="14">
        <v>1</v>
      </c>
      <c r="I267" s="14"/>
      <c r="J267" s="14">
        <v>1250</v>
      </c>
      <c r="K267" s="14">
        <f t="shared" si="33"/>
        <v>1250</v>
      </c>
      <c r="L267" s="14">
        <v>12</v>
      </c>
      <c r="M267" s="14">
        <v>1250</v>
      </c>
      <c r="N267" s="44">
        <f>(K267*Table1[[#This Row],[Ühik2]])+M267</f>
        <v>16250</v>
      </c>
      <c r="O267" s="44">
        <f>Table1[[#This Row],[2020. EA ]]*0.338</f>
        <v>5492.5</v>
      </c>
      <c r="P267" s="14"/>
    </row>
    <row r="268" spans="1:16" x14ac:dyDescent="0.25">
      <c r="A268" s="14" t="str">
        <f t="shared" si="35"/>
        <v>10</v>
      </c>
      <c r="B268" s="3" t="s">
        <v>384</v>
      </c>
      <c r="C268" s="14" t="str">
        <f>VLOOKUP(B268,Table4[],2,FALSE)</f>
        <v xml:space="preserve"> Vinni Perekodu</v>
      </c>
      <c r="D268" s="39" t="str">
        <f>VLOOKUP(Table1[[#This Row],[Tegevusala]],Table4[[Tegevusala kood]:[Tegevusala alanimetus]],4,FALSE)</f>
        <v>Laste ja noorte sotsiaalhoolekande asutused</v>
      </c>
      <c r="E268" s="14" t="str">
        <f>VLOOKUP(C268,Table4[[Tegevusala nimetus]:[Tegevusala koondnimetus]],2,FALSE)</f>
        <v>Sotsiaalne kaitse</v>
      </c>
      <c r="F268" s="14" t="s">
        <v>1679</v>
      </c>
      <c r="G268" s="14" t="s">
        <v>1681</v>
      </c>
      <c r="H268" s="14">
        <v>1</v>
      </c>
      <c r="I268" s="14"/>
      <c r="J268" s="14">
        <v>1250</v>
      </c>
      <c r="K268" s="14">
        <f t="shared" si="33"/>
        <v>1250</v>
      </c>
      <c r="L268" s="14">
        <v>12</v>
      </c>
      <c r="M268" s="14">
        <v>1250</v>
      </c>
      <c r="N268" s="44">
        <f>(K268*Table1[[#This Row],[Ühik2]])+M268</f>
        <v>16250</v>
      </c>
      <c r="O268" s="44">
        <f>Table1[[#This Row],[2020. EA ]]*0.338</f>
        <v>5492.5</v>
      </c>
      <c r="P268" s="14"/>
    </row>
    <row r="269" spans="1:16" x14ac:dyDescent="0.25">
      <c r="A269" s="14" t="str">
        <f t="shared" si="35"/>
        <v>10</v>
      </c>
      <c r="B269" s="3" t="s">
        <v>384</v>
      </c>
      <c r="C269" s="14" t="str">
        <f>VLOOKUP(B269,Table4[],2,FALSE)</f>
        <v xml:space="preserve"> Vinni Perekodu</v>
      </c>
      <c r="D269" s="39" t="str">
        <f>VLOOKUP(Table1[[#This Row],[Tegevusala]],Table4[[Tegevusala kood]:[Tegevusala alanimetus]],4,FALSE)</f>
        <v>Laste ja noorte sotsiaalhoolekande asutused</v>
      </c>
      <c r="E269" s="14" t="str">
        <f>VLOOKUP(C269,Table4[[Tegevusala nimetus]:[Tegevusala koondnimetus]],2,FALSE)</f>
        <v>Sotsiaalne kaitse</v>
      </c>
      <c r="F269" s="14" t="s">
        <v>1679</v>
      </c>
      <c r="G269" s="14" t="s">
        <v>1681</v>
      </c>
      <c r="H269" s="14">
        <v>1</v>
      </c>
      <c r="I269" s="14"/>
      <c r="J269" s="14">
        <v>1250</v>
      </c>
      <c r="K269" s="14">
        <f t="shared" si="33"/>
        <v>1250</v>
      </c>
      <c r="L269" s="14">
        <v>12</v>
      </c>
      <c r="M269" s="14">
        <v>1250</v>
      </c>
      <c r="N269" s="44">
        <f>(K269*Table1[[#This Row],[Ühik2]])+M269</f>
        <v>16250</v>
      </c>
      <c r="O269" s="44">
        <f>Table1[[#This Row],[2020. EA ]]*0.338</f>
        <v>5492.5</v>
      </c>
      <c r="P269" s="14"/>
    </row>
    <row r="270" spans="1:16" x14ac:dyDescent="0.25">
      <c r="A270" s="14" t="str">
        <f t="shared" si="35"/>
        <v>10</v>
      </c>
      <c r="B270" s="3" t="s">
        <v>384</v>
      </c>
      <c r="C270" s="14" t="str">
        <f>VLOOKUP(B270,Table4[],2,FALSE)</f>
        <v xml:space="preserve"> Vinni Perekodu</v>
      </c>
      <c r="D270" s="39" t="str">
        <f>VLOOKUP(Table1[[#This Row],[Tegevusala]],Table4[[Tegevusala kood]:[Tegevusala alanimetus]],4,FALSE)</f>
        <v>Laste ja noorte sotsiaalhoolekande asutused</v>
      </c>
      <c r="E270" s="14" t="str">
        <f>VLOOKUP(C270,Table4[[Tegevusala nimetus]:[Tegevusala koondnimetus]],2,FALSE)</f>
        <v>Sotsiaalne kaitse</v>
      </c>
      <c r="F270" s="14" t="s">
        <v>1679</v>
      </c>
      <c r="G270" s="14" t="s">
        <v>1682</v>
      </c>
      <c r="H270" s="14">
        <v>1</v>
      </c>
      <c r="I270" s="14"/>
      <c r="J270" s="14">
        <v>1250</v>
      </c>
      <c r="K270" s="14">
        <f t="shared" si="33"/>
        <v>1250</v>
      </c>
      <c r="L270" s="14">
        <v>12</v>
      </c>
      <c r="M270" s="14">
        <v>1250</v>
      </c>
      <c r="N270" s="44">
        <f>(K270*Table1[[#This Row],[Ühik2]])+M270</f>
        <v>16250</v>
      </c>
      <c r="O270" s="44">
        <f>Table1[[#This Row],[2020. EA ]]*0.338</f>
        <v>5492.5</v>
      </c>
      <c r="P270" s="14"/>
    </row>
    <row r="271" spans="1:16" x14ac:dyDescent="0.25">
      <c r="A271" s="14" t="str">
        <f t="shared" si="35"/>
        <v>10</v>
      </c>
      <c r="B271" s="3" t="s">
        <v>384</v>
      </c>
      <c r="C271" s="14" t="str">
        <f>VLOOKUP(B271,Table4[],2,FALSE)</f>
        <v xml:space="preserve"> Vinni Perekodu</v>
      </c>
      <c r="D271" s="39" t="str">
        <f>VLOOKUP(Table1[[#This Row],[Tegevusala]],Table4[[Tegevusala kood]:[Tegevusala alanimetus]],4,FALSE)</f>
        <v>Laste ja noorte sotsiaalhoolekande asutused</v>
      </c>
      <c r="E271" s="14" t="str">
        <f>VLOOKUP(C271,Table4[[Tegevusala nimetus]:[Tegevusala koondnimetus]],2,FALSE)</f>
        <v>Sotsiaalne kaitse</v>
      </c>
      <c r="F271" s="14" t="s">
        <v>1679</v>
      </c>
      <c r="G271" s="14" t="s">
        <v>1682</v>
      </c>
      <c r="H271" s="14">
        <v>1</v>
      </c>
      <c r="I271" s="14"/>
      <c r="J271" s="14">
        <v>1250</v>
      </c>
      <c r="K271" s="14">
        <f t="shared" si="33"/>
        <v>1250</v>
      </c>
      <c r="L271" s="14">
        <v>12</v>
      </c>
      <c r="M271" s="14">
        <v>1250</v>
      </c>
      <c r="N271" s="44">
        <f>(K271*Table1[[#This Row],[Ühik2]])+M271</f>
        <v>16250</v>
      </c>
      <c r="O271" s="44">
        <f>Table1[[#This Row],[2020. EA ]]*0.338</f>
        <v>5492.5</v>
      </c>
      <c r="P271" s="14"/>
    </row>
    <row r="272" spans="1:16" x14ac:dyDescent="0.25">
      <c r="A272" s="14" t="str">
        <f t="shared" si="35"/>
        <v>10</v>
      </c>
      <c r="B272" s="3" t="s">
        <v>384</v>
      </c>
      <c r="C272" s="14" t="str">
        <f>VLOOKUP(B272,Table4[],2,FALSE)</f>
        <v xml:space="preserve"> Vinni Perekodu</v>
      </c>
      <c r="D272" s="39" t="str">
        <f>VLOOKUP(Table1[[#This Row],[Tegevusala]],Table4[[Tegevusala kood]:[Tegevusala alanimetus]],4,FALSE)</f>
        <v>Laste ja noorte sotsiaalhoolekande asutused</v>
      </c>
      <c r="E272" s="14" t="str">
        <f>VLOOKUP(C272,Table4[[Tegevusala nimetus]:[Tegevusala koondnimetus]],2,FALSE)</f>
        <v>Sotsiaalne kaitse</v>
      </c>
      <c r="F272" s="14" t="s">
        <v>1679</v>
      </c>
      <c r="G272" s="14" t="s">
        <v>1682</v>
      </c>
      <c r="H272" s="14">
        <v>1</v>
      </c>
      <c r="I272" s="14"/>
      <c r="J272" s="14">
        <v>1250</v>
      </c>
      <c r="K272" s="14">
        <f t="shared" si="33"/>
        <v>1250</v>
      </c>
      <c r="L272" s="14">
        <v>12</v>
      </c>
      <c r="M272" s="14">
        <v>1250</v>
      </c>
      <c r="N272" s="44">
        <f>(K272*Table1[[#This Row],[Ühik2]])+M272</f>
        <v>16250</v>
      </c>
      <c r="O272" s="44">
        <f>Table1[[#This Row],[2020. EA ]]*0.338</f>
        <v>5492.5</v>
      </c>
      <c r="P272" s="14"/>
    </row>
    <row r="273" spans="1:16" x14ac:dyDescent="0.25">
      <c r="A273" s="14" t="str">
        <f t="shared" si="35"/>
        <v>10</v>
      </c>
      <c r="B273" s="3" t="s">
        <v>384</v>
      </c>
      <c r="C273" s="14" t="str">
        <f>VLOOKUP(B273,Table4[],2,FALSE)</f>
        <v xml:space="preserve"> Vinni Perekodu</v>
      </c>
      <c r="D273" s="39" t="str">
        <f>VLOOKUP(Table1[[#This Row],[Tegevusala]],Table4[[Tegevusala kood]:[Tegevusala alanimetus]],4,FALSE)</f>
        <v>Laste ja noorte sotsiaalhoolekande asutused</v>
      </c>
      <c r="E273" s="14" t="str">
        <f>VLOOKUP(C273,Table4[[Tegevusala nimetus]:[Tegevusala koondnimetus]],2,FALSE)</f>
        <v>Sotsiaalne kaitse</v>
      </c>
      <c r="F273" s="14" t="s">
        <v>1679</v>
      </c>
      <c r="G273" s="14" t="s">
        <v>1683</v>
      </c>
      <c r="H273" s="14">
        <v>1</v>
      </c>
      <c r="I273" s="14"/>
      <c r="J273" s="14">
        <v>1250</v>
      </c>
      <c r="K273" s="14">
        <f t="shared" si="33"/>
        <v>1250</v>
      </c>
      <c r="L273" s="14">
        <v>12</v>
      </c>
      <c r="M273" s="14">
        <v>1250</v>
      </c>
      <c r="N273" s="44">
        <f>(K273*Table1[[#This Row],[Ühik2]])+M273</f>
        <v>16250</v>
      </c>
      <c r="O273" s="44">
        <f>Table1[[#This Row],[2020. EA ]]*0.338</f>
        <v>5492.5</v>
      </c>
      <c r="P273" s="14"/>
    </row>
    <row r="274" spans="1:16" x14ac:dyDescent="0.25">
      <c r="A274" s="14" t="str">
        <f t="shared" si="35"/>
        <v>10</v>
      </c>
      <c r="B274" s="3" t="s">
        <v>384</v>
      </c>
      <c r="C274" s="14" t="str">
        <f>VLOOKUP(B274,Table4[],2,FALSE)</f>
        <v xml:space="preserve"> Vinni Perekodu</v>
      </c>
      <c r="D274" s="39" t="str">
        <f>VLOOKUP(Table1[[#This Row],[Tegevusala]],Table4[[Tegevusala kood]:[Tegevusala alanimetus]],4,FALSE)</f>
        <v>Laste ja noorte sotsiaalhoolekande asutused</v>
      </c>
      <c r="E274" s="14" t="str">
        <f>VLOOKUP(C274,Table4[[Tegevusala nimetus]:[Tegevusala koondnimetus]],2,FALSE)</f>
        <v>Sotsiaalne kaitse</v>
      </c>
      <c r="F274" s="14" t="s">
        <v>1679</v>
      </c>
      <c r="G274" s="14" t="s">
        <v>1683</v>
      </c>
      <c r="H274" s="14">
        <v>1</v>
      </c>
      <c r="I274" s="14"/>
      <c r="J274" s="14">
        <v>1250</v>
      </c>
      <c r="K274" s="14">
        <f t="shared" si="33"/>
        <v>1250</v>
      </c>
      <c r="L274" s="14">
        <v>12</v>
      </c>
      <c r="M274" s="14">
        <v>1250</v>
      </c>
      <c r="N274" s="44">
        <f>(K274*Table1[[#This Row],[Ühik2]])+M274</f>
        <v>16250</v>
      </c>
      <c r="O274" s="44">
        <f>Table1[[#This Row],[2020. EA ]]*0.338</f>
        <v>5492.5</v>
      </c>
      <c r="P274" s="14"/>
    </row>
    <row r="275" spans="1:16" x14ac:dyDescent="0.25">
      <c r="A275" s="14" t="str">
        <f t="shared" si="35"/>
        <v>10</v>
      </c>
      <c r="B275" s="3" t="s">
        <v>384</v>
      </c>
      <c r="C275" s="14" t="str">
        <f>VLOOKUP(B275,Table4[],2,FALSE)</f>
        <v xml:space="preserve"> Vinni Perekodu</v>
      </c>
      <c r="D275" s="39" t="str">
        <f>VLOOKUP(Table1[[#This Row],[Tegevusala]],Table4[[Tegevusala kood]:[Tegevusala alanimetus]],4,FALSE)</f>
        <v>Laste ja noorte sotsiaalhoolekande asutused</v>
      </c>
      <c r="E275" s="14" t="str">
        <f>VLOOKUP(C275,Table4[[Tegevusala nimetus]:[Tegevusala koondnimetus]],2,FALSE)</f>
        <v>Sotsiaalne kaitse</v>
      </c>
      <c r="F275" s="14" t="s">
        <v>1679</v>
      </c>
      <c r="G275" s="14" t="s">
        <v>1683</v>
      </c>
      <c r="H275" s="14">
        <v>1</v>
      </c>
      <c r="I275" s="14"/>
      <c r="J275" s="14">
        <v>1250</v>
      </c>
      <c r="K275" s="14">
        <f t="shared" si="33"/>
        <v>1250</v>
      </c>
      <c r="L275" s="14">
        <v>12</v>
      </c>
      <c r="M275" s="14">
        <v>1250</v>
      </c>
      <c r="N275" s="44">
        <f>(K275*Table1[[#This Row],[Ühik2]])+M275</f>
        <v>16250</v>
      </c>
      <c r="O275" s="44">
        <f>Table1[[#This Row],[2020. EA ]]*0.338</f>
        <v>5492.5</v>
      </c>
      <c r="P275" s="14"/>
    </row>
    <row r="276" spans="1:16" x14ac:dyDescent="0.25">
      <c r="A276" s="14" t="str">
        <f t="shared" si="35"/>
        <v>10</v>
      </c>
      <c r="B276" s="3" t="s">
        <v>384</v>
      </c>
      <c r="C276" s="14" t="str">
        <f>VLOOKUP(B276,Table4[],2,FALSE)</f>
        <v xml:space="preserve"> Vinni Perekodu</v>
      </c>
      <c r="D276" s="39" t="str">
        <f>VLOOKUP(Table1[[#This Row],[Tegevusala]],Table4[[Tegevusala kood]:[Tegevusala alanimetus]],4,FALSE)</f>
        <v>Laste ja noorte sotsiaalhoolekande asutused</v>
      </c>
      <c r="E276" s="14" t="str">
        <f>VLOOKUP(C276,Table4[[Tegevusala nimetus]:[Tegevusala koondnimetus]],2,FALSE)</f>
        <v>Sotsiaalne kaitse</v>
      </c>
      <c r="F276" s="14" t="s">
        <v>1679</v>
      </c>
      <c r="G276" s="14" t="s">
        <v>1684</v>
      </c>
      <c r="H276" s="14">
        <v>1</v>
      </c>
      <c r="I276" s="14"/>
      <c r="J276" s="14">
        <v>1250</v>
      </c>
      <c r="K276" s="14">
        <f t="shared" si="33"/>
        <v>1250</v>
      </c>
      <c r="L276" s="14">
        <v>12</v>
      </c>
      <c r="M276" s="14">
        <v>1250</v>
      </c>
      <c r="N276" s="44">
        <f>(K276*Table1[[#This Row],[Ühik2]])+M276</f>
        <v>16250</v>
      </c>
      <c r="O276" s="44">
        <f>Table1[[#This Row],[2020. EA ]]*0.338</f>
        <v>5492.5</v>
      </c>
      <c r="P276" s="14"/>
    </row>
    <row r="277" spans="1:16" x14ac:dyDescent="0.25">
      <c r="A277" s="14" t="str">
        <f t="shared" si="35"/>
        <v>10</v>
      </c>
      <c r="B277" s="3" t="s">
        <v>384</v>
      </c>
      <c r="C277" s="14" t="str">
        <f>VLOOKUP(B277,Table4[],2,FALSE)</f>
        <v xml:space="preserve"> Vinni Perekodu</v>
      </c>
      <c r="D277" s="39" t="str">
        <f>VLOOKUP(Table1[[#This Row],[Tegevusala]],Table4[[Tegevusala kood]:[Tegevusala alanimetus]],4,FALSE)</f>
        <v>Laste ja noorte sotsiaalhoolekande asutused</v>
      </c>
      <c r="E277" s="14" t="str">
        <f>VLOOKUP(C277,Table4[[Tegevusala nimetus]:[Tegevusala koondnimetus]],2,FALSE)</f>
        <v>Sotsiaalne kaitse</v>
      </c>
      <c r="F277" s="14" t="s">
        <v>1679</v>
      </c>
      <c r="G277" s="14" t="s">
        <v>1684</v>
      </c>
      <c r="H277" s="14">
        <v>1</v>
      </c>
      <c r="I277" s="14"/>
      <c r="J277" s="14">
        <v>1250</v>
      </c>
      <c r="K277" s="14">
        <f t="shared" si="33"/>
        <v>1250</v>
      </c>
      <c r="L277" s="14">
        <v>12</v>
      </c>
      <c r="M277" s="14">
        <v>1250</v>
      </c>
      <c r="N277" s="44">
        <f>(K277*Table1[[#This Row],[Ühik2]])+M277</f>
        <v>16250</v>
      </c>
      <c r="O277" s="44">
        <f>Table1[[#This Row],[2020. EA ]]*0.338</f>
        <v>5492.5</v>
      </c>
      <c r="P277" s="14"/>
    </row>
    <row r="278" spans="1:16" x14ac:dyDescent="0.25">
      <c r="A278" s="14" t="str">
        <f t="shared" si="35"/>
        <v>10</v>
      </c>
      <c r="B278" s="3" t="s">
        <v>384</v>
      </c>
      <c r="C278" s="14" t="str">
        <f>VLOOKUP(B278,Table4[],2,FALSE)</f>
        <v xml:space="preserve"> Vinni Perekodu</v>
      </c>
      <c r="D278" s="39" t="str">
        <f>VLOOKUP(Table1[[#This Row],[Tegevusala]],Table4[[Tegevusala kood]:[Tegevusala alanimetus]],4,FALSE)</f>
        <v>Laste ja noorte sotsiaalhoolekande asutused</v>
      </c>
      <c r="E278" s="14" t="str">
        <f>VLOOKUP(C278,Table4[[Tegevusala nimetus]:[Tegevusala koondnimetus]],2,FALSE)</f>
        <v>Sotsiaalne kaitse</v>
      </c>
      <c r="F278" s="14" t="s">
        <v>1679</v>
      </c>
      <c r="G278" s="14" t="s">
        <v>1684</v>
      </c>
      <c r="H278" s="14">
        <v>1</v>
      </c>
      <c r="I278" s="14"/>
      <c r="J278" s="14">
        <v>1250</v>
      </c>
      <c r="K278" s="14">
        <f t="shared" si="33"/>
        <v>1250</v>
      </c>
      <c r="L278" s="14">
        <v>12</v>
      </c>
      <c r="M278" s="14">
        <v>1250</v>
      </c>
      <c r="N278" s="44">
        <f>(K278*Table1[[#This Row],[Ühik2]])+M278</f>
        <v>16250</v>
      </c>
      <c r="O278" s="44">
        <f>Table1[[#This Row],[2020. EA ]]*0.338</f>
        <v>5492.5</v>
      </c>
      <c r="P278" s="14"/>
    </row>
    <row r="279" spans="1:16" x14ac:dyDescent="0.25">
      <c r="A279" s="14" t="str">
        <f t="shared" si="35"/>
        <v>10</v>
      </c>
      <c r="B279" s="3" t="s">
        <v>384</v>
      </c>
      <c r="C279" s="14" t="str">
        <f>VLOOKUP(B279,Table4[],2,FALSE)</f>
        <v xml:space="preserve"> Vinni Perekodu</v>
      </c>
      <c r="D279" s="39" t="str">
        <f>VLOOKUP(Table1[[#This Row],[Tegevusala]],Table4[[Tegevusala kood]:[Tegevusala alanimetus]],4,FALSE)</f>
        <v>Laste ja noorte sotsiaalhoolekande asutused</v>
      </c>
      <c r="E279" s="14" t="str">
        <f>VLOOKUP(C279,Table4[[Tegevusala nimetus]:[Tegevusala koondnimetus]],2,FALSE)</f>
        <v>Sotsiaalne kaitse</v>
      </c>
      <c r="F279" s="14" t="s">
        <v>1679</v>
      </c>
      <c r="G279" s="14" t="s">
        <v>1685</v>
      </c>
      <c r="H279" s="14">
        <v>1</v>
      </c>
      <c r="I279" s="14"/>
      <c r="J279" s="14">
        <v>1250</v>
      </c>
      <c r="K279" s="14">
        <f t="shared" si="33"/>
        <v>1250</v>
      </c>
      <c r="L279" s="14">
        <v>12</v>
      </c>
      <c r="M279" s="14">
        <v>1250</v>
      </c>
      <c r="N279" s="44">
        <f>(K279*Table1[[#This Row],[Ühik2]])+M279</f>
        <v>16250</v>
      </c>
      <c r="O279" s="44">
        <f>Table1[[#This Row],[2020. EA ]]*0.338</f>
        <v>5492.5</v>
      </c>
      <c r="P279" s="14"/>
    </row>
    <row r="280" spans="1:16" x14ac:dyDescent="0.25">
      <c r="A280" s="14" t="str">
        <f t="shared" si="35"/>
        <v>10</v>
      </c>
      <c r="B280" s="3" t="s">
        <v>384</v>
      </c>
      <c r="C280" s="14" t="str">
        <f>VLOOKUP(B280,Table4[],2,FALSE)</f>
        <v xml:space="preserve"> Vinni Perekodu</v>
      </c>
      <c r="D280" s="39" t="str">
        <f>VLOOKUP(Table1[[#This Row],[Tegevusala]],Table4[[Tegevusala kood]:[Tegevusala alanimetus]],4,FALSE)</f>
        <v>Laste ja noorte sotsiaalhoolekande asutused</v>
      </c>
      <c r="E280" s="14" t="str">
        <f>VLOOKUP(C280,Table4[[Tegevusala nimetus]:[Tegevusala koondnimetus]],2,FALSE)</f>
        <v>Sotsiaalne kaitse</v>
      </c>
      <c r="F280" s="14" t="s">
        <v>1679</v>
      </c>
      <c r="G280" s="14" t="s">
        <v>1685</v>
      </c>
      <c r="H280" s="14">
        <v>1</v>
      </c>
      <c r="I280" s="14"/>
      <c r="J280" s="14">
        <v>1250</v>
      </c>
      <c r="K280" s="14">
        <f t="shared" si="33"/>
        <v>1250</v>
      </c>
      <c r="L280" s="14">
        <v>12</v>
      </c>
      <c r="M280" s="14">
        <v>1250</v>
      </c>
      <c r="N280" s="44">
        <f>(K280*Table1[[#This Row],[Ühik2]])+M280</f>
        <v>16250</v>
      </c>
      <c r="O280" s="44">
        <f>Table1[[#This Row],[2020. EA ]]*0.338</f>
        <v>5492.5</v>
      </c>
      <c r="P280" s="14"/>
    </row>
    <row r="281" spans="1:16" x14ac:dyDescent="0.25">
      <c r="A281" s="14" t="str">
        <f t="shared" si="35"/>
        <v>10</v>
      </c>
      <c r="B281" s="3" t="s">
        <v>384</v>
      </c>
      <c r="C281" s="14" t="str">
        <f>VLOOKUP(B281,Table4[],2,FALSE)</f>
        <v xml:space="preserve"> Vinni Perekodu</v>
      </c>
      <c r="D281" s="39" t="str">
        <f>VLOOKUP(Table1[[#This Row],[Tegevusala]],Table4[[Tegevusala kood]:[Tegevusala alanimetus]],4,FALSE)</f>
        <v>Laste ja noorte sotsiaalhoolekande asutused</v>
      </c>
      <c r="E281" s="14" t="str">
        <f>VLOOKUP(C281,Table4[[Tegevusala nimetus]:[Tegevusala koondnimetus]],2,FALSE)</f>
        <v>Sotsiaalne kaitse</v>
      </c>
      <c r="F281" s="14" t="s">
        <v>1679</v>
      </c>
      <c r="G281" s="14" t="s">
        <v>1685</v>
      </c>
      <c r="H281" s="14">
        <v>1</v>
      </c>
      <c r="I281" s="14"/>
      <c r="J281" s="14">
        <v>1250</v>
      </c>
      <c r="K281" s="14">
        <f t="shared" si="33"/>
        <v>1250</v>
      </c>
      <c r="L281" s="14">
        <v>12</v>
      </c>
      <c r="M281" s="14">
        <v>1250</v>
      </c>
      <c r="N281" s="44">
        <f>(K281*Table1[[#This Row],[Ühik2]])+M281</f>
        <v>16250</v>
      </c>
      <c r="O281" s="44">
        <f>Table1[[#This Row],[2020. EA ]]*0.338</f>
        <v>5492.5</v>
      </c>
      <c r="P281" s="14"/>
    </row>
    <row r="282" spans="1:16" x14ac:dyDescent="0.25">
      <c r="A282" s="14" t="str">
        <f t="shared" si="35"/>
        <v>10</v>
      </c>
      <c r="B282" s="3" t="s">
        <v>384</v>
      </c>
      <c r="C282" s="14" t="str">
        <f>VLOOKUP(B282,Table4[],2,FALSE)</f>
        <v xml:space="preserve"> Vinni Perekodu</v>
      </c>
      <c r="D282" s="39" t="str">
        <f>VLOOKUP(Table1[[#This Row],[Tegevusala]],Table4[[Tegevusala kood]:[Tegevusala alanimetus]],4,FALSE)</f>
        <v>Laste ja noorte sotsiaalhoolekande asutused</v>
      </c>
      <c r="E282" s="14" t="str">
        <f>VLOOKUP(C282,Table4[[Tegevusala nimetus]:[Tegevusala koondnimetus]],2,FALSE)</f>
        <v>Sotsiaalne kaitse</v>
      </c>
      <c r="F282" s="14" t="s">
        <v>1679</v>
      </c>
      <c r="G282" s="14" t="s">
        <v>1686</v>
      </c>
      <c r="H282" s="14">
        <v>1</v>
      </c>
      <c r="I282" s="14"/>
      <c r="J282" s="14">
        <v>900</v>
      </c>
      <c r="K282" s="14">
        <f t="shared" si="33"/>
        <v>900</v>
      </c>
      <c r="L282" s="14">
        <v>12</v>
      </c>
      <c r="M282" s="14">
        <v>900</v>
      </c>
      <c r="N282" s="44">
        <f>(K282*Table1[[#This Row],[Ühik2]])+M282</f>
        <v>11700</v>
      </c>
      <c r="O282" s="44">
        <f>Table1[[#This Row],[2020. EA ]]*0.338</f>
        <v>3954.6000000000004</v>
      </c>
      <c r="P282" s="14"/>
    </row>
    <row r="283" spans="1:16" x14ac:dyDescent="0.25">
      <c r="A283" s="38" t="str">
        <f t="shared" si="35"/>
        <v>10</v>
      </c>
      <c r="B283" s="34" t="s">
        <v>384</v>
      </c>
      <c r="C283" s="38" t="str">
        <f>VLOOKUP(B283,Table4[],2,FALSE)</f>
        <v xml:space="preserve"> Vinni Perekodu</v>
      </c>
      <c r="D283" s="39" t="str">
        <f>VLOOKUP(Table1[[#This Row],[Tegevusala]],Table4[[Tegevusala kood]:[Tegevusala alanimetus]],4,FALSE)</f>
        <v>Laste ja noorte sotsiaalhoolekande asutused</v>
      </c>
      <c r="E283" s="38" t="str">
        <f>VLOOKUP(C283,Table4[[Tegevusala nimetus]:[Tegevusala koondnimetus]],2,FALSE)</f>
        <v>Sotsiaalne kaitse</v>
      </c>
      <c r="F283" s="38" t="s">
        <v>1679</v>
      </c>
      <c r="G283" s="38" t="s">
        <v>1687</v>
      </c>
      <c r="H283" s="38">
        <v>1</v>
      </c>
      <c r="I283" s="38"/>
      <c r="J283" s="38">
        <v>1250</v>
      </c>
      <c r="K283" s="38">
        <f t="shared" si="33"/>
        <v>1250</v>
      </c>
      <c r="L283" s="38">
        <v>12</v>
      </c>
      <c r="M283" s="38">
        <v>1250</v>
      </c>
      <c r="N283" s="45">
        <f>(K283*Table1[[#This Row],[Ühik2]])+M283</f>
        <v>16250</v>
      </c>
      <c r="O283" s="45">
        <f>Table1[[#This Row],[2020. EA ]]*0.338</f>
        <v>5492.5</v>
      </c>
      <c r="P283" s="38"/>
    </row>
    <row r="284" spans="1:16" x14ac:dyDescent="0.25">
      <c r="A284" s="14" t="str">
        <f t="shared" si="35"/>
        <v>10</v>
      </c>
      <c r="B284" s="3" t="s">
        <v>384</v>
      </c>
      <c r="C284" s="14" t="str">
        <f>VLOOKUP(B284,Table4[],2,FALSE)</f>
        <v xml:space="preserve"> Vinni Perekodu</v>
      </c>
      <c r="D284" s="39" t="str">
        <f>VLOOKUP(Table1[[#This Row],[Tegevusala]],Table4[[Tegevusala kood]:[Tegevusala alanimetus]],4,FALSE)</f>
        <v>Laste ja noorte sotsiaalhoolekande asutused</v>
      </c>
      <c r="E284" s="14" t="str">
        <f>VLOOKUP(C284,Table4[[Tegevusala nimetus]:[Tegevusala koondnimetus]],2,FALSE)</f>
        <v>Sotsiaalne kaitse</v>
      </c>
      <c r="F284" s="14" t="s">
        <v>1679</v>
      </c>
      <c r="G284" s="14" t="s">
        <v>1688</v>
      </c>
      <c r="H284" s="14">
        <v>1</v>
      </c>
      <c r="I284" s="14"/>
      <c r="J284" s="14">
        <v>670</v>
      </c>
      <c r="K284" s="14">
        <f t="shared" si="33"/>
        <v>670</v>
      </c>
      <c r="L284" s="14">
        <v>12</v>
      </c>
      <c r="M284" s="14">
        <v>670</v>
      </c>
      <c r="N284" s="44">
        <f>(K284*Table1[[#This Row],[Ühik2]])+M284</f>
        <v>8710</v>
      </c>
      <c r="O284" s="44">
        <f>Table1[[#This Row],[2020. EA ]]*0.338</f>
        <v>2943.98</v>
      </c>
      <c r="P284" s="14"/>
    </row>
    <row r="285" spans="1:16" x14ac:dyDescent="0.25">
      <c r="A285" s="14" t="str">
        <f t="shared" si="35"/>
        <v>10</v>
      </c>
      <c r="B285" s="3" t="s">
        <v>384</v>
      </c>
      <c r="C285" s="14" t="str">
        <f>VLOOKUP(B285,Table4[],2,FALSE)</f>
        <v xml:space="preserve"> Vinni Perekodu</v>
      </c>
      <c r="D285" s="39" t="str">
        <f>VLOOKUP(Table1[[#This Row],[Tegevusala]],Table4[[Tegevusala kood]:[Tegevusala alanimetus]],4,FALSE)</f>
        <v>Laste ja noorte sotsiaalhoolekande asutused</v>
      </c>
      <c r="E285" s="14" t="str">
        <f>VLOOKUP(C285,Table4[[Tegevusala nimetus]:[Tegevusala koondnimetus]],2,FALSE)</f>
        <v>Sotsiaalne kaitse</v>
      </c>
      <c r="F285" s="14" t="s">
        <v>1679</v>
      </c>
      <c r="G285" s="14" t="s">
        <v>1689</v>
      </c>
      <c r="H285" s="14">
        <v>1</v>
      </c>
      <c r="I285" s="14"/>
      <c r="J285" s="14">
        <v>670</v>
      </c>
      <c r="K285" s="14">
        <f t="shared" si="33"/>
        <v>670</v>
      </c>
      <c r="L285" s="14">
        <v>12</v>
      </c>
      <c r="M285" s="14">
        <v>670</v>
      </c>
      <c r="N285" s="44">
        <f>(K285*Table1[[#This Row],[Ühik2]])+M285</f>
        <v>8710</v>
      </c>
      <c r="O285" s="44">
        <f>Table1[[#This Row],[2020. EA ]]*0.338</f>
        <v>2943.98</v>
      </c>
      <c r="P285" s="14"/>
    </row>
    <row r="286" spans="1:16" x14ac:dyDescent="0.25">
      <c r="A286" s="14" t="str">
        <f t="shared" si="35"/>
        <v>10</v>
      </c>
      <c r="B286" s="3" t="s">
        <v>384</v>
      </c>
      <c r="C286" s="14" t="str">
        <f>VLOOKUP(B286,Table4[],2,FALSE)</f>
        <v xml:space="preserve"> Vinni Perekodu</v>
      </c>
      <c r="D286" s="39" t="str">
        <f>VLOOKUP(Table1[[#This Row],[Tegevusala]],Table4[[Tegevusala kood]:[Tegevusala alanimetus]],4,FALSE)</f>
        <v>Laste ja noorte sotsiaalhoolekande asutused</v>
      </c>
      <c r="E286" s="14" t="str">
        <f>VLOOKUP(C286,Table4[[Tegevusala nimetus]:[Tegevusala koondnimetus]],2,FALSE)</f>
        <v>Sotsiaalne kaitse</v>
      </c>
      <c r="F286" s="14" t="s">
        <v>1679</v>
      </c>
      <c r="G286" s="14" t="s">
        <v>1690</v>
      </c>
      <c r="H286" s="14">
        <v>1</v>
      </c>
      <c r="I286" s="14" t="s">
        <v>2027</v>
      </c>
      <c r="J286" s="14">
        <v>120</v>
      </c>
      <c r="K286" s="14">
        <f t="shared" si="33"/>
        <v>120</v>
      </c>
      <c r="L286" s="14">
        <v>12</v>
      </c>
      <c r="M286" s="14">
        <v>120</v>
      </c>
      <c r="N286" s="44">
        <f>(K286*Table1[[#This Row],[Ühik2]])+M286</f>
        <v>1560</v>
      </c>
      <c r="O286" s="44">
        <f>Table1[[#This Row],[2020. EA ]]*0.338</f>
        <v>527.28000000000009</v>
      </c>
      <c r="P286" s="14"/>
    </row>
    <row r="287" spans="1:16" x14ac:dyDescent="0.25">
      <c r="A287" s="14" t="str">
        <f t="shared" ref="A287:A301" si="36">LEFT(B287,2)</f>
        <v>09</v>
      </c>
      <c r="B287" t="s">
        <v>343</v>
      </c>
      <c r="C287" s="14" t="str">
        <f>VLOOKUP(B287,Table4[],2,FALSE)</f>
        <v xml:space="preserve"> Tudu kool</v>
      </c>
      <c r="D287" s="39" t="str">
        <f>VLOOKUP(Table1[[#This Row],[Tegevusala]],Table4[[Tegevusala kood]:[Tegevusala alanimetus]],4,FALSE)</f>
        <v>Põhihariduse otsekulud</v>
      </c>
      <c r="E287" s="14" t="str">
        <f>VLOOKUP(C287,Table4[[Tegevusala nimetus]:[Tegevusala koondnimetus]],2,FALSE)</f>
        <v>Haridus</v>
      </c>
      <c r="F287" s="14" t="s">
        <v>1726</v>
      </c>
      <c r="G287" s="14" t="s">
        <v>1398</v>
      </c>
      <c r="H287" s="14">
        <v>0.30063699999999999</v>
      </c>
      <c r="I287" s="14"/>
      <c r="J287" s="14">
        <v>785</v>
      </c>
      <c r="K287" s="41">
        <f>H287*J287</f>
        <v>236.000045</v>
      </c>
      <c r="L287" s="14">
        <v>12</v>
      </c>
      <c r="M287" s="14"/>
      <c r="N287" s="44">
        <f>(K287*Table1[[#This Row],[Ühik2]])+M287</f>
        <v>2832.00054</v>
      </c>
      <c r="O287" s="44">
        <f>Table1[[#This Row],[2020. EA ]]*0.338</f>
        <v>957.21618252000007</v>
      </c>
      <c r="P287" s="14"/>
    </row>
    <row r="288" spans="1:16" x14ac:dyDescent="0.25">
      <c r="A288" s="14" t="str">
        <f t="shared" si="36"/>
        <v>09</v>
      </c>
      <c r="B288" t="s">
        <v>343</v>
      </c>
      <c r="C288" s="14" t="str">
        <f>VLOOKUP(B288,Table4[],2,FALSE)</f>
        <v xml:space="preserve"> Tudu kool</v>
      </c>
      <c r="D288" s="39" t="str">
        <f>VLOOKUP(Table1[[#This Row],[Tegevusala]],Table4[[Tegevusala kood]:[Tegevusala alanimetus]],4,FALSE)</f>
        <v>Põhihariduse otsekulud</v>
      </c>
      <c r="E288" s="14" t="str">
        <f>VLOOKUP(C288,Table4[[Tegevusala nimetus]:[Tegevusala koondnimetus]],2,FALSE)</f>
        <v>Haridus</v>
      </c>
      <c r="F288" s="14" t="s">
        <v>1726</v>
      </c>
      <c r="G288" s="14" t="s">
        <v>1715</v>
      </c>
      <c r="H288" s="14">
        <v>1</v>
      </c>
      <c r="I288" s="14" t="s">
        <v>2027</v>
      </c>
      <c r="J288" s="14">
        <v>580</v>
      </c>
      <c r="K288" s="14">
        <f t="shared" si="33"/>
        <v>580</v>
      </c>
      <c r="L288" s="14">
        <v>12</v>
      </c>
      <c r="M288" s="14"/>
      <c r="N288" s="44">
        <f>(K288*Table1[[#This Row],[Ühik2]])+M288</f>
        <v>6960</v>
      </c>
      <c r="O288" s="44">
        <f>Table1[[#This Row],[2020. EA ]]*0.338</f>
        <v>2352.48</v>
      </c>
      <c r="P288" s="14"/>
    </row>
    <row r="289" spans="1:16" x14ac:dyDescent="0.25">
      <c r="A289" s="14" t="str">
        <f t="shared" si="36"/>
        <v>09</v>
      </c>
      <c r="B289" t="s">
        <v>343</v>
      </c>
      <c r="C289" s="14" t="str">
        <f>VLOOKUP(B289,Table4[],2,FALSE)</f>
        <v xml:space="preserve"> Tudu kool</v>
      </c>
      <c r="D289" s="39" t="str">
        <f>VLOOKUP(Table1[[#This Row],[Tegevusala]],Table4[[Tegevusala kood]:[Tegevusala alanimetus]],4,FALSE)</f>
        <v>Põhihariduse otsekulud</v>
      </c>
      <c r="E289" s="14" t="str">
        <f>VLOOKUP(C289,Table4[[Tegevusala nimetus]:[Tegevusala koondnimetus]],2,FALSE)</f>
        <v>Haridus</v>
      </c>
      <c r="F289" s="14" t="s">
        <v>1726</v>
      </c>
      <c r="G289" s="14" t="s">
        <v>1716</v>
      </c>
      <c r="H289" s="14">
        <v>0.100034</v>
      </c>
      <c r="I289" s="14"/>
      <c r="J289" s="14">
        <v>978</v>
      </c>
      <c r="K289" s="14">
        <f t="shared" si="33"/>
        <v>97.833252000000002</v>
      </c>
      <c r="L289" s="14">
        <v>12</v>
      </c>
      <c r="M289" s="14"/>
      <c r="N289" s="44">
        <f>(K289*Table1[[#This Row],[Ühik2]])+M289</f>
        <v>1173.999024</v>
      </c>
      <c r="O289" s="44">
        <f>Table1[[#This Row],[2020. EA ]]*0.338</f>
        <v>396.811670112</v>
      </c>
      <c r="P289" s="14"/>
    </row>
    <row r="290" spans="1:16" x14ac:dyDescent="0.25">
      <c r="A290" s="14" t="str">
        <f t="shared" si="36"/>
        <v>09</v>
      </c>
      <c r="B290" t="s">
        <v>331</v>
      </c>
      <c r="C290" s="14" t="str">
        <f>VLOOKUP(B290,Table4[],2,FALSE)</f>
        <v xml:space="preserve"> Tudu Lasteaed</v>
      </c>
      <c r="D290" s="39" t="str">
        <f>VLOOKUP(Table1[[#This Row],[Tegevusala]],Table4[[Tegevusala kood]:[Tegevusala alanimetus]],4,FALSE)</f>
        <v>Alusharidus</v>
      </c>
      <c r="E290" s="14" t="str">
        <f>VLOOKUP(C290,Table4[[Tegevusala nimetus]:[Tegevusala koondnimetus]],2,FALSE)</f>
        <v>Haridus</v>
      </c>
      <c r="F290" s="14" t="s">
        <v>639</v>
      </c>
      <c r="G290" s="14" t="s">
        <v>1717</v>
      </c>
      <c r="H290" s="14">
        <v>0.100034</v>
      </c>
      <c r="I290" s="14"/>
      <c r="J290" s="14">
        <v>978</v>
      </c>
      <c r="K290" s="14">
        <f t="shared" si="33"/>
        <v>97.833252000000002</v>
      </c>
      <c r="L290" s="14">
        <v>12</v>
      </c>
      <c r="M290" s="14"/>
      <c r="N290" s="44">
        <f>(K290*Table1[[#This Row],[Ühik2]])+M290</f>
        <v>1173.999024</v>
      </c>
      <c r="O290" s="44">
        <f>Table1[[#This Row],[2020. EA ]]*0.338</f>
        <v>396.811670112</v>
      </c>
      <c r="P290" s="14"/>
    </row>
    <row r="291" spans="1:16" x14ac:dyDescent="0.25">
      <c r="A291" s="14" t="str">
        <f t="shared" si="36"/>
        <v>09</v>
      </c>
      <c r="B291" t="s">
        <v>331</v>
      </c>
      <c r="C291" s="14" t="str">
        <f>VLOOKUP(B291,Table4[],2,FALSE)</f>
        <v xml:space="preserve"> Tudu Lasteaed</v>
      </c>
      <c r="D291" s="39" t="str">
        <f>VLOOKUP(Table1[[#This Row],[Tegevusala]],Table4[[Tegevusala kood]:[Tegevusala alanimetus]],4,FALSE)</f>
        <v>Alusharidus</v>
      </c>
      <c r="E291" s="14" t="str">
        <f>VLOOKUP(C291,Table4[[Tegevusala nimetus]:[Tegevusala koondnimetus]],2,FALSE)</f>
        <v>Haridus</v>
      </c>
      <c r="F291" s="14" t="s">
        <v>639</v>
      </c>
      <c r="G291" s="14" t="s">
        <v>1718</v>
      </c>
      <c r="H291" s="14">
        <v>1</v>
      </c>
      <c r="I291" s="14"/>
      <c r="J291" s="14">
        <v>760</v>
      </c>
      <c r="K291" s="14">
        <f t="shared" si="33"/>
        <v>760</v>
      </c>
      <c r="L291" s="14">
        <v>12</v>
      </c>
      <c r="M291" s="14"/>
      <c r="N291" s="44">
        <f>(K291*Table1[[#This Row],[Ühik2]])+M291</f>
        <v>9120</v>
      </c>
      <c r="O291" s="44">
        <f>Table1[[#This Row],[2020. EA ]]*0.338</f>
        <v>3082.5600000000004</v>
      </c>
      <c r="P291" s="14"/>
    </row>
    <row r="292" spans="1:16" x14ac:dyDescent="0.25">
      <c r="A292" s="14" t="str">
        <f t="shared" si="36"/>
        <v>09</v>
      </c>
      <c r="B292" t="s">
        <v>331</v>
      </c>
      <c r="C292" s="14" t="str">
        <f>VLOOKUP(B292,Table4[],2,FALSE)</f>
        <v xml:space="preserve"> Tudu Lasteaed</v>
      </c>
      <c r="D292" s="39" t="str">
        <f>VLOOKUP(Table1[[#This Row],[Tegevusala]],Table4[[Tegevusala kood]:[Tegevusala alanimetus]],4,FALSE)</f>
        <v>Alusharidus</v>
      </c>
      <c r="E292" s="14" t="str">
        <f>VLOOKUP(C292,Table4[[Tegevusala nimetus]:[Tegevusala koondnimetus]],2,FALSE)</f>
        <v>Haridus</v>
      </c>
      <c r="F292" s="14" t="s">
        <v>639</v>
      </c>
      <c r="G292" s="14" t="s">
        <v>1719</v>
      </c>
      <c r="H292" s="14">
        <v>1.83</v>
      </c>
      <c r="I292" s="14"/>
      <c r="J292" s="14">
        <v>1183.5</v>
      </c>
      <c r="K292" s="14">
        <f>H292*J292</f>
        <v>2165.8050000000003</v>
      </c>
      <c r="L292" s="14">
        <v>12</v>
      </c>
      <c r="M292" s="14"/>
      <c r="N292" s="44">
        <f>(K292*Table1[[#This Row],[Ühik2]])+M292</f>
        <v>25989.660000000003</v>
      </c>
      <c r="O292" s="44">
        <f>Table1[[#This Row],[2020. EA ]]*0.338</f>
        <v>8784.5050800000026</v>
      </c>
      <c r="P292" s="14"/>
    </row>
    <row r="293" spans="1:16" x14ac:dyDescent="0.25">
      <c r="A293" s="38" t="str">
        <f t="shared" si="36"/>
        <v>09</v>
      </c>
      <c r="B293" s="33" t="s">
        <v>331</v>
      </c>
      <c r="C293" s="38" t="str">
        <f>VLOOKUP(B293,Table4[],2,FALSE)</f>
        <v xml:space="preserve"> Tudu Lasteaed</v>
      </c>
      <c r="D293" s="39" t="str">
        <f>VLOOKUP(Table1[[#This Row],[Tegevusala]],Table4[[Tegevusala kood]:[Tegevusala alanimetus]],4,FALSE)</f>
        <v>Alusharidus</v>
      </c>
      <c r="E293" s="38" t="str">
        <f>VLOOKUP(C293,Table4[[Tegevusala nimetus]:[Tegevusala koondnimetus]],2,FALSE)</f>
        <v>Haridus</v>
      </c>
      <c r="F293" s="38" t="s">
        <v>639</v>
      </c>
      <c r="G293" s="38" t="s">
        <v>1720</v>
      </c>
      <c r="H293" s="38">
        <v>0.12978000000000001</v>
      </c>
      <c r="I293" s="38"/>
      <c r="J293" s="38">
        <v>1183.5</v>
      </c>
      <c r="K293" s="52">
        <f t="shared" si="33"/>
        <v>153.59463</v>
      </c>
      <c r="L293" s="38">
        <v>12</v>
      </c>
      <c r="M293" s="38"/>
      <c r="N293" s="45">
        <f>(K293*Table1[[#This Row],[Ühik2]])+M293</f>
        <v>1843.1355599999999</v>
      </c>
      <c r="O293" s="45">
        <f>Table1[[#This Row],[2020. EA ]]*0.338</f>
        <v>622.97981928000002</v>
      </c>
      <c r="P293" s="38"/>
    </row>
    <row r="294" spans="1:16" x14ac:dyDescent="0.25">
      <c r="A294" s="38" t="str">
        <f t="shared" si="36"/>
        <v>09</v>
      </c>
      <c r="B294" s="33" t="s">
        <v>331</v>
      </c>
      <c r="C294" s="38" t="str">
        <f>VLOOKUP(B294,Table4[],2,FALSE)</f>
        <v xml:space="preserve"> Tudu Lasteaed</v>
      </c>
      <c r="D294" s="39" t="str">
        <f>VLOOKUP(Table1[[#This Row],[Tegevusala]],Table4[[Tegevusala kood]:[Tegevusala alanimetus]],4,FALSE)</f>
        <v>Alusharidus</v>
      </c>
      <c r="E294" s="38" t="str">
        <f>VLOOKUP(C294,Table4[[Tegevusala nimetus]:[Tegevusala koondnimetus]],2,FALSE)</f>
        <v>Haridus</v>
      </c>
      <c r="F294" s="38" t="s">
        <v>639</v>
      </c>
      <c r="G294" s="38" t="s">
        <v>1721</v>
      </c>
      <c r="H294" s="38">
        <v>0.12978000000000001</v>
      </c>
      <c r="I294" s="38"/>
      <c r="J294" s="38">
        <v>1183.5</v>
      </c>
      <c r="K294" s="53">
        <f t="shared" si="33"/>
        <v>153.59463</v>
      </c>
      <c r="L294" s="38">
        <v>12</v>
      </c>
      <c r="M294" s="38"/>
      <c r="N294" s="45">
        <f>(K294*Table1[[#This Row],[Ühik2]])+M294</f>
        <v>1843.1355599999999</v>
      </c>
      <c r="O294" s="45">
        <f>Table1[[#This Row],[2020. EA ]]*0.338</f>
        <v>622.97981928000002</v>
      </c>
      <c r="P294" s="38"/>
    </row>
    <row r="295" spans="1:16" x14ac:dyDescent="0.25">
      <c r="A295" s="91" t="str">
        <f t="shared" si="36"/>
        <v>09</v>
      </c>
      <c r="B295" s="92" t="s">
        <v>343</v>
      </c>
      <c r="C295" s="91" t="str">
        <f>VLOOKUP(B295,Table4[],2,FALSE)</f>
        <v xml:space="preserve"> Tudu kool</v>
      </c>
      <c r="D295" s="95" t="str">
        <f>VLOOKUP(Table1[[#This Row],[Tegevusala]],Table4[[Tegevusala kood]:[Tegevusala alanimetus]],4,FALSE)</f>
        <v>Põhihariduse otsekulud</v>
      </c>
      <c r="E295" s="91" t="str">
        <f>VLOOKUP(C295,Table4[[Tegevusala nimetus]:[Tegevusala koondnimetus]],2,FALSE)</f>
        <v>Haridus</v>
      </c>
      <c r="F295" s="91" t="s">
        <v>1726</v>
      </c>
      <c r="G295" s="91" t="s">
        <v>1722</v>
      </c>
      <c r="H295" s="91">
        <v>0.5</v>
      </c>
      <c r="I295" s="91"/>
      <c r="J295" s="91">
        <v>584</v>
      </c>
      <c r="K295" s="91">
        <f>H295*J295</f>
        <v>292</v>
      </c>
      <c r="L295" s="91">
        <v>12</v>
      </c>
      <c r="M295" s="91"/>
      <c r="N295" s="93">
        <f>(K295*Table1[[#This Row],[Ühik2]])+M295</f>
        <v>3504</v>
      </c>
      <c r="O295" s="93">
        <f>Table1[[#This Row],[2020. EA ]]*0.338</f>
        <v>1184.3520000000001</v>
      </c>
      <c r="P295" s="91"/>
    </row>
    <row r="296" spans="1:16" x14ac:dyDescent="0.25">
      <c r="A296" s="91" t="str">
        <f t="shared" si="36"/>
        <v>09</v>
      </c>
      <c r="B296" s="92" t="s">
        <v>343</v>
      </c>
      <c r="C296" s="91" t="str">
        <f>VLOOKUP(B296,Table4[],2,FALSE)</f>
        <v xml:space="preserve"> Tudu kool</v>
      </c>
      <c r="D296" s="95" t="str">
        <f>VLOOKUP(Table1[[#This Row],[Tegevusala]],Table4[[Tegevusala kood]:[Tegevusala alanimetus]],4,FALSE)</f>
        <v>Põhihariduse otsekulud</v>
      </c>
      <c r="E296" s="91" t="str">
        <f>VLOOKUP(C296,Table4[[Tegevusala nimetus]:[Tegevusala koondnimetus]],2,FALSE)</f>
        <v>Haridus</v>
      </c>
      <c r="F296" s="91" t="s">
        <v>1726</v>
      </c>
      <c r="G296" s="91" t="s">
        <v>1723</v>
      </c>
      <c r="H296" s="91">
        <v>2</v>
      </c>
      <c r="I296" s="91"/>
      <c r="J296" s="91">
        <v>584</v>
      </c>
      <c r="K296" s="91">
        <f t="shared" si="33"/>
        <v>1168</v>
      </c>
      <c r="L296" s="91">
        <v>12</v>
      </c>
      <c r="M296" s="91"/>
      <c r="N296" s="93">
        <f>(K296*Table1[[#This Row],[Ühik2]])+M296</f>
        <v>14016</v>
      </c>
      <c r="O296" s="93">
        <f>Table1[[#This Row],[2020. EA ]]*0.338</f>
        <v>4737.4080000000004</v>
      </c>
      <c r="P296" s="91"/>
    </row>
    <row r="297" spans="1:16" x14ac:dyDescent="0.25">
      <c r="A297" s="14" t="str">
        <f t="shared" si="36"/>
        <v>09</v>
      </c>
      <c r="B297" t="s">
        <v>343</v>
      </c>
      <c r="C297" s="14" t="str">
        <f>VLOOKUP(B297,Table4[],2,FALSE)</f>
        <v xml:space="preserve"> Tudu kool</v>
      </c>
      <c r="D297" s="39" t="str">
        <f>VLOOKUP(Table1[[#This Row],[Tegevusala]],Table4[[Tegevusala kood]:[Tegevusala alanimetus]],4,FALSE)</f>
        <v>Põhihariduse otsekulud</v>
      </c>
      <c r="E297" s="14" t="str">
        <f>VLOOKUP(C297,Table4[[Tegevusala nimetus]:[Tegevusala koondnimetus]],2,FALSE)</f>
        <v>Haridus</v>
      </c>
      <c r="F297" s="14" t="s">
        <v>1726</v>
      </c>
      <c r="G297" s="14" t="s">
        <v>483</v>
      </c>
      <c r="H297" s="14">
        <v>0.5</v>
      </c>
      <c r="I297" s="14"/>
      <c r="J297" s="14">
        <v>901</v>
      </c>
      <c r="K297" s="14">
        <f t="shared" si="33"/>
        <v>450.5</v>
      </c>
      <c r="L297" s="14">
        <v>12</v>
      </c>
      <c r="M297" s="14"/>
      <c r="N297" s="44">
        <f>(K297*Table1[[#This Row],[Ühik2]])+M297</f>
        <v>5406</v>
      </c>
      <c r="O297" s="44">
        <f>Table1[[#This Row],[2020. EA ]]*0.338</f>
        <v>1827.2280000000001</v>
      </c>
      <c r="P297" s="14"/>
    </row>
    <row r="298" spans="1:16" x14ac:dyDescent="0.25">
      <c r="A298" s="91" t="str">
        <f t="shared" si="36"/>
        <v>09</v>
      </c>
      <c r="B298" s="92" t="s">
        <v>343</v>
      </c>
      <c r="C298" s="91" t="str">
        <f>VLOOKUP(B298,Table4[],2,FALSE)</f>
        <v xml:space="preserve"> Tudu kool</v>
      </c>
      <c r="D298" s="95" t="str">
        <f>VLOOKUP(Table1[[#This Row],[Tegevusala]],Table4[[Tegevusala kood]:[Tegevusala alanimetus]],4,FALSE)</f>
        <v>Põhihariduse otsekulud</v>
      </c>
      <c r="E298" s="91" t="str">
        <f>VLOOKUP(C298,Table4[[Tegevusala nimetus]:[Tegevusala koondnimetus]],2,FALSE)</f>
        <v>Haridus</v>
      </c>
      <c r="F298" s="91" t="s">
        <v>1726</v>
      </c>
      <c r="G298" s="91" t="s">
        <v>1402</v>
      </c>
      <c r="H298" s="91">
        <v>2</v>
      </c>
      <c r="I298" s="91"/>
      <c r="J298" s="91">
        <v>584</v>
      </c>
      <c r="K298" s="91">
        <f t="shared" si="33"/>
        <v>1168</v>
      </c>
      <c r="L298" s="91">
        <v>12</v>
      </c>
      <c r="M298" s="91"/>
      <c r="N298" s="93">
        <f>(K298*Table1[[#This Row],[Ühik2]])+M298</f>
        <v>14016</v>
      </c>
      <c r="O298" s="93">
        <f>Table1[[#This Row],[2020. EA ]]*0.338</f>
        <v>4737.4080000000004</v>
      </c>
      <c r="P298" s="91"/>
    </row>
    <row r="299" spans="1:16" x14ac:dyDescent="0.25">
      <c r="A299" s="91" t="str">
        <f t="shared" si="36"/>
        <v>09</v>
      </c>
      <c r="B299" s="92" t="s">
        <v>343</v>
      </c>
      <c r="C299" s="91" t="str">
        <f>VLOOKUP(B299,Table4[],2,FALSE)</f>
        <v xml:space="preserve"> Tudu kool</v>
      </c>
      <c r="D299" s="95" t="str">
        <f>VLOOKUP(Table1[[#This Row],[Tegevusala]],Table4[[Tegevusala kood]:[Tegevusala alanimetus]],4,FALSE)</f>
        <v>Põhihariduse otsekulud</v>
      </c>
      <c r="E299" s="91" t="str">
        <f>VLOOKUP(C299,Table4[[Tegevusala nimetus]:[Tegevusala koondnimetus]],2,FALSE)</f>
        <v>Haridus</v>
      </c>
      <c r="F299" s="91" t="s">
        <v>1726</v>
      </c>
      <c r="G299" s="91" t="s">
        <v>1724</v>
      </c>
      <c r="H299" s="91">
        <v>0.5</v>
      </c>
      <c r="I299" s="91"/>
      <c r="J299" s="91">
        <v>584</v>
      </c>
      <c r="K299" s="91">
        <f t="shared" si="33"/>
        <v>292</v>
      </c>
      <c r="L299" s="91">
        <v>12</v>
      </c>
      <c r="M299" s="91"/>
      <c r="N299" s="93">
        <f>(K299*Table1[[#This Row],[Ühik2]])+M299</f>
        <v>3504</v>
      </c>
      <c r="O299" s="93">
        <f>Table1[[#This Row],[2020. EA ]]*0.338</f>
        <v>1184.3520000000001</v>
      </c>
      <c r="P299" s="91"/>
    </row>
    <row r="300" spans="1:16" x14ac:dyDescent="0.25">
      <c r="A300" s="91" t="str">
        <f t="shared" si="36"/>
        <v>09</v>
      </c>
      <c r="B300" s="92" t="s">
        <v>343</v>
      </c>
      <c r="C300" s="91" t="str">
        <f>VLOOKUP(B300,Table4[],2,FALSE)</f>
        <v xml:space="preserve"> Tudu kool</v>
      </c>
      <c r="D300" s="95" t="str">
        <f>VLOOKUP(Table1[[#This Row],[Tegevusala]],Table4[[Tegevusala kood]:[Tegevusala alanimetus]],4,FALSE)</f>
        <v>Põhihariduse otsekulud</v>
      </c>
      <c r="E300" s="91" t="str">
        <f>VLOOKUP(C300,Table4[[Tegevusala nimetus]:[Tegevusala koondnimetus]],2,FALSE)</f>
        <v>Haridus</v>
      </c>
      <c r="F300" s="91" t="s">
        <v>1726</v>
      </c>
      <c r="G300" s="91" t="s">
        <v>1309</v>
      </c>
      <c r="H300" s="91">
        <v>0.25</v>
      </c>
      <c r="I300" s="91"/>
      <c r="J300" s="91">
        <v>584</v>
      </c>
      <c r="K300" s="91">
        <f t="shared" si="33"/>
        <v>146</v>
      </c>
      <c r="L300" s="91">
        <v>12</v>
      </c>
      <c r="M300" s="91"/>
      <c r="N300" s="93">
        <f>(K300*Table1[[#This Row],[Ühik2]])+M300</f>
        <v>1752</v>
      </c>
      <c r="O300" s="93">
        <f>Table1[[#This Row],[2020. EA ]]*0.338</f>
        <v>592.17600000000004</v>
      </c>
      <c r="P300" s="91"/>
    </row>
    <row r="301" spans="1:16" x14ac:dyDescent="0.25">
      <c r="A301" s="14" t="str">
        <f t="shared" si="36"/>
        <v>09</v>
      </c>
      <c r="B301" t="s">
        <v>343</v>
      </c>
      <c r="C301" s="14" t="str">
        <f>VLOOKUP(B301,Table4[],2,FALSE)</f>
        <v xml:space="preserve"> Tudu kool</v>
      </c>
      <c r="D301" s="39" t="str">
        <f>VLOOKUP(Table1[[#This Row],[Tegevusala]],Table4[[Tegevusala kood]:[Tegevusala alanimetus]],4,FALSE)</f>
        <v>Põhihariduse otsekulud</v>
      </c>
      <c r="E301" s="14" t="str">
        <f>VLOOKUP(C301,Table4[[Tegevusala nimetus]:[Tegevusala koondnimetus]],2,FALSE)</f>
        <v>Haridus</v>
      </c>
      <c r="F301" s="14" t="s">
        <v>1726</v>
      </c>
      <c r="G301" s="14" t="s">
        <v>1725</v>
      </c>
      <c r="H301" s="14">
        <v>1</v>
      </c>
      <c r="I301" s="14"/>
      <c r="J301" s="14">
        <v>703</v>
      </c>
      <c r="K301" s="14">
        <f t="shared" si="33"/>
        <v>703</v>
      </c>
      <c r="L301" s="14">
        <v>12</v>
      </c>
      <c r="M301" s="14"/>
      <c r="N301" s="44">
        <f>(K301*Table1[[#This Row],[Ühik2]])+M301</f>
        <v>8436</v>
      </c>
      <c r="O301" s="44">
        <f>Table1[[#This Row],[2020. EA ]]*0.338</f>
        <v>2851.3680000000004</v>
      </c>
      <c r="P301" s="14"/>
    </row>
    <row r="302" spans="1:16" x14ac:dyDescent="0.25">
      <c r="A302" s="38" t="str">
        <f>LEFT(B302,2)</f>
        <v>09</v>
      </c>
      <c r="B302" s="33" t="s">
        <v>343</v>
      </c>
      <c r="C302" s="38" t="str">
        <f>VLOOKUP(B302,Table4[],2,FALSE)</f>
        <v xml:space="preserve"> Tudu kool</v>
      </c>
      <c r="D302" s="39" t="str">
        <f>VLOOKUP(Table1[[#This Row],[Tegevusala]],Table4[[Tegevusala kood]:[Tegevusala alanimetus]],4,FALSE)</f>
        <v>Põhihariduse otsekulud</v>
      </c>
      <c r="E302" s="38" t="str">
        <f>VLOOKUP(C302,Table4[[Tegevusala nimetus]:[Tegevusala koondnimetus]],2,FALSE)</f>
        <v>Haridus</v>
      </c>
      <c r="F302" s="38" t="s">
        <v>1726</v>
      </c>
      <c r="G302" s="38" t="s">
        <v>1519</v>
      </c>
      <c r="H302" s="38"/>
      <c r="I302" s="38"/>
      <c r="J302" s="38"/>
      <c r="K302" s="38">
        <f t="shared" si="33"/>
        <v>0</v>
      </c>
      <c r="L302" s="38">
        <v>1</v>
      </c>
      <c r="M302" s="38">
        <v>300</v>
      </c>
      <c r="N302" s="45">
        <f>(K302*Table1[[#This Row],[Ühik2]])+M302</f>
        <v>300</v>
      </c>
      <c r="O302" s="45">
        <f>Table1[[#This Row],[2020. EA ]]*0.338</f>
        <v>101.4</v>
      </c>
      <c r="P302" s="38"/>
    </row>
    <row r="303" spans="1:16" x14ac:dyDescent="0.25">
      <c r="A303" s="14" t="str">
        <f t="shared" ref="A303:A313" si="37">LEFT(B303,2)</f>
        <v>08</v>
      </c>
      <c r="B303" t="s">
        <v>316</v>
      </c>
      <c r="C303" s="14" t="str">
        <f>VLOOKUP(B303,Table4[],2,FALSE)</f>
        <v xml:space="preserve"> Roela Rahvamaja</v>
      </c>
      <c r="D303" s="39" t="str">
        <f>VLOOKUP(Table1[[#This Row],[Tegevusala]],Table4[[Tegevusala kood]:[Tegevusala alanimetus]],4,FALSE)</f>
        <v>Rahvakultuur</v>
      </c>
      <c r="E303" s="14" t="str">
        <f>VLOOKUP(C303,Table4[[Tegevusala nimetus]:[Tegevusala koondnimetus]],2,FALSE)</f>
        <v>Vabaaeg, kultuur ja religioon</v>
      </c>
      <c r="F303" s="14" t="s">
        <v>1788</v>
      </c>
      <c r="G303" s="14" t="s">
        <v>523</v>
      </c>
      <c r="H303" s="14">
        <v>1</v>
      </c>
      <c r="I303" s="14"/>
      <c r="J303" s="14">
        <v>966</v>
      </c>
      <c r="K303" s="14">
        <f t="shared" si="33"/>
        <v>966</v>
      </c>
      <c r="L303" s="14">
        <v>12</v>
      </c>
      <c r="M303" s="14"/>
      <c r="N303" s="44">
        <f>(K303*Table1[[#This Row],[Ühik2]])+M303</f>
        <v>11592</v>
      </c>
      <c r="O303" s="44">
        <f>Table1[[#This Row],[2020. EA ]]*0.338</f>
        <v>3918.0960000000005</v>
      </c>
      <c r="P303" s="14"/>
    </row>
    <row r="304" spans="1:16" x14ac:dyDescent="0.25">
      <c r="A304" s="91" t="str">
        <f t="shared" si="37"/>
        <v>08</v>
      </c>
      <c r="B304" s="92" t="s">
        <v>316</v>
      </c>
      <c r="C304" s="91" t="str">
        <f>VLOOKUP(B304,Table4[],2,FALSE)</f>
        <v xml:space="preserve"> Roela Rahvamaja</v>
      </c>
      <c r="D304" s="95" t="str">
        <f>VLOOKUP(Table1[[#This Row],[Tegevusala]],Table4[[Tegevusala kood]:[Tegevusala alanimetus]],4,FALSE)</f>
        <v>Rahvakultuur</v>
      </c>
      <c r="E304" s="91" t="str">
        <f>VLOOKUP(C304,Table4[[Tegevusala nimetus]:[Tegevusala koondnimetus]],2,FALSE)</f>
        <v>Vabaaeg, kultuur ja religioon</v>
      </c>
      <c r="F304" s="91" t="s">
        <v>1788</v>
      </c>
      <c r="G304" s="91" t="s">
        <v>1778</v>
      </c>
      <c r="H304" s="91">
        <v>1</v>
      </c>
      <c r="I304" s="91"/>
      <c r="J304" s="91">
        <v>584</v>
      </c>
      <c r="K304" s="91">
        <f t="shared" si="33"/>
        <v>584</v>
      </c>
      <c r="L304" s="91">
        <v>12</v>
      </c>
      <c r="M304" s="91"/>
      <c r="N304" s="93">
        <f>(K304*Table1[[#This Row],[Ühik2]])+M304</f>
        <v>7008</v>
      </c>
      <c r="O304" s="93">
        <f>Table1[[#This Row],[2020. EA ]]*0.338</f>
        <v>2368.7040000000002</v>
      </c>
      <c r="P304" s="91"/>
    </row>
    <row r="305" spans="1:16" x14ac:dyDescent="0.25">
      <c r="A305" s="14" t="str">
        <f t="shared" si="37"/>
        <v>08</v>
      </c>
      <c r="B305" t="s">
        <v>316</v>
      </c>
      <c r="C305" s="14" t="str">
        <f>VLOOKUP(B305,Table4[],2,FALSE)</f>
        <v xml:space="preserve"> Roela Rahvamaja</v>
      </c>
      <c r="D305" s="39" t="str">
        <f>VLOOKUP(Table1[[#This Row],[Tegevusala]],Table4[[Tegevusala kood]:[Tegevusala alanimetus]],4,FALSE)</f>
        <v>Rahvakultuur</v>
      </c>
      <c r="E305" s="14" t="str">
        <f>VLOOKUP(C305,Table4[[Tegevusala nimetus]:[Tegevusala koondnimetus]],2,FALSE)</f>
        <v>Vabaaeg, kultuur ja religioon</v>
      </c>
      <c r="F305" s="14" t="s">
        <v>1788</v>
      </c>
      <c r="G305" s="14" t="s">
        <v>1779</v>
      </c>
      <c r="H305" s="14">
        <v>1</v>
      </c>
      <c r="I305" s="14"/>
      <c r="J305" s="14"/>
      <c r="K305" s="14">
        <f t="shared" si="33"/>
        <v>0</v>
      </c>
      <c r="L305" s="14"/>
      <c r="M305" s="14">
        <v>795</v>
      </c>
      <c r="N305" s="44">
        <f>(K305*Table1[[#This Row],[Ühik2]])+M305</f>
        <v>795</v>
      </c>
      <c r="O305" s="44">
        <f>Table1[[#This Row],[2020. EA ]]*0.338</f>
        <v>268.71000000000004</v>
      </c>
      <c r="P305" s="14"/>
    </row>
    <row r="306" spans="1:16" x14ac:dyDescent="0.25">
      <c r="A306" s="14" t="str">
        <f t="shared" si="37"/>
        <v>08</v>
      </c>
      <c r="B306" t="s">
        <v>316</v>
      </c>
      <c r="C306" s="14" t="str">
        <f>VLOOKUP(B306,Table4[],2,FALSE)</f>
        <v xml:space="preserve"> Roela Rahvamaja</v>
      </c>
      <c r="D306" s="39" t="str">
        <f>VLOOKUP(Table1[[#This Row],[Tegevusala]],Table4[[Tegevusala kood]:[Tegevusala alanimetus]],4,FALSE)</f>
        <v>Rahvakultuur</v>
      </c>
      <c r="E306" s="14" t="str">
        <f>VLOOKUP(C306,Table4[[Tegevusala nimetus]:[Tegevusala koondnimetus]],2,FALSE)</f>
        <v>Vabaaeg, kultuur ja religioon</v>
      </c>
      <c r="F306" s="14" t="s">
        <v>1788</v>
      </c>
      <c r="G306" s="14" t="s">
        <v>1780</v>
      </c>
      <c r="H306" s="14">
        <v>1</v>
      </c>
      <c r="I306" s="14"/>
      <c r="J306" s="14"/>
      <c r="K306" s="14">
        <f t="shared" si="33"/>
        <v>0</v>
      </c>
      <c r="L306" s="14"/>
      <c r="M306" s="14">
        <v>530</v>
      </c>
      <c r="N306" s="44">
        <f>(K306*Table1[[#This Row],[Ühik2]])+M306</f>
        <v>530</v>
      </c>
      <c r="O306" s="44">
        <f>Table1[[#This Row],[2020. EA ]]*0.338</f>
        <v>179.14000000000001</v>
      </c>
      <c r="P306" s="14"/>
    </row>
    <row r="307" spans="1:16" x14ac:dyDescent="0.25">
      <c r="A307" s="14" t="str">
        <f t="shared" si="37"/>
        <v>08</v>
      </c>
      <c r="B307" t="s">
        <v>316</v>
      </c>
      <c r="C307" s="14" t="str">
        <f>VLOOKUP(B307,Table4[],2,FALSE)</f>
        <v xml:space="preserve"> Roela Rahvamaja</v>
      </c>
      <c r="D307" s="39" t="str">
        <f>VLOOKUP(Table1[[#This Row],[Tegevusala]],Table4[[Tegevusala kood]:[Tegevusala alanimetus]],4,FALSE)</f>
        <v>Rahvakultuur</v>
      </c>
      <c r="E307" s="14" t="str">
        <f>VLOOKUP(C307,Table4[[Tegevusala nimetus]:[Tegevusala koondnimetus]],2,FALSE)</f>
        <v>Vabaaeg, kultuur ja religioon</v>
      </c>
      <c r="F307" s="14" t="s">
        <v>1788</v>
      </c>
      <c r="G307" s="14" t="s">
        <v>1781</v>
      </c>
      <c r="H307" s="14">
        <v>1</v>
      </c>
      <c r="I307" s="14"/>
      <c r="J307" s="14"/>
      <c r="K307" s="14">
        <f t="shared" si="33"/>
        <v>0</v>
      </c>
      <c r="L307" s="14"/>
      <c r="M307" s="14">
        <v>795</v>
      </c>
      <c r="N307" s="44">
        <f>(K307*Table1[[#This Row],[Ühik2]])+M307</f>
        <v>795</v>
      </c>
      <c r="O307" s="44">
        <f>Table1[[#This Row],[2020. EA ]]*0.338</f>
        <v>268.71000000000004</v>
      </c>
      <c r="P307" s="14"/>
    </row>
    <row r="308" spans="1:16" x14ac:dyDescent="0.25">
      <c r="A308" s="14" t="str">
        <f t="shared" si="37"/>
        <v>08</v>
      </c>
      <c r="B308" t="s">
        <v>316</v>
      </c>
      <c r="C308" s="14" t="str">
        <f>VLOOKUP(B308,Table4[],2,FALSE)</f>
        <v xml:space="preserve"> Roela Rahvamaja</v>
      </c>
      <c r="D308" s="39" t="str">
        <f>VLOOKUP(Table1[[#This Row],[Tegevusala]],Table4[[Tegevusala kood]:[Tegevusala alanimetus]],4,FALSE)</f>
        <v>Rahvakultuur</v>
      </c>
      <c r="E308" s="14" t="str">
        <f>VLOOKUP(C308,Table4[[Tegevusala nimetus]:[Tegevusala koondnimetus]],2,FALSE)</f>
        <v>Vabaaeg, kultuur ja religioon</v>
      </c>
      <c r="F308" s="14" t="s">
        <v>1788</v>
      </c>
      <c r="G308" s="14" t="s">
        <v>1782</v>
      </c>
      <c r="H308" s="14">
        <v>1</v>
      </c>
      <c r="I308" s="14"/>
      <c r="J308" s="14"/>
      <c r="K308" s="14">
        <f t="shared" si="33"/>
        <v>0</v>
      </c>
      <c r="L308" s="14"/>
      <c r="M308" s="14">
        <v>530</v>
      </c>
      <c r="N308" s="44">
        <f>(K308*Table1[[#This Row],[Ühik2]])+M308</f>
        <v>530</v>
      </c>
      <c r="O308" s="44">
        <f>Table1[[#This Row],[2020. EA ]]*0.338</f>
        <v>179.14000000000001</v>
      </c>
      <c r="P308" s="14"/>
    </row>
    <row r="309" spans="1:16" x14ac:dyDescent="0.25">
      <c r="A309" s="14" t="str">
        <f t="shared" si="37"/>
        <v>08</v>
      </c>
      <c r="B309" t="s">
        <v>316</v>
      </c>
      <c r="C309" s="14" t="str">
        <f>VLOOKUP(B309,Table4[],2,FALSE)</f>
        <v xml:space="preserve"> Roela Rahvamaja</v>
      </c>
      <c r="D309" s="39" t="str">
        <f>VLOOKUP(Table1[[#This Row],[Tegevusala]],Table4[[Tegevusala kood]:[Tegevusala alanimetus]],4,FALSE)</f>
        <v>Rahvakultuur</v>
      </c>
      <c r="E309" s="14" t="str">
        <f>VLOOKUP(C309,Table4[[Tegevusala nimetus]:[Tegevusala koondnimetus]],2,FALSE)</f>
        <v>Vabaaeg, kultuur ja religioon</v>
      </c>
      <c r="F309" s="14" t="s">
        <v>1788</v>
      </c>
      <c r="G309" s="14" t="s">
        <v>1783</v>
      </c>
      <c r="H309" s="14">
        <v>1</v>
      </c>
      <c r="I309" s="14"/>
      <c r="J309" s="14"/>
      <c r="K309" s="14">
        <f t="shared" si="33"/>
        <v>0</v>
      </c>
      <c r="L309" s="14"/>
      <c r="M309" s="14">
        <v>530</v>
      </c>
      <c r="N309" s="44">
        <f>(K309*Table1[[#This Row],[Ühik2]])+M309</f>
        <v>530</v>
      </c>
      <c r="O309" s="44">
        <f>Table1[[#This Row],[2020. EA ]]*0.338</f>
        <v>179.14000000000001</v>
      </c>
      <c r="P309" s="14"/>
    </row>
    <row r="310" spans="1:16" x14ac:dyDescent="0.25">
      <c r="A310" s="14" t="str">
        <f t="shared" si="37"/>
        <v>08</v>
      </c>
      <c r="B310" t="s">
        <v>316</v>
      </c>
      <c r="C310" s="14" t="str">
        <f>VLOOKUP(B310,Table4[],2,FALSE)</f>
        <v xml:space="preserve"> Roela Rahvamaja</v>
      </c>
      <c r="D310" s="39" t="str">
        <f>VLOOKUP(Table1[[#This Row],[Tegevusala]],Table4[[Tegevusala kood]:[Tegevusala alanimetus]],4,FALSE)</f>
        <v>Rahvakultuur</v>
      </c>
      <c r="E310" s="14" t="str">
        <f>VLOOKUP(C310,Table4[[Tegevusala nimetus]:[Tegevusala koondnimetus]],2,FALSE)</f>
        <v>Vabaaeg, kultuur ja religioon</v>
      </c>
      <c r="F310" s="14" t="s">
        <v>1788</v>
      </c>
      <c r="G310" s="14" t="s">
        <v>1784</v>
      </c>
      <c r="H310" s="14">
        <v>1</v>
      </c>
      <c r="I310" s="14"/>
      <c r="J310" s="14"/>
      <c r="K310" s="14">
        <f t="shared" si="33"/>
        <v>0</v>
      </c>
      <c r="L310" s="14"/>
      <c r="M310" s="14">
        <v>530</v>
      </c>
      <c r="N310" s="44">
        <f>(K310*Table1[[#This Row],[Ühik2]])+M310</f>
        <v>530</v>
      </c>
      <c r="O310" s="44">
        <f>Table1[[#This Row],[2020. EA ]]*0.338</f>
        <v>179.14000000000001</v>
      </c>
      <c r="P310" s="14"/>
    </row>
    <row r="311" spans="1:16" x14ac:dyDescent="0.25">
      <c r="A311" s="14" t="str">
        <f t="shared" si="37"/>
        <v>08</v>
      </c>
      <c r="B311" t="s">
        <v>316</v>
      </c>
      <c r="C311" s="14" t="str">
        <f>VLOOKUP(B311,Table4[],2,FALSE)</f>
        <v xml:space="preserve"> Roela Rahvamaja</v>
      </c>
      <c r="D311" s="39" t="str">
        <f>VLOOKUP(Table1[[#This Row],[Tegevusala]],Table4[[Tegevusala kood]:[Tegevusala alanimetus]],4,FALSE)</f>
        <v>Rahvakultuur</v>
      </c>
      <c r="E311" s="14" t="str">
        <f>VLOOKUP(C311,Table4[[Tegevusala nimetus]:[Tegevusala koondnimetus]],2,FALSE)</f>
        <v>Vabaaeg, kultuur ja religioon</v>
      </c>
      <c r="F311" s="14" t="s">
        <v>1788</v>
      </c>
      <c r="G311" s="14" t="s">
        <v>1785</v>
      </c>
      <c r="H311" s="14">
        <v>1</v>
      </c>
      <c r="I311" s="14"/>
      <c r="J311" s="14"/>
      <c r="K311" s="14">
        <f t="shared" si="33"/>
        <v>0</v>
      </c>
      <c r="L311" s="14"/>
      <c r="M311" s="14">
        <v>530</v>
      </c>
      <c r="N311" s="44">
        <f>(K311*Table1[[#This Row],[Ühik2]])+M311</f>
        <v>530</v>
      </c>
      <c r="O311" s="44">
        <f>Table1[[#This Row],[2020. EA ]]*0.338</f>
        <v>179.14000000000001</v>
      </c>
      <c r="P311" s="14"/>
    </row>
    <row r="312" spans="1:16" x14ac:dyDescent="0.25">
      <c r="A312" s="14" t="str">
        <f t="shared" si="37"/>
        <v>08</v>
      </c>
      <c r="B312" t="s">
        <v>316</v>
      </c>
      <c r="C312" s="14" t="str">
        <f>VLOOKUP(B312,Table4[],2,FALSE)</f>
        <v xml:space="preserve"> Roela Rahvamaja</v>
      </c>
      <c r="D312" s="39" t="str">
        <f>VLOOKUP(Table1[[#This Row],[Tegevusala]],Table4[[Tegevusala kood]:[Tegevusala alanimetus]],4,FALSE)</f>
        <v>Rahvakultuur</v>
      </c>
      <c r="E312" s="14" t="str">
        <f>VLOOKUP(C312,Table4[[Tegevusala nimetus]:[Tegevusala koondnimetus]],2,FALSE)</f>
        <v>Vabaaeg, kultuur ja religioon</v>
      </c>
      <c r="F312" s="14" t="s">
        <v>1788</v>
      </c>
      <c r="G312" s="14" t="s">
        <v>1786</v>
      </c>
      <c r="H312" s="14">
        <v>1</v>
      </c>
      <c r="I312" s="14"/>
      <c r="J312" s="14"/>
      <c r="K312" s="14">
        <f t="shared" si="33"/>
        <v>0</v>
      </c>
      <c r="L312" s="14"/>
      <c r="M312" s="14">
        <v>795</v>
      </c>
      <c r="N312" s="44">
        <f>(K312*Table1[[#This Row],[Ühik2]])+M312</f>
        <v>795</v>
      </c>
      <c r="O312" s="44">
        <f>Table1[[#This Row],[2020. EA ]]*0.338</f>
        <v>268.71000000000004</v>
      </c>
      <c r="P312" s="14"/>
    </row>
    <row r="313" spans="1:16" x14ac:dyDescent="0.25">
      <c r="A313" s="37" t="str">
        <f t="shared" si="37"/>
        <v>08</v>
      </c>
      <c r="B313" s="8" t="s">
        <v>316</v>
      </c>
      <c r="C313" s="37" t="str">
        <f>VLOOKUP(B313,Table4[],2,FALSE)</f>
        <v xml:space="preserve"> Roela Rahvamaja</v>
      </c>
      <c r="D313" s="48" t="str">
        <f>VLOOKUP(Table1[[#This Row],[Tegevusala]],Table4[[Tegevusala kood]:[Tegevusala alanimetus]],4,FALSE)</f>
        <v>Rahvakultuur</v>
      </c>
      <c r="E313" s="37" t="str">
        <f>VLOOKUP(C313,Table4[[Tegevusala nimetus]:[Tegevusala koondnimetus]],2,FALSE)</f>
        <v>Vabaaeg, kultuur ja religioon</v>
      </c>
      <c r="F313" s="37" t="s">
        <v>1788</v>
      </c>
      <c r="G313" s="37" t="s">
        <v>1787</v>
      </c>
      <c r="H313" s="37">
        <v>1</v>
      </c>
      <c r="I313" s="37"/>
      <c r="J313" s="37"/>
      <c r="K313" s="37">
        <f t="shared" si="33"/>
        <v>0</v>
      </c>
      <c r="L313" s="37"/>
      <c r="M313" s="37"/>
      <c r="N313" s="46">
        <f>(K313*Table1[[#This Row],[Ühik2]])+M313</f>
        <v>0</v>
      </c>
      <c r="O313" s="46">
        <f>Table1[[#This Row],[2020. EA ]]*0.338</f>
        <v>0</v>
      </c>
      <c r="P313" s="37" t="s">
        <v>1825</v>
      </c>
    </row>
    <row r="314" spans="1:16" x14ac:dyDescent="0.25">
      <c r="A314" s="38" t="str">
        <f t="shared" ref="A314:A321" si="38">LEFT(B314,2)</f>
        <v>03</v>
      </c>
      <c r="B314" s="42" t="s">
        <v>27</v>
      </c>
      <c r="C314" s="38" t="str">
        <f>VLOOKUP(B314,Table4[],2,FALSE)</f>
        <v xml:space="preserve"> Päästeteenused</v>
      </c>
      <c r="D314" s="39" t="str">
        <f>VLOOKUP(Table1[[#This Row],[Tegevusala]],Table4[[Tegevusala kood]:[Tegevusala alanimetus]],4,FALSE)</f>
        <v>Päästeteenused</v>
      </c>
      <c r="E314" s="38" t="str">
        <f>VLOOKUP(C314,Table4[[Tegevusala nimetus]:[Tegevusala koondnimetus]],2,FALSE)</f>
        <v>Avalik kord ja julgeolek</v>
      </c>
      <c r="F314" s="14" t="s">
        <v>770</v>
      </c>
      <c r="G314" s="38" t="s">
        <v>2142</v>
      </c>
      <c r="H314" s="38">
        <v>7</v>
      </c>
      <c r="I314" s="38" t="s">
        <v>2027</v>
      </c>
      <c r="J314" s="38">
        <v>30.963000000000001</v>
      </c>
      <c r="K314" s="38">
        <f t="shared" si="33"/>
        <v>216.74100000000001</v>
      </c>
      <c r="L314" s="38">
        <v>4</v>
      </c>
      <c r="M314" s="38"/>
      <c r="N314" s="45">
        <f>(K314*Table1[[#This Row],[Ühik2]])+M314</f>
        <v>866.96400000000006</v>
      </c>
      <c r="O314" s="45">
        <f>Table1[[#This Row],[2020. EA ]]*0.338</f>
        <v>293.03383200000002</v>
      </c>
      <c r="P314" s="38"/>
    </row>
    <row r="315" spans="1:16" x14ac:dyDescent="0.25">
      <c r="A315" s="14" t="str">
        <f t="shared" si="38"/>
        <v>04</v>
      </c>
      <c r="B315" s="50" t="s">
        <v>32</v>
      </c>
      <c r="C315" s="14" t="str">
        <f>VLOOKUP(B315,Table4[],2,FALSE)</f>
        <v xml:space="preserve"> Side</v>
      </c>
      <c r="D315" s="39" t="str">
        <f>VLOOKUP(Table1[[#This Row],[Tegevusala]],Table4[[Tegevusala kood]:[Tegevusala alanimetus]],4,FALSE)</f>
        <v>Side</v>
      </c>
      <c r="E315" s="14" t="str">
        <f>VLOOKUP(C315,Table4[[Tegevusala nimetus]:[Tegevusala koondnimetus]],2,FALSE)</f>
        <v>Majandus</v>
      </c>
      <c r="F315" s="14" t="s">
        <v>818</v>
      </c>
      <c r="G315" s="14" t="s">
        <v>802</v>
      </c>
      <c r="H315" s="14">
        <v>1</v>
      </c>
      <c r="I315" s="14"/>
      <c r="J315" s="14">
        <v>1560</v>
      </c>
      <c r="K315" s="14">
        <f t="shared" si="33"/>
        <v>1560</v>
      </c>
      <c r="L315" s="14">
        <v>12</v>
      </c>
      <c r="M315" s="14"/>
      <c r="N315" s="44">
        <f>(K315*Table1[[#This Row],[Ühik2]])+M315</f>
        <v>18720</v>
      </c>
      <c r="O315" s="44">
        <f>Table1[[#This Row],[2020. EA ]]*0.338</f>
        <v>6327.3600000000006</v>
      </c>
      <c r="P315" s="14"/>
    </row>
    <row r="316" spans="1:16" x14ac:dyDescent="0.25">
      <c r="A316" s="14" t="str">
        <f t="shared" si="38"/>
        <v>04</v>
      </c>
      <c r="B316" t="s">
        <v>34</v>
      </c>
      <c r="C316" s="14" t="str">
        <f>VLOOKUP(B316,Table4[],2,FALSE)</f>
        <v xml:space="preserve"> Muu majandus (sh majanduse haldus)</v>
      </c>
      <c r="D316" s="39" t="str">
        <f>VLOOKUP(Table1[[#This Row],[Tegevusala]],Table4[[Tegevusala kood]:[Tegevusala alanimetus]],4,FALSE)</f>
        <v>Muu majandus (sh majanduse haldus)</v>
      </c>
      <c r="E316" s="14" t="str">
        <f>VLOOKUP(C316,Table4[[Tegevusala nimetus]:[Tegevusala koondnimetus]],2,FALSE)</f>
        <v>Majandus</v>
      </c>
      <c r="F316" s="38" t="s">
        <v>818</v>
      </c>
      <c r="G316" s="14" t="s">
        <v>1826</v>
      </c>
      <c r="H316" s="14">
        <v>1</v>
      </c>
      <c r="I316" s="14"/>
      <c r="J316" s="14">
        <v>1675</v>
      </c>
      <c r="K316" s="14">
        <f t="shared" ref="K316:K367" si="39">H316*J316</f>
        <v>1675</v>
      </c>
      <c r="L316" s="14">
        <v>12</v>
      </c>
      <c r="M316" s="14"/>
      <c r="N316" s="44">
        <f>(K316*Table1[[#This Row],[Ühik2]])+M316</f>
        <v>20100</v>
      </c>
      <c r="O316" s="44">
        <f>Table1[[#This Row],[2020. EA ]]*0.338</f>
        <v>6793.8</v>
      </c>
      <c r="P316" s="14"/>
    </row>
    <row r="317" spans="1:16" x14ac:dyDescent="0.25">
      <c r="A317" s="14" t="str">
        <f t="shared" si="38"/>
        <v>01</v>
      </c>
      <c r="B317" t="s">
        <v>15</v>
      </c>
      <c r="C317" s="14" t="str">
        <f>VLOOKUP(B317,Table4[],2,FALSE)</f>
        <v xml:space="preserve"> Valla- ja linnavalitsus</v>
      </c>
      <c r="D317" s="39" t="str">
        <f>VLOOKUP(Table1[[#This Row],[Tegevusala]],Table4[[Tegevusala kood]:[Tegevusala alanimetus]],4,FALSE)</f>
        <v>Valla- ja linnavalitsus</v>
      </c>
      <c r="E317" s="14" t="str">
        <f>VLOOKUP(C317,Table4[[Tegevusala nimetus]:[Tegevusala koondnimetus]],2,FALSE)</f>
        <v>Üldised valitsussektori teenused</v>
      </c>
      <c r="F317" s="14" t="s">
        <v>818</v>
      </c>
      <c r="G317" s="14" t="s">
        <v>1827</v>
      </c>
      <c r="H317" s="14">
        <v>3</v>
      </c>
      <c r="I317" s="14" t="s">
        <v>2027</v>
      </c>
      <c r="J317" s="14">
        <v>45</v>
      </c>
      <c r="K317" s="14">
        <f t="shared" si="39"/>
        <v>135</v>
      </c>
      <c r="L317" s="14">
        <v>56</v>
      </c>
      <c r="M317" s="14"/>
      <c r="N317" s="44">
        <f>(K317*Table1[[#This Row],[Ühik2]])+M317</f>
        <v>7560</v>
      </c>
      <c r="O317" s="44">
        <f>Table1[[#This Row],[2020. EA ]]*0.338</f>
        <v>2555.2800000000002</v>
      </c>
      <c r="P317" s="14"/>
    </row>
    <row r="318" spans="1:16" x14ac:dyDescent="0.25">
      <c r="A318" s="14" t="str">
        <f t="shared" si="38"/>
        <v>08</v>
      </c>
      <c r="B318" t="s">
        <v>47</v>
      </c>
      <c r="C318" s="14" t="str">
        <f>VLOOKUP(B318,Table4[],2,FALSE)</f>
        <v xml:space="preserve"> Muu vaba aeg, kultuur, religioon, sh haldus</v>
      </c>
      <c r="D318" s="39" t="str">
        <f>VLOOKUP(Table1[[#This Row],[Tegevusala]],Table4[[Tegevusala kood]:[Tegevusala alanimetus]],4,FALSE)</f>
        <v>Muu vaba aeg, kultuur, religioon, sh haldus</v>
      </c>
      <c r="E318" s="14" t="str">
        <f>VLOOKUP(C318,Table4[[Tegevusala nimetus]:[Tegevusala koondnimetus]],2,FALSE)</f>
        <v>Vabaaeg, kultuur ja religioon</v>
      </c>
      <c r="F318" s="14" t="s">
        <v>818</v>
      </c>
      <c r="G318" s="14" t="s">
        <v>1837</v>
      </c>
      <c r="H318" s="14">
        <v>1</v>
      </c>
      <c r="I318" s="14"/>
      <c r="J318" s="14">
        <v>1560</v>
      </c>
      <c r="K318" s="14">
        <f t="shared" si="39"/>
        <v>1560</v>
      </c>
      <c r="L318" s="14">
        <v>12</v>
      </c>
      <c r="M318" s="14"/>
      <c r="N318" s="44">
        <f>(K318*Table1[[#This Row],[Ühik2]])+M318</f>
        <v>18720</v>
      </c>
      <c r="O318" s="44">
        <f>Table1[[#This Row],[2020. EA ]]*0.338</f>
        <v>6327.3600000000006</v>
      </c>
      <c r="P318" s="14"/>
    </row>
    <row r="319" spans="1:16" x14ac:dyDescent="0.25">
      <c r="A319" s="91" t="str">
        <f t="shared" si="38"/>
        <v>08</v>
      </c>
      <c r="B319" s="97" t="s">
        <v>312</v>
      </c>
      <c r="C319" s="91" t="str">
        <f>VLOOKUP(B319,Table4[],2,FALSE)</f>
        <v xml:space="preserve"> Kadila Seltsimaja</v>
      </c>
      <c r="D319" s="95" t="str">
        <f>VLOOKUP(Table1[[#This Row],[Tegevusala]],Table4[[Tegevusala kood]:[Tegevusala alanimetus]],4,FALSE)</f>
        <v>Rahvakultuur</v>
      </c>
      <c r="E319" s="91" t="str">
        <f>VLOOKUP(C319,Table4[[Tegevusala nimetus]:[Tegevusala koondnimetus]],2,FALSE)</f>
        <v>Vabaaeg, kultuur ja religioon</v>
      </c>
      <c r="F319" s="91" t="s">
        <v>1838</v>
      </c>
      <c r="G319" s="91" t="s">
        <v>1778</v>
      </c>
      <c r="H319" s="91">
        <v>1</v>
      </c>
      <c r="I319" s="91"/>
      <c r="J319" s="91">
        <v>584</v>
      </c>
      <c r="K319" s="91">
        <f t="shared" si="39"/>
        <v>584</v>
      </c>
      <c r="L319" s="91">
        <v>12</v>
      </c>
      <c r="M319" s="91"/>
      <c r="N319" s="93">
        <f>(K319*Table1[[#This Row],[Ühik2]])+M319</f>
        <v>7008</v>
      </c>
      <c r="O319" s="93">
        <f>Table1[[#This Row],[2020. EA ]]*0.338</f>
        <v>2368.7040000000002</v>
      </c>
      <c r="P319" s="91"/>
    </row>
    <row r="320" spans="1:16" x14ac:dyDescent="0.25">
      <c r="A320" s="91" t="str">
        <f t="shared" si="38"/>
        <v>08</v>
      </c>
      <c r="B320" s="92" t="s">
        <v>318</v>
      </c>
      <c r="C320" s="91" t="str">
        <f>VLOOKUP(B320,Table4[],2,FALSE)</f>
        <v xml:space="preserve"> Tudu Rahvamaja</v>
      </c>
      <c r="D320" s="95" t="str">
        <f>VLOOKUP(Table1[[#This Row],[Tegevusala]],Table4[[Tegevusala kood]:[Tegevusala alanimetus]],4,FALSE)</f>
        <v>Rahvakultuur</v>
      </c>
      <c r="E320" s="91" t="str">
        <f>VLOOKUP(C320,Table4[[Tegevusala nimetus]:[Tegevusala koondnimetus]],2,FALSE)</f>
        <v>Vabaaeg, kultuur ja religioon</v>
      </c>
      <c r="F320" s="91" t="s">
        <v>1842</v>
      </c>
      <c r="G320" s="91" t="s">
        <v>523</v>
      </c>
      <c r="H320" s="91">
        <v>1</v>
      </c>
      <c r="I320" s="91"/>
      <c r="J320" s="91">
        <v>160</v>
      </c>
      <c r="K320" s="91">
        <f t="shared" si="39"/>
        <v>160</v>
      </c>
      <c r="L320" s="91">
        <v>12</v>
      </c>
      <c r="M320" s="91"/>
      <c r="N320" s="93">
        <f>(K320*Table1[[#This Row],[Ühik2]])+M320</f>
        <v>1920</v>
      </c>
      <c r="O320" s="93">
        <f>Table1[[#This Row],[2020. EA ]]*0.338</f>
        <v>648.96</v>
      </c>
      <c r="P320" s="91"/>
    </row>
    <row r="321" spans="1:16" x14ac:dyDescent="0.25">
      <c r="A321" s="14" t="str">
        <f t="shared" si="38"/>
        <v>08</v>
      </c>
      <c r="B321" t="s">
        <v>318</v>
      </c>
      <c r="C321" s="14" t="str">
        <f>VLOOKUP(B321,Table4[],2,FALSE)</f>
        <v xml:space="preserve"> Tudu Rahvamaja</v>
      </c>
      <c r="D321" s="39" t="str">
        <f>VLOOKUP(Table1[[#This Row],[Tegevusala]],Table4[[Tegevusala kood]:[Tegevusala alanimetus]],4,FALSE)</f>
        <v>Rahvakultuur</v>
      </c>
      <c r="E321" s="14" t="str">
        <f>VLOOKUP(C321,Table4[[Tegevusala nimetus]:[Tegevusala koondnimetus]],2,FALSE)</f>
        <v>Vabaaeg, kultuur ja religioon</v>
      </c>
      <c r="F321" s="14" t="s">
        <v>1842</v>
      </c>
      <c r="G321" s="14" t="s">
        <v>935</v>
      </c>
      <c r="H321" s="14">
        <v>1</v>
      </c>
      <c r="I321" s="14" t="s">
        <v>2027</v>
      </c>
      <c r="J321" s="14">
        <v>152</v>
      </c>
      <c r="K321" s="14">
        <f t="shared" si="39"/>
        <v>152</v>
      </c>
      <c r="L321" s="14">
        <v>12</v>
      </c>
      <c r="M321" s="14"/>
      <c r="N321" s="44">
        <f>(K321*Table1[[#This Row],[Ühik2]])+M321</f>
        <v>1824</v>
      </c>
      <c r="O321" s="44">
        <f>Table1[[#This Row],[2020. EA ]]*0.338</f>
        <v>616.51200000000006</v>
      </c>
      <c r="P321" s="14"/>
    </row>
    <row r="322" spans="1:16" x14ac:dyDescent="0.25">
      <c r="A322" s="14" t="str">
        <f t="shared" ref="A322:A324" si="40">LEFT(B322,2)</f>
        <v>08</v>
      </c>
      <c r="B322" s="49" t="s">
        <v>314</v>
      </c>
      <c r="C322" s="14" t="str">
        <f>VLOOKUP(B322,Table4[],2,FALSE)</f>
        <v xml:space="preserve"> Pajusti klubi</v>
      </c>
      <c r="D322" s="39" t="str">
        <f>VLOOKUP(Table1[[#This Row],[Tegevusala]],Table4[[Tegevusala kood]:[Tegevusala alanimetus]],4,FALSE)</f>
        <v>Rahvakultuur</v>
      </c>
      <c r="E322" s="14" t="str">
        <f>VLOOKUP(C322,Table4[[Tegevusala nimetus]:[Tegevusala koondnimetus]],2,FALSE)</f>
        <v>Vabaaeg, kultuur ja religioon</v>
      </c>
      <c r="F322" s="14" t="s">
        <v>1845</v>
      </c>
      <c r="G322" s="14" t="s">
        <v>523</v>
      </c>
      <c r="H322" s="14">
        <v>1</v>
      </c>
      <c r="I322" s="14"/>
      <c r="J322" s="14">
        <v>1150</v>
      </c>
      <c r="K322" s="14">
        <f t="shared" si="39"/>
        <v>1150</v>
      </c>
      <c r="L322" s="14">
        <v>12</v>
      </c>
      <c r="M322" s="14"/>
      <c r="N322" s="44">
        <f>(K322*Table1[[#This Row],[Ühik2]])+M322</f>
        <v>13800</v>
      </c>
      <c r="O322" s="44">
        <f>Table1[[#This Row],[2020. EA ]]*0.338</f>
        <v>4664.4000000000005</v>
      </c>
      <c r="P322" s="14"/>
    </row>
    <row r="323" spans="1:16" x14ac:dyDescent="0.25">
      <c r="A323" s="91" t="str">
        <f t="shared" si="40"/>
        <v>08</v>
      </c>
      <c r="B323" s="98" t="s">
        <v>314</v>
      </c>
      <c r="C323" s="91" t="str">
        <f>VLOOKUP(B323,Table4[],2,FALSE)</f>
        <v xml:space="preserve"> Pajusti klubi</v>
      </c>
      <c r="D323" s="95" t="str">
        <f>VLOOKUP(Table1[[#This Row],[Tegevusala]],Table4[[Tegevusala kood]:[Tegevusala alanimetus]],4,FALSE)</f>
        <v>Rahvakultuur</v>
      </c>
      <c r="E323" s="91" t="str">
        <f>VLOOKUP(C323,Table4[[Tegevusala nimetus]:[Tegevusala koondnimetus]],2,FALSE)</f>
        <v>Vabaaeg, kultuur ja religioon</v>
      </c>
      <c r="F323" s="91" t="s">
        <v>1845</v>
      </c>
      <c r="G323" s="91" t="s">
        <v>1045</v>
      </c>
      <c r="H323" s="91">
        <v>1</v>
      </c>
      <c r="I323" s="91"/>
      <c r="J323" s="91">
        <v>584</v>
      </c>
      <c r="K323" s="91">
        <f t="shared" si="39"/>
        <v>584</v>
      </c>
      <c r="L323" s="91">
        <v>12</v>
      </c>
      <c r="M323" s="91"/>
      <c r="N323" s="93">
        <f>(K323*Table1[[#This Row],[Ühik2]])+M323</f>
        <v>7008</v>
      </c>
      <c r="O323" s="93">
        <f>Table1[[#This Row],[2020. EA ]]*0.338</f>
        <v>2368.7040000000002</v>
      </c>
      <c r="P323" s="91"/>
    </row>
    <row r="324" spans="1:16" x14ac:dyDescent="0.25">
      <c r="A324" s="14" t="str">
        <f t="shared" si="40"/>
        <v>08</v>
      </c>
      <c r="B324" s="50" t="s">
        <v>314</v>
      </c>
      <c r="C324" s="14" t="str">
        <f>VLOOKUP(B324,Table4[],2,FALSE)</f>
        <v xml:space="preserve"> Pajusti klubi</v>
      </c>
      <c r="D324" s="39" t="str">
        <f>VLOOKUP(Table1[[#This Row],[Tegevusala]],Table4[[Tegevusala kood]:[Tegevusala alanimetus]],4,FALSE)</f>
        <v>Rahvakultuur</v>
      </c>
      <c r="E324" s="14" t="str">
        <f>VLOOKUP(C324,Table4[[Tegevusala nimetus]:[Tegevusala koondnimetus]],2,FALSE)</f>
        <v>Vabaaeg, kultuur ja religioon</v>
      </c>
      <c r="F324" s="14" t="s">
        <v>1845</v>
      </c>
      <c r="G324" s="14" t="s">
        <v>1844</v>
      </c>
      <c r="H324" s="14">
        <v>1</v>
      </c>
      <c r="I324" s="14"/>
      <c r="J324" s="14">
        <v>897.5</v>
      </c>
      <c r="K324" s="14">
        <f t="shared" si="39"/>
        <v>897.5</v>
      </c>
      <c r="L324" s="14">
        <v>12</v>
      </c>
      <c r="M324" s="14"/>
      <c r="N324" s="44">
        <f>(K324*Table1[[#This Row],[Ühik2]])+M324</f>
        <v>10770</v>
      </c>
      <c r="O324" s="44">
        <f>Table1[[#This Row],[2020. EA ]]*0.338</f>
        <v>3640.26</v>
      </c>
      <c r="P324" s="14"/>
    </row>
    <row r="325" spans="1:16" x14ac:dyDescent="0.25">
      <c r="A325" s="14" t="str">
        <f t="shared" ref="A325:A327" si="41">LEFT(B325,2)</f>
        <v>09</v>
      </c>
      <c r="B325" t="s">
        <v>353</v>
      </c>
      <c r="C325" s="14" t="str">
        <f>VLOOKUP(B325,Table4[],2,FALSE)</f>
        <v xml:space="preserve"> Roela Õpilaskodu</v>
      </c>
      <c r="D325" s="39" t="str">
        <f>VLOOKUP(Table1[[#This Row],[Tegevusala]],Table4[[Tegevusala kood]:[Tegevusala alanimetus]],4,FALSE)</f>
        <v>Öömaja</v>
      </c>
      <c r="E325" s="14" t="str">
        <f>VLOOKUP(C325,Table4[[Tegevusala nimetus]:[Tegevusala koondnimetus]],2,FALSE)</f>
        <v>Haridus</v>
      </c>
      <c r="F325" s="14" t="s">
        <v>1851</v>
      </c>
      <c r="G325" s="14" t="s">
        <v>2173</v>
      </c>
      <c r="H325" s="14">
        <v>1</v>
      </c>
      <c r="I325" s="14"/>
      <c r="J325" s="14">
        <v>820</v>
      </c>
      <c r="K325" s="14">
        <f t="shared" si="39"/>
        <v>820</v>
      </c>
      <c r="L325" s="14">
        <v>12</v>
      </c>
      <c r="M325" s="14"/>
      <c r="N325" s="44">
        <f>(K325*Table1[[#This Row],[Ühik2]])+M325</f>
        <v>9840</v>
      </c>
      <c r="O325" s="44">
        <f>Table1[[#This Row],[2020. EA ]]*0.338</f>
        <v>3325.92</v>
      </c>
      <c r="P325" s="14"/>
    </row>
    <row r="326" spans="1:16" x14ac:dyDescent="0.25">
      <c r="A326" s="14" t="str">
        <f t="shared" si="41"/>
        <v>09</v>
      </c>
      <c r="B326" t="s">
        <v>353</v>
      </c>
      <c r="C326" s="14" t="str">
        <f>VLOOKUP(B326,Table4[],2,FALSE)</f>
        <v xml:space="preserve"> Roela Õpilaskodu</v>
      </c>
      <c r="D326" s="39" t="str">
        <f>VLOOKUP(Table1[[#This Row],[Tegevusala]],Table4[[Tegevusala kood]:[Tegevusala alanimetus]],4,FALSE)</f>
        <v>Öömaja</v>
      </c>
      <c r="E326" s="14" t="str">
        <f>VLOOKUP(C326,Table4[[Tegevusala nimetus]:[Tegevusala koondnimetus]],2,FALSE)</f>
        <v>Haridus</v>
      </c>
      <c r="F326" s="14" t="s">
        <v>1851</v>
      </c>
      <c r="G326" s="14" t="s">
        <v>1850</v>
      </c>
      <c r="H326" s="14">
        <v>1</v>
      </c>
      <c r="I326" s="14"/>
      <c r="J326" s="14">
        <v>690</v>
      </c>
      <c r="K326" s="14">
        <f t="shared" si="39"/>
        <v>690</v>
      </c>
      <c r="L326" s="14">
        <v>12</v>
      </c>
      <c r="M326" s="14"/>
      <c r="N326" s="44">
        <f>(K326*Table1[[#This Row],[Ühik2]])+M326</f>
        <v>8280</v>
      </c>
      <c r="O326" s="44">
        <f>Table1[[#This Row],[2020. EA ]]*0.338</f>
        <v>2798.6400000000003</v>
      </c>
      <c r="P326" s="14"/>
    </row>
    <row r="327" spans="1:16" x14ac:dyDescent="0.25">
      <c r="A327" s="91" t="str">
        <f t="shared" si="41"/>
        <v>09</v>
      </c>
      <c r="B327" s="92" t="s">
        <v>353</v>
      </c>
      <c r="C327" s="91" t="str">
        <f>VLOOKUP(B327,Table4[],2,FALSE)</f>
        <v xml:space="preserve"> Roela Õpilaskodu</v>
      </c>
      <c r="D327" s="95" t="str">
        <f>VLOOKUP(Table1[[#This Row],[Tegevusala]],Table4[[Tegevusala kood]:[Tegevusala alanimetus]],4,FALSE)</f>
        <v>Öömaja</v>
      </c>
      <c r="E327" s="91" t="str">
        <f>VLOOKUP(C327,Table4[[Tegevusala nimetus]:[Tegevusala koondnimetus]],2,FALSE)</f>
        <v>Haridus</v>
      </c>
      <c r="F327" s="91" t="s">
        <v>1851</v>
      </c>
      <c r="G327" s="91" t="s">
        <v>1402</v>
      </c>
      <c r="H327" s="91">
        <v>1</v>
      </c>
      <c r="I327" s="91"/>
      <c r="J327" s="91">
        <v>390</v>
      </c>
      <c r="K327" s="91">
        <f t="shared" si="39"/>
        <v>390</v>
      </c>
      <c r="L327" s="91">
        <v>12</v>
      </c>
      <c r="M327" s="91"/>
      <c r="N327" s="93">
        <f>(K327*Table1[[#This Row],[Ühik2]])+M327</f>
        <v>4680</v>
      </c>
      <c r="O327" s="93">
        <f>Table1[[#This Row],[2020. EA ]]*0.338</f>
        <v>1581.8400000000001</v>
      </c>
      <c r="P327" s="91"/>
    </row>
    <row r="328" spans="1:16" s="33" customFormat="1" x14ac:dyDescent="0.25">
      <c r="A328" s="38" t="str">
        <f t="shared" ref="A328:A349" si="42">LEFT(B328,2)</f>
        <v>09</v>
      </c>
      <c r="B328" s="33" t="s">
        <v>335</v>
      </c>
      <c r="C328" s="38" t="str">
        <f>VLOOKUP(B328,Table4[],2,FALSE)</f>
        <v xml:space="preserve"> Laekvere Lasteaed</v>
      </c>
      <c r="D328" s="39" t="str">
        <f>VLOOKUP(Table1[[#This Row],[Tegevusala]],Table4[[Tegevusala kood]:[Tegevusala alanimetus]],4,FALSE)</f>
        <v>Alusharidus</v>
      </c>
      <c r="E328" s="38" t="str">
        <f>VLOOKUP(C328,Table4[[Tegevusala nimetus]:[Tegevusala koondnimetus]],2,FALSE)</f>
        <v>Haridus</v>
      </c>
      <c r="F328" s="38" t="s">
        <v>1870</v>
      </c>
      <c r="G328" s="38" t="s">
        <v>1883</v>
      </c>
      <c r="H328" s="38">
        <v>0</v>
      </c>
      <c r="I328" s="38"/>
      <c r="J328" s="38">
        <v>1315</v>
      </c>
      <c r="K328" s="38">
        <f t="shared" si="39"/>
        <v>0</v>
      </c>
      <c r="L328" s="38">
        <v>12</v>
      </c>
      <c r="M328" s="38"/>
      <c r="N328" s="45">
        <f>(K328*Table1[[#This Row],[Ühik2]])+M328</f>
        <v>0</v>
      </c>
      <c r="O328" s="45">
        <f>Table1[[#This Row],[2020. EA ]]*0.338</f>
        <v>0</v>
      </c>
      <c r="P328" s="38"/>
    </row>
    <row r="329" spans="1:16" x14ac:dyDescent="0.25">
      <c r="A329" s="38" t="str">
        <f t="shared" si="42"/>
        <v>09</v>
      </c>
      <c r="B329" s="33" t="s">
        <v>335</v>
      </c>
      <c r="C329" s="38" t="str">
        <f>VLOOKUP(B329,Table4[],2,FALSE)</f>
        <v xml:space="preserve"> Laekvere Lasteaed</v>
      </c>
      <c r="D329" s="39" t="str">
        <f>VLOOKUP(Table1[[#This Row],[Tegevusala]],Table4[[Tegevusala kood]:[Tegevusala alanimetus]],4,FALSE)</f>
        <v>Alusharidus</v>
      </c>
      <c r="E329" s="38" t="str">
        <f>VLOOKUP(C329,Table4[[Tegevusala nimetus]:[Tegevusala koondnimetus]],2,FALSE)</f>
        <v>Haridus</v>
      </c>
      <c r="F329" s="38" t="s">
        <v>1870</v>
      </c>
      <c r="G329" s="38" t="s">
        <v>1884</v>
      </c>
      <c r="H329" s="38">
        <v>0</v>
      </c>
      <c r="I329" s="38"/>
      <c r="J329" s="38">
        <v>1315</v>
      </c>
      <c r="K329" s="38">
        <f t="shared" si="39"/>
        <v>0</v>
      </c>
      <c r="L329" s="38">
        <v>12</v>
      </c>
      <c r="M329" s="38"/>
      <c r="N329" s="45">
        <f>(K329*Table1[[#This Row],[Ühik2]])+M329</f>
        <v>0</v>
      </c>
      <c r="O329" s="45">
        <f>Table1[[#This Row],[2020. EA ]]*0.338</f>
        <v>0</v>
      </c>
      <c r="P329" s="38"/>
    </row>
    <row r="330" spans="1:16" x14ac:dyDescent="0.25">
      <c r="A330" s="38" t="str">
        <f t="shared" si="42"/>
        <v>09</v>
      </c>
      <c r="B330" s="33" t="s">
        <v>335</v>
      </c>
      <c r="C330" s="38" t="str">
        <f>VLOOKUP(B330,Table4[],2,FALSE)</f>
        <v xml:space="preserve"> Laekvere Lasteaed</v>
      </c>
      <c r="D330" s="39" t="str">
        <f>VLOOKUP(Table1[[#This Row],[Tegevusala]],Table4[[Tegevusala kood]:[Tegevusala alanimetus]],4,FALSE)</f>
        <v>Alusharidus</v>
      </c>
      <c r="E330" s="38" t="str">
        <f>VLOOKUP(C330,Table4[[Tegevusala nimetus]:[Tegevusala koondnimetus]],2,FALSE)</f>
        <v>Haridus</v>
      </c>
      <c r="F330" s="38" t="s">
        <v>1870</v>
      </c>
      <c r="G330" s="38" t="s">
        <v>1885</v>
      </c>
      <c r="H330" s="38">
        <v>0</v>
      </c>
      <c r="I330" s="38"/>
      <c r="J330" s="38">
        <v>1315</v>
      </c>
      <c r="K330" s="38">
        <f t="shared" si="39"/>
        <v>0</v>
      </c>
      <c r="L330" s="38">
        <v>12</v>
      </c>
      <c r="M330" s="38"/>
      <c r="N330" s="45">
        <f>(K330*Table1[[#This Row],[Ühik2]])+M330</f>
        <v>0</v>
      </c>
      <c r="O330" s="45">
        <f>Table1[[#This Row],[2020. EA ]]*0.338</f>
        <v>0</v>
      </c>
      <c r="P330" s="38"/>
    </row>
    <row r="331" spans="1:16" x14ac:dyDescent="0.25">
      <c r="A331" s="38" t="str">
        <f t="shared" si="42"/>
        <v>09</v>
      </c>
      <c r="B331" s="33" t="s">
        <v>335</v>
      </c>
      <c r="C331" s="38" t="str">
        <f>VLOOKUP(B331,Table4[],2,FALSE)</f>
        <v xml:space="preserve"> Laekvere Lasteaed</v>
      </c>
      <c r="D331" s="39" t="str">
        <f>VLOOKUP(Table1[[#This Row],[Tegevusala]],Table4[[Tegevusala kood]:[Tegevusala alanimetus]],4,FALSE)</f>
        <v>Alusharidus</v>
      </c>
      <c r="E331" s="38" t="str">
        <f>VLOOKUP(C331,Table4[[Tegevusala nimetus]:[Tegevusala koondnimetus]],2,FALSE)</f>
        <v>Haridus</v>
      </c>
      <c r="F331" s="38" t="s">
        <v>1870</v>
      </c>
      <c r="G331" s="38" t="s">
        <v>527</v>
      </c>
      <c r="H331" s="38">
        <v>0</v>
      </c>
      <c r="I331" s="38"/>
      <c r="J331" s="38">
        <v>1414</v>
      </c>
      <c r="K331" s="38">
        <f t="shared" si="39"/>
        <v>0</v>
      </c>
      <c r="L331" s="38">
        <v>12</v>
      </c>
      <c r="M331" s="38"/>
      <c r="N331" s="45">
        <f>(K331*Table1[[#This Row],[Ühik2]])+M331</f>
        <v>0</v>
      </c>
      <c r="O331" s="45">
        <f>Table1[[#This Row],[2020. EA ]]*0.338</f>
        <v>0</v>
      </c>
      <c r="P331" s="38"/>
    </row>
    <row r="332" spans="1:16" x14ac:dyDescent="0.25">
      <c r="A332" s="38" t="str">
        <f t="shared" si="42"/>
        <v>09</v>
      </c>
      <c r="B332" s="33" t="s">
        <v>335</v>
      </c>
      <c r="C332" s="38" t="str">
        <f>VLOOKUP(B332,Table4[],2,FALSE)</f>
        <v xml:space="preserve"> Laekvere Lasteaed</v>
      </c>
      <c r="D332" s="39" t="str">
        <f>VLOOKUP(Table1[[#This Row],[Tegevusala]],Table4[[Tegevusala kood]:[Tegevusala alanimetus]],4,FALSE)</f>
        <v>Alusharidus</v>
      </c>
      <c r="E332" s="38" t="str">
        <f>VLOOKUP(C332,Table4[[Tegevusala nimetus]:[Tegevusala koondnimetus]],2,FALSE)</f>
        <v>Haridus</v>
      </c>
      <c r="F332" s="38" t="s">
        <v>1870</v>
      </c>
      <c r="G332" s="38" t="s">
        <v>1886</v>
      </c>
      <c r="H332" s="38">
        <v>0.25</v>
      </c>
      <c r="I332" s="38"/>
      <c r="J332" s="38">
        <v>1315</v>
      </c>
      <c r="K332" s="38">
        <f t="shared" si="39"/>
        <v>328.75</v>
      </c>
      <c r="L332" s="38">
        <v>12</v>
      </c>
      <c r="M332" s="38"/>
      <c r="N332" s="45">
        <f>(K332*Table1[[#This Row],[Ühik2]])+M332</f>
        <v>3945</v>
      </c>
      <c r="O332" s="45">
        <f>Table1[[#This Row],[2020. EA ]]*0.338</f>
        <v>1333.41</v>
      </c>
      <c r="P332" s="38"/>
    </row>
    <row r="333" spans="1:16" x14ac:dyDescent="0.25">
      <c r="A333" s="38" t="str">
        <f t="shared" si="42"/>
        <v>09</v>
      </c>
      <c r="B333" s="33" t="s">
        <v>335</v>
      </c>
      <c r="C333" s="38" t="str">
        <f>VLOOKUP(B333,Table4[],2,FALSE)</f>
        <v xml:space="preserve"> Laekvere Lasteaed</v>
      </c>
      <c r="D333" s="39" t="str">
        <f>VLOOKUP(Table1[[#This Row],[Tegevusala]],Table4[[Tegevusala kood]:[Tegevusala alanimetus]],4,FALSE)</f>
        <v>Alusharidus</v>
      </c>
      <c r="E333" s="38" t="str">
        <f>VLOOKUP(C333,Table4[[Tegevusala nimetus]:[Tegevusala koondnimetus]],2,FALSE)</f>
        <v>Haridus</v>
      </c>
      <c r="F333" s="38" t="s">
        <v>1870</v>
      </c>
      <c r="G333" s="38" t="s">
        <v>1311</v>
      </c>
      <c r="H333" s="38">
        <v>0.5</v>
      </c>
      <c r="I333" s="38"/>
      <c r="J333" s="38">
        <v>1315</v>
      </c>
      <c r="K333" s="38">
        <f t="shared" si="39"/>
        <v>657.5</v>
      </c>
      <c r="L333" s="38">
        <v>12</v>
      </c>
      <c r="M333" s="38"/>
      <c r="N333" s="45">
        <f>(K333*Table1[[#This Row],[Ühik2]])+M333</f>
        <v>7890</v>
      </c>
      <c r="O333" s="45">
        <f>Table1[[#This Row],[2020. EA ]]*0.338</f>
        <v>2666.82</v>
      </c>
      <c r="P333" s="38"/>
    </row>
    <row r="334" spans="1:16" x14ac:dyDescent="0.25">
      <c r="A334" s="38" t="str">
        <f t="shared" si="42"/>
        <v>09</v>
      </c>
      <c r="B334" s="33" t="s">
        <v>335</v>
      </c>
      <c r="C334" s="38" t="str">
        <f>VLOOKUP(B334,Table4[],2,FALSE)</f>
        <v xml:space="preserve"> Laekvere Lasteaed</v>
      </c>
      <c r="D334" s="39" t="str">
        <f>VLOOKUP(Table1[[#This Row],[Tegevusala]],Table4[[Tegevusala kood]:[Tegevusala alanimetus]],4,FALSE)</f>
        <v>Alusharidus</v>
      </c>
      <c r="E334" s="38" t="str">
        <f>VLOOKUP(C334,Table4[[Tegevusala nimetus]:[Tegevusala koondnimetus]],2,FALSE)</f>
        <v>Haridus</v>
      </c>
      <c r="F334" s="38" t="s">
        <v>1870</v>
      </c>
      <c r="G334" s="38" t="s">
        <v>1370</v>
      </c>
      <c r="H334" s="38">
        <v>3.25</v>
      </c>
      <c r="I334" s="38"/>
      <c r="J334" s="38">
        <v>1183.5</v>
      </c>
      <c r="K334" s="38">
        <f t="shared" si="39"/>
        <v>3846.375</v>
      </c>
      <c r="L334" s="38">
        <v>12</v>
      </c>
      <c r="M334" s="38"/>
      <c r="N334" s="45">
        <f>(K334*Table1[[#This Row],[Ühik2]])+M334</f>
        <v>46156.5</v>
      </c>
      <c r="O334" s="45">
        <f>Table1[[#This Row],[2020. EA ]]*0.338</f>
        <v>15600.897000000001</v>
      </c>
      <c r="P334" s="38"/>
    </row>
    <row r="335" spans="1:16" x14ac:dyDescent="0.25">
      <c r="A335" s="38" t="str">
        <f t="shared" si="42"/>
        <v>09</v>
      </c>
      <c r="B335" s="33" t="s">
        <v>335</v>
      </c>
      <c r="C335" s="38" t="str">
        <f>VLOOKUP(B335,Table4[],2,FALSE)</f>
        <v xml:space="preserve"> Laekvere Lasteaed</v>
      </c>
      <c r="D335" s="39" t="str">
        <f>VLOOKUP(Table1[[#This Row],[Tegevusala]],Table4[[Tegevusala kood]:[Tegevusala alanimetus]],4,FALSE)</f>
        <v>Alusharidus</v>
      </c>
      <c r="E335" s="38" t="str">
        <f>VLOOKUP(C335,Table4[[Tegevusala nimetus]:[Tegevusala koondnimetus]],2,FALSE)</f>
        <v>Haridus</v>
      </c>
      <c r="F335" s="38" t="s">
        <v>1870</v>
      </c>
      <c r="G335" s="38" t="s">
        <v>1370</v>
      </c>
      <c r="H335" s="38">
        <v>0.25</v>
      </c>
      <c r="I335" s="38"/>
      <c r="J335" s="38">
        <v>1315</v>
      </c>
      <c r="K335" s="38">
        <f t="shared" si="39"/>
        <v>328.75</v>
      </c>
      <c r="L335" s="38">
        <v>12</v>
      </c>
      <c r="M335" s="38"/>
      <c r="N335" s="45">
        <f>(K335*Table1[[#This Row],[Ühik2]])+M335</f>
        <v>3945</v>
      </c>
      <c r="O335" s="45">
        <f>Table1[[#This Row],[2020. EA ]]*0.338</f>
        <v>1333.41</v>
      </c>
      <c r="P335" s="38"/>
    </row>
    <row r="336" spans="1:16" x14ac:dyDescent="0.25">
      <c r="A336" s="38" t="str">
        <f t="shared" si="42"/>
        <v>09</v>
      </c>
      <c r="B336" s="33" t="s">
        <v>335</v>
      </c>
      <c r="C336" s="38" t="str">
        <f>VLOOKUP(B336,Table4[],2,FALSE)</f>
        <v xml:space="preserve"> Laekvere Lasteaed</v>
      </c>
      <c r="D336" s="39" t="str">
        <f>VLOOKUP(Table1[[#This Row],[Tegevusala]],Table4[[Tegevusala kood]:[Tegevusala alanimetus]],4,FALSE)</f>
        <v>Alusharidus</v>
      </c>
      <c r="E336" s="38" t="str">
        <f>VLOOKUP(C336,Table4[[Tegevusala nimetus]:[Tegevusala koondnimetus]],2,FALSE)</f>
        <v>Haridus</v>
      </c>
      <c r="F336" s="38" t="s">
        <v>1870</v>
      </c>
      <c r="G336" s="38" t="s">
        <v>1270</v>
      </c>
      <c r="H336" s="38">
        <v>2</v>
      </c>
      <c r="I336" s="38"/>
      <c r="J336" s="38">
        <v>702</v>
      </c>
      <c r="K336" s="38">
        <f t="shared" si="39"/>
        <v>1404</v>
      </c>
      <c r="L336" s="38">
        <v>12</v>
      </c>
      <c r="M336" s="38"/>
      <c r="N336" s="45">
        <f>(K336*Table1[[#This Row],[Ühik2]])+M336</f>
        <v>16848</v>
      </c>
      <c r="O336" s="45">
        <f>Table1[[#This Row],[2020. EA ]]*0.338</f>
        <v>5694.6240000000007</v>
      </c>
      <c r="P336" s="38"/>
    </row>
    <row r="337" spans="1:16" x14ac:dyDescent="0.25">
      <c r="A337" s="38" t="str">
        <f t="shared" si="42"/>
        <v>09</v>
      </c>
      <c r="B337" s="33" t="s">
        <v>335</v>
      </c>
      <c r="C337" s="38" t="str">
        <f>VLOOKUP(B337,Table4[],2,FALSE)</f>
        <v xml:space="preserve"> Laekvere Lasteaed</v>
      </c>
      <c r="D337" s="39" t="str">
        <f>VLOOKUP(Table1[[#This Row],[Tegevusala]],Table4[[Tegevusala kood]:[Tegevusala alanimetus]],4,FALSE)</f>
        <v>Alusharidus</v>
      </c>
      <c r="E337" s="38" t="str">
        <f>VLOOKUP(C337,Table4[[Tegevusala nimetus]:[Tegevusala koondnimetus]],2,FALSE)</f>
        <v>Haridus</v>
      </c>
      <c r="F337" s="38" t="s">
        <v>1870</v>
      </c>
      <c r="G337" s="38" t="s">
        <v>1887</v>
      </c>
      <c r="H337" s="38">
        <v>2</v>
      </c>
      <c r="I337" s="38"/>
      <c r="J337" s="38">
        <v>702</v>
      </c>
      <c r="K337" s="38">
        <f t="shared" si="39"/>
        <v>1404</v>
      </c>
      <c r="L337" s="38">
        <v>12</v>
      </c>
      <c r="M337" s="38"/>
      <c r="N337" s="45">
        <f>(K337*Table1[[#This Row],[Ühik2]])+M337</f>
        <v>16848</v>
      </c>
      <c r="O337" s="45">
        <f>Table1[[#This Row],[2020. EA ]]*0.338</f>
        <v>5694.6240000000007</v>
      </c>
      <c r="P337" s="38"/>
    </row>
    <row r="338" spans="1:16" x14ac:dyDescent="0.25">
      <c r="A338" s="38" t="str">
        <f t="shared" si="42"/>
        <v>09</v>
      </c>
      <c r="B338" s="33" t="s">
        <v>335</v>
      </c>
      <c r="C338" s="38" t="str">
        <f>VLOOKUP(B338,Table4[],2,FALSE)</f>
        <v xml:space="preserve"> Laekvere Lasteaed</v>
      </c>
      <c r="D338" s="39" t="str">
        <f>VLOOKUP(Table1[[#This Row],[Tegevusala]],Table4[[Tegevusala kood]:[Tegevusala alanimetus]],4,FALSE)</f>
        <v>Alusharidus</v>
      </c>
      <c r="E338" s="38" t="str">
        <f>VLOOKUP(C338,Table4[[Tegevusala nimetus]:[Tegevusala koondnimetus]],2,FALSE)</f>
        <v>Haridus</v>
      </c>
      <c r="F338" s="38" t="s">
        <v>1870</v>
      </c>
      <c r="G338" s="38" t="s">
        <v>1888</v>
      </c>
      <c r="H338" s="38">
        <v>1</v>
      </c>
      <c r="I338" s="38"/>
      <c r="J338" s="38">
        <v>1183.5</v>
      </c>
      <c r="K338" s="38">
        <f t="shared" si="39"/>
        <v>1183.5</v>
      </c>
      <c r="L338" s="38">
        <v>12</v>
      </c>
      <c r="M338" s="38"/>
      <c r="N338" s="45">
        <f>(K338*Table1[[#This Row],[Ühik2]])+M338</f>
        <v>14202</v>
      </c>
      <c r="O338" s="45">
        <f>Table1[[#This Row],[2020. EA ]]*0.338</f>
        <v>4800.2760000000007</v>
      </c>
      <c r="P338" s="38"/>
    </row>
    <row r="339" spans="1:16" x14ac:dyDescent="0.25">
      <c r="A339" s="38" t="str">
        <f t="shared" si="42"/>
        <v>09</v>
      </c>
      <c r="B339" s="33" t="s">
        <v>335</v>
      </c>
      <c r="C339" s="38" t="str">
        <f>VLOOKUP(B339,Table4[],2,FALSE)</f>
        <v xml:space="preserve"> Laekvere Lasteaed</v>
      </c>
      <c r="D339" s="39" t="str">
        <f>VLOOKUP(Table1[[#This Row],[Tegevusala]],Table4[[Tegevusala kood]:[Tegevusala alanimetus]],4,FALSE)</f>
        <v>Alusharidus</v>
      </c>
      <c r="E339" s="38" t="str">
        <f>VLOOKUP(C339,Table4[[Tegevusala nimetus]:[Tegevusala koondnimetus]],2,FALSE)</f>
        <v>Haridus</v>
      </c>
      <c r="F339" s="38" t="s">
        <v>1870</v>
      </c>
      <c r="G339" s="38" t="s">
        <v>1889</v>
      </c>
      <c r="H339" s="38">
        <v>0</v>
      </c>
      <c r="I339" s="38"/>
      <c r="J339" s="38">
        <v>756</v>
      </c>
      <c r="K339" s="38">
        <f t="shared" si="39"/>
        <v>0</v>
      </c>
      <c r="L339" s="38">
        <v>12</v>
      </c>
      <c r="M339" s="38"/>
      <c r="N339" s="45">
        <f>(K339*Table1[[#This Row],[Ühik2]])+M339</f>
        <v>0</v>
      </c>
      <c r="O339" s="45">
        <f>Table1[[#This Row],[2020. EA ]]*0.338</f>
        <v>0</v>
      </c>
      <c r="P339" s="38"/>
    </row>
    <row r="340" spans="1:16" x14ac:dyDescent="0.25">
      <c r="A340" s="91" t="str">
        <f t="shared" si="42"/>
        <v>09</v>
      </c>
      <c r="B340" s="92" t="s">
        <v>335</v>
      </c>
      <c r="C340" s="91" t="str">
        <f>VLOOKUP(B340,Table4[],2,FALSE)</f>
        <v xml:space="preserve"> Laekvere Lasteaed</v>
      </c>
      <c r="D340" s="95" t="str">
        <f>VLOOKUP(Table1[[#This Row],[Tegevusala]],Table4[[Tegevusala kood]:[Tegevusala alanimetus]],4,FALSE)</f>
        <v>Alusharidus</v>
      </c>
      <c r="E340" s="91" t="str">
        <f>VLOOKUP(C340,Table4[[Tegevusala nimetus]:[Tegevusala koondnimetus]],2,FALSE)</f>
        <v>Haridus</v>
      </c>
      <c r="F340" s="91" t="s">
        <v>1870</v>
      </c>
      <c r="G340" s="91" t="s">
        <v>1402</v>
      </c>
      <c r="H340" s="91">
        <v>0</v>
      </c>
      <c r="I340" s="91"/>
      <c r="J340" s="91">
        <v>584</v>
      </c>
      <c r="K340" s="91">
        <f t="shared" si="39"/>
        <v>0</v>
      </c>
      <c r="L340" s="91">
        <v>12</v>
      </c>
      <c r="M340" s="91"/>
      <c r="N340" s="93">
        <f>(K340*Table1[[#This Row],[Ühik2]])+M340</f>
        <v>0</v>
      </c>
      <c r="O340" s="93">
        <f>Table1[[#This Row],[2020. EA ]]*0.338</f>
        <v>0</v>
      </c>
      <c r="P340" s="91"/>
    </row>
    <row r="341" spans="1:16" x14ac:dyDescent="0.25">
      <c r="A341" s="91" t="str">
        <f t="shared" si="42"/>
        <v>09</v>
      </c>
      <c r="B341" s="92" t="s">
        <v>335</v>
      </c>
      <c r="C341" s="91" t="str">
        <f>VLOOKUP(B341,Table4[],2,FALSE)</f>
        <v xml:space="preserve"> Laekvere Lasteaed</v>
      </c>
      <c r="D341" s="95" t="str">
        <f>VLOOKUP(Table1[[#This Row],[Tegevusala]],Table4[[Tegevusala kood]:[Tegevusala alanimetus]],4,FALSE)</f>
        <v>Alusharidus</v>
      </c>
      <c r="E341" s="91" t="str">
        <f>VLOOKUP(C341,Table4[[Tegevusala nimetus]:[Tegevusala koondnimetus]],2,FALSE)</f>
        <v>Haridus</v>
      </c>
      <c r="F341" s="91" t="s">
        <v>1870</v>
      </c>
      <c r="G341" s="91" t="s">
        <v>479</v>
      </c>
      <c r="H341" s="91">
        <v>1</v>
      </c>
      <c r="I341" s="91"/>
      <c r="J341" s="91">
        <v>584</v>
      </c>
      <c r="K341" s="91">
        <f t="shared" si="39"/>
        <v>584</v>
      </c>
      <c r="L341" s="91">
        <v>12</v>
      </c>
      <c r="M341" s="91"/>
      <c r="N341" s="93">
        <f>(K341*Table1[[#This Row],[Ühik2]])+M341</f>
        <v>7008</v>
      </c>
      <c r="O341" s="93">
        <f>Table1[[#This Row],[2020. EA ]]*0.338</f>
        <v>2368.7040000000002</v>
      </c>
      <c r="P341" s="91"/>
    </row>
    <row r="342" spans="1:16" x14ac:dyDescent="0.25">
      <c r="A342" s="38" t="str">
        <f t="shared" si="42"/>
        <v>09</v>
      </c>
      <c r="B342" s="33" t="s">
        <v>335</v>
      </c>
      <c r="C342" s="38" t="str">
        <f>VLOOKUP(B342,Table4[],2,FALSE)</f>
        <v xml:space="preserve"> Laekvere Lasteaed</v>
      </c>
      <c r="D342" s="39" t="str">
        <f>VLOOKUP(Table1[[#This Row],[Tegevusala]],Table4[[Tegevusala kood]:[Tegevusala alanimetus]],4,FALSE)</f>
        <v>Alusharidus</v>
      </c>
      <c r="E342" s="38" t="str">
        <f>VLOOKUP(C342,Table4[[Tegevusala nimetus]:[Tegevusala koondnimetus]],2,FALSE)</f>
        <v>Haridus</v>
      </c>
      <c r="F342" s="38" t="s">
        <v>1870</v>
      </c>
      <c r="G342" s="38" t="s">
        <v>1372</v>
      </c>
      <c r="H342" s="38">
        <v>0</v>
      </c>
      <c r="I342" s="38"/>
      <c r="J342" s="38">
        <v>805</v>
      </c>
      <c r="K342" s="38">
        <f t="shared" si="39"/>
        <v>0</v>
      </c>
      <c r="L342" s="38">
        <v>12</v>
      </c>
      <c r="M342" s="38"/>
      <c r="N342" s="45">
        <f>(K342*Table1[[#This Row],[Ühik2]])+M342</f>
        <v>0</v>
      </c>
      <c r="O342" s="45">
        <f>Table1[[#This Row],[2020. EA ]]*0.338</f>
        <v>0</v>
      </c>
      <c r="P342" s="38"/>
    </row>
    <row r="343" spans="1:16" x14ac:dyDescent="0.25">
      <c r="A343" s="38" t="str">
        <f t="shared" si="42"/>
        <v>09</v>
      </c>
      <c r="B343" s="33" t="s">
        <v>335</v>
      </c>
      <c r="C343" s="38" t="str">
        <f>VLOOKUP(B343,Table4[],2,FALSE)</f>
        <v xml:space="preserve"> Laekvere Lasteaed</v>
      </c>
      <c r="D343" s="39" t="str">
        <f>VLOOKUP(Table1[[#This Row],[Tegevusala]],Table4[[Tegevusala kood]:[Tegevusala alanimetus]],4,FALSE)</f>
        <v>Alusharidus</v>
      </c>
      <c r="E343" s="38" t="str">
        <f>VLOOKUP(C343,Table4[[Tegevusala nimetus]:[Tegevusala koondnimetus]],2,FALSE)</f>
        <v>Haridus</v>
      </c>
      <c r="F343" s="38" t="s">
        <v>1870</v>
      </c>
      <c r="G343" s="38" t="s">
        <v>1890</v>
      </c>
      <c r="H343" s="38">
        <v>0</v>
      </c>
      <c r="I343" s="38"/>
      <c r="J343" s="38">
        <v>691</v>
      </c>
      <c r="K343" s="38">
        <f t="shared" si="39"/>
        <v>0</v>
      </c>
      <c r="L343" s="38">
        <v>12</v>
      </c>
      <c r="M343" s="38"/>
      <c r="N343" s="45">
        <f>(K343*Table1[[#This Row],[Ühik2]])+M343</f>
        <v>0</v>
      </c>
      <c r="O343" s="45">
        <f>Table1[[#This Row],[2020. EA ]]*0.338</f>
        <v>0</v>
      </c>
      <c r="P343" s="38"/>
    </row>
    <row r="344" spans="1:16" x14ac:dyDescent="0.25">
      <c r="A344" s="38" t="str">
        <f t="shared" si="42"/>
        <v>09</v>
      </c>
      <c r="B344" s="33" t="s">
        <v>335</v>
      </c>
      <c r="C344" s="38" t="str">
        <f>VLOOKUP(B344,Table4[],2,FALSE)</f>
        <v xml:space="preserve"> Laekvere Lasteaed</v>
      </c>
      <c r="D344" s="39" t="str">
        <f>VLOOKUP(Table1[[#This Row],[Tegevusala]],Table4[[Tegevusala kood]:[Tegevusala alanimetus]],4,FALSE)</f>
        <v>Alusharidus</v>
      </c>
      <c r="E344" s="38" t="str">
        <f>VLOOKUP(C344,Table4[[Tegevusala nimetus]:[Tegevusala koondnimetus]],2,FALSE)</f>
        <v>Haridus</v>
      </c>
      <c r="F344" s="38" t="s">
        <v>1870</v>
      </c>
      <c r="G344" s="38" t="s">
        <v>484</v>
      </c>
      <c r="H344" s="38">
        <v>0</v>
      </c>
      <c r="I344" s="38"/>
      <c r="J344" s="38">
        <v>724</v>
      </c>
      <c r="K344" s="38">
        <f t="shared" si="39"/>
        <v>0</v>
      </c>
      <c r="L344" s="38">
        <v>12</v>
      </c>
      <c r="M344" s="38"/>
      <c r="N344" s="45">
        <f>(K344*Table1[[#This Row],[Ühik2]])+M344</f>
        <v>0</v>
      </c>
      <c r="O344" s="45">
        <f>Table1[[#This Row],[2020. EA ]]*0.338</f>
        <v>0</v>
      </c>
      <c r="P344" s="38"/>
    </row>
    <row r="345" spans="1:16" x14ac:dyDescent="0.25">
      <c r="A345" s="38" t="str">
        <f t="shared" si="42"/>
        <v>09</v>
      </c>
      <c r="B345" s="33" t="s">
        <v>335</v>
      </c>
      <c r="C345" s="38" t="str">
        <f>VLOOKUP(B345,Table4[],2,FALSE)</f>
        <v xml:space="preserve"> Laekvere Lasteaed</v>
      </c>
      <c r="D345" s="39" t="str">
        <f>VLOOKUP(Table1[[#This Row],[Tegevusala]],Table4[[Tegevusala kood]:[Tegevusala alanimetus]],4,FALSE)</f>
        <v>Alusharidus</v>
      </c>
      <c r="E345" s="38" t="str">
        <f>VLOOKUP(C345,Table4[[Tegevusala nimetus]:[Tegevusala koondnimetus]],2,FALSE)</f>
        <v>Haridus</v>
      </c>
      <c r="F345" s="38" t="s">
        <v>1870</v>
      </c>
      <c r="G345" s="38" t="s">
        <v>484</v>
      </c>
      <c r="H345" s="38">
        <v>0</v>
      </c>
      <c r="I345" s="38"/>
      <c r="J345" s="38">
        <v>632</v>
      </c>
      <c r="K345" s="38">
        <f t="shared" si="39"/>
        <v>0</v>
      </c>
      <c r="L345" s="38">
        <v>12</v>
      </c>
      <c r="M345" s="38"/>
      <c r="N345" s="45">
        <f>(K345*Table1[[#This Row],[Ühik2]])+M345</f>
        <v>0</v>
      </c>
      <c r="O345" s="45">
        <f>Table1[[#This Row],[2020. EA ]]*0.338</f>
        <v>0</v>
      </c>
      <c r="P345" s="38"/>
    </row>
    <row r="346" spans="1:16" x14ac:dyDescent="0.25">
      <c r="A346" s="38" t="str">
        <f t="shared" si="42"/>
        <v>09</v>
      </c>
      <c r="B346" s="33" t="s">
        <v>335</v>
      </c>
      <c r="C346" s="38" t="str">
        <f>VLOOKUP(B346,Table4[],2,FALSE)</f>
        <v xml:space="preserve"> Laekvere Lasteaed</v>
      </c>
      <c r="D346" s="39" t="str">
        <f>VLOOKUP(Table1[[#This Row],[Tegevusala]],Table4[[Tegevusala kood]:[Tegevusala alanimetus]],4,FALSE)</f>
        <v>Alusharidus</v>
      </c>
      <c r="E346" s="38" t="str">
        <f>VLOOKUP(C346,Table4[[Tegevusala nimetus]:[Tegevusala koondnimetus]],2,FALSE)</f>
        <v>Haridus</v>
      </c>
      <c r="F346" s="38" t="s">
        <v>1870</v>
      </c>
      <c r="G346" s="38" t="s">
        <v>1891</v>
      </c>
      <c r="H346" s="38">
        <v>0</v>
      </c>
      <c r="I346" s="38"/>
      <c r="J346" s="38">
        <v>632</v>
      </c>
      <c r="K346" s="38">
        <f t="shared" si="39"/>
        <v>0</v>
      </c>
      <c r="L346" s="38">
        <v>12</v>
      </c>
      <c r="M346" s="38"/>
      <c r="N346" s="45">
        <f>(K346*Table1[[#This Row],[Ühik2]])+M346</f>
        <v>0</v>
      </c>
      <c r="O346" s="45">
        <f>Table1[[#This Row],[2020. EA ]]*0.338</f>
        <v>0</v>
      </c>
      <c r="P346" s="38"/>
    </row>
    <row r="347" spans="1:16" x14ac:dyDescent="0.25">
      <c r="A347" s="38" t="str">
        <f t="shared" si="42"/>
        <v>09</v>
      </c>
      <c r="B347" s="33" t="s">
        <v>335</v>
      </c>
      <c r="C347" s="38" t="str">
        <f>VLOOKUP(B347,Table4[],2,FALSE)</f>
        <v xml:space="preserve"> Laekvere Lasteaed</v>
      </c>
      <c r="D347" s="39" t="str">
        <f>VLOOKUP(Table1[[#This Row],[Tegevusala]],Table4[[Tegevusala kood]:[Tegevusala alanimetus]],4,FALSE)</f>
        <v>Alusharidus</v>
      </c>
      <c r="E347" s="38" t="str">
        <f>VLOOKUP(C347,Table4[[Tegevusala nimetus]:[Tegevusala koondnimetus]],2,FALSE)</f>
        <v>Haridus</v>
      </c>
      <c r="F347" s="38" t="s">
        <v>1870</v>
      </c>
      <c r="G347" s="38" t="s">
        <v>1398</v>
      </c>
      <c r="H347" s="38">
        <v>0</v>
      </c>
      <c r="I347" s="38"/>
      <c r="J347" s="38">
        <v>853</v>
      </c>
      <c r="K347" s="38">
        <f t="shared" si="39"/>
        <v>0</v>
      </c>
      <c r="L347" s="38">
        <v>12</v>
      </c>
      <c r="M347" s="38"/>
      <c r="N347" s="45">
        <f>(K347*Table1[[#This Row],[Ühik2]])+M347</f>
        <v>0</v>
      </c>
      <c r="O347" s="45">
        <f>Table1[[#This Row],[2020. EA ]]*0.338</f>
        <v>0</v>
      </c>
      <c r="P347" s="38"/>
    </row>
    <row r="348" spans="1:16" x14ac:dyDescent="0.25">
      <c r="A348" s="91" t="str">
        <f t="shared" si="42"/>
        <v>09</v>
      </c>
      <c r="B348" s="92" t="s">
        <v>335</v>
      </c>
      <c r="C348" s="91" t="str">
        <f>VLOOKUP(B348,Table4[],2,FALSE)</f>
        <v xml:space="preserve"> Laekvere Lasteaed</v>
      </c>
      <c r="D348" s="95" t="str">
        <f>VLOOKUP(Table1[[#This Row],[Tegevusala]],Table4[[Tegevusala kood]:[Tegevusala alanimetus]],4,FALSE)</f>
        <v>Alusharidus</v>
      </c>
      <c r="E348" s="91" t="str">
        <f>VLOOKUP(C348,Table4[[Tegevusala nimetus]:[Tegevusala koondnimetus]],2,FALSE)</f>
        <v>Haridus</v>
      </c>
      <c r="F348" s="91" t="s">
        <v>1870</v>
      </c>
      <c r="G348" s="91" t="s">
        <v>1403</v>
      </c>
      <c r="H348" s="91">
        <v>0</v>
      </c>
      <c r="I348" s="91"/>
      <c r="J348" s="91">
        <v>584</v>
      </c>
      <c r="K348" s="91">
        <f t="shared" si="39"/>
        <v>0</v>
      </c>
      <c r="L348" s="91">
        <v>12</v>
      </c>
      <c r="M348" s="91"/>
      <c r="N348" s="93">
        <f>(K348*Table1[[#This Row],[Ühik2]])+M348</f>
        <v>0</v>
      </c>
      <c r="O348" s="93">
        <f>Table1[[#This Row],[2020. EA ]]*0.338</f>
        <v>0</v>
      </c>
      <c r="P348" s="91"/>
    </row>
    <row r="349" spans="1:16" x14ac:dyDescent="0.25">
      <c r="A349" s="38" t="str">
        <f t="shared" si="42"/>
        <v>09</v>
      </c>
      <c r="B349" s="33" t="s">
        <v>335</v>
      </c>
      <c r="C349" s="38" t="str">
        <f>VLOOKUP(B349,Table4[],2,FALSE)</f>
        <v xml:space="preserve"> Laekvere Lasteaed</v>
      </c>
      <c r="D349" s="39" t="str">
        <f>VLOOKUP(Table1[[#This Row],[Tegevusala]],Table4[[Tegevusala kood]:[Tegevusala alanimetus]],4,FALSE)</f>
        <v>Alusharidus</v>
      </c>
      <c r="E349" s="38" t="str">
        <f>VLOOKUP(C349,Table4[[Tegevusala nimetus]:[Tegevusala koondnimetus]],2,FALSE)</f>
        <v>Haridus</v>
      </c>
      <c r="F349" s="38" t="s">
        <v>1870</v>
      </c>
      <c r="G349" s="38" t="s">
        <v>1892</v>
      </c>
      <c r="H349" s="38">
        <v>0</v>
      </c>
      <c r="I349" s="38"/>
      <c r="J349" s="38">
        <v>664</v>
      </c>
      <c r="K349" s="38">
        <f t="shared" si="39"/>
        <v>0</v>
      </c>
      <c r="L349" s="38">
        <v>12</v>
      </c>
      <c r="M349" s="38"/>
      <c r="N349" s="45">
        <f>(K349*Table1[[#This Row],[Ühik2]])+M349</f>
        <v>0</v>
      </c>
      <c r="O349" s="45">
        <f>Table1[[#This Row],[2020. EA ]]*0.338</f>
        <v>0</v>
      </c>
      <c r="P349" s="38"/>
    </row>
    <row r="350" spans="1:16" x14ac:dyDescent="0.25">
      <c r="A350" s="14" t="str">
        <f t="shared" ref="A350:A365" si="43">LEFT(B350,2)</f>
        <v>09</v>
      </c>
      <c r="B350" t="s">
        <v>340</v>
      </c>
      <c r="C350" s="14" t="str">
        <f>VLOOKUP(B350,Table4[],2,FALSE)</f>
        <v xml:space="preserve"> Muuga-laekvere kool-Laekvere õppehoone</v>
      </c>
      <c r="D350" s="39" t="str">
        <f>VLOOKUP(Table1[[#This Row],[Tegevusala]],Table4[[Tegevusala kood]:[Tegevusala alanimetus]],4,FALSE)</f>
        <v>Põhihariduse otsekulud</v>
      </c>
      <c r="E350" s="14" t="str">
        <f>VLOOKUP(C350,Table4[[Tegevusala nimetus]:[Tegevusala koondnimetus]],2,FALSE)</f>
        <v>Haridus</v>
      </c>
      <c r="F350" s="14" t="s">
        <v>1870</v>
      </c>
      <c r="G350" s="14" t="s">
        <v>1886</v>
      </c>
      <c r="H350" s="14">
        <v>0.5</v>
      </c>
      <c r="I350" s="14"/>
      <c r="J350" s="14">
        <v>1250</v>
      </c>
      <c r="K350" s="14">
        <f t="shared" si="39"/>
        <v>625</v>
      </c>
      <c r="L350" s="14">
        <v>12</v>
      </c>
      <c r="M350" s="14"/>
      <c r="N350" s="44">
        <f>(K350*Table1[[#This Row],[Ühik2]])+M350</f>
        <v>7500</v>
      </c>
      <c r="O350" s="44">
        <f>Table1[[#This Row],[2020. EA ]]*0.338</f>
        <v>2535</v>
      </c>
      <c r="P350" s="14"/>
    </row>
    <row r="351" spans="1:16" x14ac:dyDescent="0.25">
      <c r="A351" s="14" t="str">
        <f t="shared" si="43"/>
        <v>09</v>
      </c>
      <c r="B351" t="s">
        <v>340</v>
      </c>
      <c r="C351" s="14" t="str">
        <f>VLOOKUP(B351,Table4[],2,FALSE)</f>
        <v xml:space="preserve"> Muuga-laekvere kool-Laekvere õppehoone</v>
      </c>
      <c r="D351" s="39" t="str">
        <f>VLOOKUP(Table1[[#This Row],[Tegevusala]],Table4[[Tegevusala kood]:[Tegevusala alanimetus]],4,FALSE)</f>
        <v>Põhihariduse otsekulud</v>
      </c>
      <c r="E351" s="14" t="str">
        <f>VLOOKUP(C351,Table4[[Tegevusala nimetus]:[Tegevusala koondnimetus]],2,FALSE)</f>
        <v>Haridus</v>
      </c>
      <c r="F351" s="14" t="s">
        <v>1870</v>
      </c>
      <c r="G351" s="14" t="s">
        <v>1311</v>
      </c>
      <c r="H351" s="14">
        <v>0.25</v>
      </c>
      <c r="I351" s="14"/>
      <c r="J351" s="14">
        <v>1250</v>
      </c>
      <c r="K351" s="14">
        <f t="shared" si="39"/>
        <v>312.5</v>
      </c>
      <c r="L351" s="14">
        <v>12</v>
      </c>
      <c r="M351" s="14"/>
      <c r="N351" s="44">
        <f>(K351*Table1[[#This Row],[Ühik2]])+M351</f>
        <v>3750</v>
      </c>
      <c r="O351" s="44">
        <f>Table1[[#This Row],[2020. EA ]]*0.338</f>
        <v>1267.5</v>
      </c>
      <c r="P351" s="14"/>
    </row>
    <row r="352" spans="1:16" x14ac:dyDescent="0.25">
      <c r="A352" s="14" t="str">
        <f t="shared" si="43"/>
        <v>09</v>
      </c>
      <c r="B352" t="s">
        <v>340</v>
      </c>
      <c r="C352" s="14" t="str">
        <f>VLOOKUP(B352,Table4[],2,FALSE)</f>
        <v xml:space="preserve"> Muuga-laekvere kool-Laekvere õppehoone</v>
      </c>
      <c r="D352" s="39" t="str">
        <f>VLOOKUP(Table1[[#This Row],[Tegevusala]],Table4[[Tegevusala kood]:[Tegevusala alanimetus]],4,FALSE)</f>
        <v>Põhihariduse otsekulud</v>
      </c>
      <c r="E352" s="14" t="str">
        <f>VLOOKUP(C352,Table4[[Tegevusala nimetus]:[Tegevusala koondnimetus]],2,FALSE)</f>
        <v>Haridus</v>
      </c>
      <c r="F352" s="14" t="s">
        <v>1870</v>
      </c>
      <c r="G352" s="14" t="s">
        <v>1270</v>
      </c>
      <c r="H352" s="14">
        <v>0</v>
      </c>
      <c r="I352" s="14"/>
      <c r="J352" s="14">
        <v>702</v>
      </c>
      <c r="K352" s="14">
        <f t="shared" si="39"/>
        <v>0</v>
      </c>
      <c r="L352" s="14">
        <v>12</v>
      </c>
      <c r="M352" s="14"/>
      <c r="N352" s="44">
        <f>(K352*Table1[[#This Row],[Ühik2]])+M352</f>
        <v>0</v>
      </c>
      <c r="O352" s="44">
        <f>Table1[[#This Row],[2020. EA ]]*0.338</f>
        <v>0</v>
      </c>
      <c r="P352" s="14"/>
    </row>
    <row r="353" spans="1:16" x14ac:dyDescent="0.25">
      <c r="A353" s="14" t="str">
        <f t="shared" si="43"/>
        <v>09</v>
      </c>
      <c r="B353" t="s">
        <v>340</v>
      </c>
      <c r="C353" s="14" t="str">
        <f>VLOOKUP(B353,Table4[],2,FALSE)</f>
        <v xml:space="preserve"> Muuga-laekvere kool-Laekvere õppehoone</v>
      </c>
      <c r="D353" s="39" t="str">
        <f>VLOOKUP(Table1[[#This Row],[Tegevusala]],Table4[[Tegevusala kood]:[Tegevusala alanimetus]],4,FALSE)</f>
        <v>Põhihariduse otsekulud</v>
      </c>
      <c r="E353" s="14" t="str">
        <f>VLOOKUP(C353,Table4[[Tegevusala nimetus]:[Tegevusala koondnimetus]],2,FALSE)</f>
        <v>Haridus</v>
      </c>
      <c r="F353" s="14" t="s">
        <v>1870</v>
      </c>
      <c r="G353" s="14" t="s">
        <v>1887</v>
      </c>
      <c r="H353" s="14">
        <v>0</v>
      </c>
      <c r="I353" s="14"/>
      <c r="J353" s="14">
        <v>702</v>
      </c>
      <c r="K353" s="14">
        <f t="shared" si="39"/>
        <v>0</v>
      </c>
      <c r="L353" s="14">
        <v>12</v>
      </c>
      <c r="M353" s="14"/>
      <c r="N353" s="44">
        <f>(K353*Table1[[#This Row],[Ühik2]])+M353</f>
        <v>0</v>
      </c>
      <c r="O353" s="44">
        <f>Table1[[#This Row],[2020. EA ]]*0.338</f>
        <v>0</v>
      </c>
      <c r="P353" s="14"/>
    </row>
    <row r="354" spans="1:16" x14ac:dyDescent="0.25">
      <c r="A354" s="14" t="str">
        <f t="shared" si="43"/>
        <v>09</v>
      </c>
      <c r="B354" t="s">
        <v>340</v>
      </c>
      <c r="C354" s="14" t="str">
        <f>VLOOKUP(B354,Table4[],2,FALSE)</f>
        <v xml:space="preserve"> Muuga-laekvere kool-Laekvere õppehoone</v>
      </c>
      <c r="D354" s="39" t="str">
        <f>VLOOKUP(Table1[[#This Row],[Tegevusala]],Table4[[Tegevusala kood]:[Tegevusala alanimetus]],4,FALSE)</f>
        <v>Põhihariduse otsekulud</v>
      </c>
      <c r="E354" s="14" t="str">
        <f>VLOOKUP(C354,Table4[[Tegevusala nimetus]:[Tegevusala koondnimetus]],2,FALSE)</f>
        <v>Haridus</v>
      </c>
      <c r="F354" s="14" t="s">
        <v>1870</v>
      </c>
      <c r="G354" s="14" t="s">
        <v>1888</v>
      </c>
      <c r="H354" s="14">
        <v>0</v>
      </c>
      <c r="I354" s="14"/>
      <c r="J354" s="14">
        <v>1000</v>
      </c>
      <c r="K354" s="14">
        <f t="shared" si="39"/>
        <v>0</v>
      </c>
      <c r="L354" s="14">
        <v>12</v>
      </c>
      <c r="M354" s="14"/>
      <c r="N354" s="44">
        <f>(K354*Table1[[#This Row],[Ühik2]])+M354</f>
        <v>0</v>
      </c>
      <c r="O354" s="44">
        <f>Table1[[#This Row],[2020. EA ]]*0.338</f>
        <v>0</v>
      </c>
      <c r="P354" s="14"/>
    </row>
    <row r="355" spans="1:16" x14ac:dyDescent="0.25">
      <c r="A355" s="14" t="str">
        <f t="shared" si="43"/>
        <v>09</v>
      </c>
      <c r="B355" t="s">
        <v>340</v>
      </c>
      <c r="C355" s="14" t="str">
        <f>VLOOKUP(B355,Table4[],2,FALSE)</f>
        <v xml:space="preserve"> Muuga-laekvere kool-Laekvere õppehoone</v>
      </c>
      <c r="D355" s="39" t="str">
        <f>VLOOKUP(Table1[[#This Row],[Tegevusala]],Table4[[Tegevusala kood]:[Tegevusala alanimetus]],4,FALSE)</f>
        <v>Põhihariduse otsekulud</v>
      </c>
      <c r="E355" s="14" t="str">
        <f>VLOOKUP(C355,Table4[[Tegevusala nimetus]:[Tegevusala koondnimetus]],2,FALSE)</f>
        <v>Haridus</v>
      </c>
      <c r="F355" s="14" t="s">
        <v>1870</v>
      </c>
      <c r="G355" s="14" t="s">
        <v>1889</v>
      </c>
      <c r="H355" s="14">
        <v>0.7</v>
      </c>
      <c r="I355" s="14"/>
      <c r="J355" s="14">
        <v>756</v>
      </c>
      <c r="K355" s="14">
        <f t="shared" si="39"/>
        <v>529.19999999999993</v>
      </c>
      <c r="L355" s="37">
        <v>10</v>
      </c>
      <c r="M355" s="14"/>
      <c r="N355" s="44">
        <f>(K355*Table1[[#This Row],[Ühik2]])+M355</f>
        <v>5291.9999999999991</v>
      </c>
      <c r="O355" s="44">
        <f>Table1[[#This Row],[2020. EA ]]*0.338</f>
        <v>1788.6959999999999</v>
      </c>
      <c r="P355" s="14"/>
    </row>
    <row r="356" spans="1:16" x14ac:dyDescent="0.25">
      <c r="A356" s="91" t="str">
        <f t="shared" si="43"/>
        <v>09</v>
      </c>
      <c r="B356" s="92" t="s">
        <v>340</v>
      </c>
      <c r="C356" s="91" t="str">
        <f>VLOOKUP(B356,Table4[],2,FALSE)</f>
        <v xml:space="preserve"> Muuga-laekvere kool-Laekvere õppehoone</v>
      </c>
      <c r="D356" s="95" t="str">
        <f>VLOOKUP(Table1[[#This Row],[Tegevusala]],Table4[[Tegevusala kood]:[Tegevusala alanimetus]],4,FALSE)</f>
        <v>Põhihariduse otsekulud</v>
      </c>
      <c r="E356" s="91" t="str">
        <f>VLOOKUP(C356,Table4[[Tegevusala nimetus]:[Tegevusala koondnimetus]],2,FALSE)</f>
        <v>Haridus</v>
      </c>
      <c r="F356" s="91" t="s">
        <v>1870</v>
      </c>
      <c r="G356" s="91" t="s">
        <v>1402</v>
      </c>
      <c r="H356" s="91">
        <v>2</v>
      </c>
      <c r="I356" s="91"/>
      <c r="J356" s="91">
        <v>584</v>
      </c>
      <c r="K356" s="91">
        <f t="shared" si="39"/>
        <v>1168</v>
      </c>
      <c r="L356" s="91">
        <v>12</v>
      </c>
      <c r="M356" s="91"/>
      <c r="N356" s="93">
        <f>(K356*Table1[[#This Row],[Ühik2]])+M356</f>
        <v>14016</v>
      </c>
      <c r="O356" s="93">
        <f>Table1[[#This Row],[2020. EA ]]*0.338</f>
        <v>4737.4080000000004</v>
      </c>
      <c r="P356" s="91"/>
    </row>
    <row r="357" spans="1:16" x14ac:dyDescent="0.25">
      <c r="A357" s="91" t="str">
        <f t="shared" si="43"/>
        <v>09</v>
      </c>
      <c r="B357" s="92" t="s">
        <v>340</v>
      </c>
      <c r="C357" s="91" t="str">
        <f>VLOOKUP(B357,Table4[],2,FALSE)</f>
        <v xml:space="preserve"> Muuga-laekvere kool-Laekvere õppehoone</v>
      </c>
      <c r="D357" s="95" t="str">
        <f>VLOOKUP(Table1[[#This Row],[Tegevusala]],Table4[[Tegevusala kood]:[Tegevusala alanimetus]],4,FALSE)</f>
        <v>Põhihariduse otsekulud</v>
      </c>
      <c r="E357" s="91" t="str">
        <f>VLOOKUP(C357,Table4[[Tegevusala nimetus]:[Tegevusala koondnimetus]],2,FALSE)</f>
        <v>Haridus</v>
      </c>
      <c r="F357" s="91" t="s">
        <v>1870</v>
      </c>
      <c r="G357" s="91" t="s">
        <v>479</v>
      </c>
      <c r="H357" s="91">
        <v>0</v>
      </c>
      <c r="I357" s="91"/>
      <c r="J357" s="91">
        <v>584</v>
      </c>
      <c r="K357" s="91">
        <f t="shared" si="39"/>
        <v>0</v>
      </c>
      <c r="L357" s="91">
        <v>12</v>
      </c>
      <c r="M357" s="91"/>
      <c r="N357" s="93">
        <f>(K357*Table1[[#This Row],[Ühik2]])+M357</f>
        <v>0</v>
      </c>
      <c r="O357" s="93">
        <f>Table1[[#This Row],[2020. EA ]]*0.338</f>
        <v>0</v>
      </c>
      <c r="P357" s="91"/>
    </row>
    <row r="358" spans="1:16" x14ac:dyDescent="0.25">
      <c r="A358" s="14" t="str">
        <f t="shared" si="43"/>
        <v>09</v>
      </c>
      <c r="B358" t="s">
        <v>340</v>
      </c>
      <c r="C358" s="14" t="str">
        <f>VLOOKUP(B358,Table4[],2,FALSE)</f>
        <v xml:space="preserve"> Muuga-laekvere kool-Laekvere õppehoone</v>
      </c>
      <c r="D358" s="39" t="str">
        <f>VLOOKUP(Table1[[#This Row],[Tegevusala]],Table4[[Tegevusala kood]:[Tegevusala alanimetus]],4,FALSE)</f>
        <v>Põhihariduse otsekulud</v>
      </c>
      <c r="E358" s="14" t="str">
        <f>VLOOKUP(C358,Table4[[Tegevusala nimetus]:[Tegevusala koondnimetus]],2,FALSE)</f>
        <v>Haridus</v>
      </c>
      <c r="F358" s="14" t="s">
        <v>1870</v>
      </c>
      <c r="G358" s="14" t="s">
        <v>1372</v>
      </c>
      <c r="H358" s="14">
        <v>1</v>
      </c>
      <c r="I358" s="14"/>
      <c r="J358" s="14">
        <v>805</v>
      </c>
      <c r="K358" s="14">
        <f t="shared" si="39"/>
        <v>805</v>
      </c>
      <c r="L358" s="14">
        <v>12</v>
      </c>
      <c r="M358" s="14"/>
      <c r="N358" s="44">
        <f>(K358*Table1[[#This Row],[Ühik2]])+M358</f>
        <v>9660</v>
      </c>
      <c r="O358" s="44">
        <f>Table1[[#This Row],[2020. EA ]]*0.338</f>
        <v>3265.0800000000004</v>
      </c>
      <c r="P358" s="14"/>
    </row>
    <row r="359" spans="1:16" x14ac:dyDescent="0.25">
      <c r="A359" s="14" t="str">
        <f t="shared" si="43"/>
        <v>09</v>
      </c>
      <c r="B359" t="s">
        <v>340</v>
      </c>
      <c r="C359" s="14" t="str">
        <f>VLOOKUP(B359,Table4[],2,FALSE)</f>
        <v xml:space="preserve"> Muuga-laekvere kool-Laekvere õppehoone</v>
      </c>
      <c r="D359" s="39" t="str">
        <f>VLOOKUP(Table1[[#This Row],[Tegevusala]],Table4[[Tegevusala kood]:[Tegevusala alanimetus]],4,FALSE)</f>
        <v>Põhihariduse otsekulud</v>
      </c>
      <c r="E359" s="14" t="str">
        <f>VLOOKUP(C359,Table4[[Tegevusala nimetus]:[Tegevusala koondnimetus]],2,FALSE)</f>
        <v>Haridus</v>
      </c>
      <c r="F359" s="14" t="s">
        <v>1870</v>
      </c>
      <c r="G359" s="14" t="s">
        <v>1890</v>
      </c>
      <c r="H359" s="14">
        <v>0</v>
      </c>
      <c r="I359" s="14"/>
      <c r="J359" s="14">
        <v>691</v>
      </c>
      <c r="K359" s="14">
        <f t="shared" si="39"/>
        <v>0</v>
      </c>
      <c r="L359" s="14">
        <v>12</v>
      </c>
      <c r="M359" s="14"/>
      <c r="N359" s="44">
        <f>(K359*Table1[[#This Row],[Ühik2]])+M359</f>
        <v>0</v>
      </c>
      <c r="O359" s="44">
        <f>Table1[[#This Row],[2020. EA ]]*0.338</f>
        <v>0</v>
      </c>
      <c r="P359" s="14"/>
    </row>
    <row r="360" spans="1:16" x14ac:dyDescent="0.25">
      <c r="A360" s="14" t="str">
        <f t="shared" si="43"/>
        <v>09</v>
      </c>
      <c r="B360" t="s">
        <v>340</v>
      </c>
      <c r="C360" s="14" t="str">
        <f>VLOOKUP(B360,Table4[],2,FALSE)</f>
        <v xml:space="preserve"> Muuga-laekvere kool-Laekvere õppehoone</v>
      </c>
      <c r="D360" s="39" t="str">
        <f>VLOOKUP(Table1[[#This Row],[Tegevusala]],Table4[[Tegevusala kood]:[Tegevusala alanimetus]],4,FALSE)</f>
        <v>Põhihariduse otsekulud</v>
      </c>
      <c r="E360" s="14" t="str">
        <f>VLOOKUP(C360,Table4[[Tegevusala nimetus]:[Tegevusala koondnimetus]],2,FALSE)</f>
        <v>Haridus</v>
      </c>
      <c r="F360" s="14" t="s">
        <v>1870</v>
      </c>
      <c r="G360" s="14" t="s">
        <v>484</v>
      </c>
      <c r="H360" s="14">
        <v>1</v>
      </c>
      <c r="I360" s="14"/>
      <c r="J360" s="14">
        <v>724</v>
      </c>
      <c r="K360" s="14">
        <f t="shared" si="39"/>
        <v>724</v>
      </c>
      <c r="L360" s="14">
        <v>12</v>
      </c>
      <c r="M360" s="14"/>
      <c r="N360" s="44">
        <f>(K360*Table1[[#This Row],[Ühik2]])+M360</f>
        <v>8688</v>
      </c>
      <c r="O360" s="44">
        <f>Table1[[#This Row],[2020. EA ]]*0.338</f>
        <v>2936.5440000000003</v>
      </c>
      <c r="P360" s="14"/>
    </row>
    <row r="361" spans="1:16" x14ac:dyDescent="0.25">
      <c r="A361" s="14" t="str">
        <f t="shared" si="43"/>
        <v>09</v>
      </c>
      <c r="B361" t="s">
        <v>340</v>
      </c>
      <c r="C361" s="14" t="str">
        <f>VLOOKUP(B361,Table4[],2,FALSE)</f>
        <v xml:space="preserve"> Muuga-laekvere kool-Laekvere õppehoone</v>
      </c>
      <c r="D361" s="39" t="str">
        <f>VLOOKUP(Table1[[#This Row],[Tegevusala]],Table4[[Tegevusala kood]:[Tegevusala alanimetus]],4,FALSE)</f>
        <v>Põhihariduse otsekulud</v>
      </c>
      <c r="E361" s="14" t="str">
        <f>VLOOKUP(C361,Table4[[Tegevusala nimetus]:[Tegevusala koondnimetus]],2,FALSE)</f>
        <v>Haridus</v>
      </c>
      <c r="F361" s="14" t="s">
        <v>1870</v>
      </c>
      <c r="G361" s="14" t="s">
        <v>484</v>
      </c>
      <c r="H361" s="14">
        <v>0</v>
      </c>
      <c r="I361" s="14"/>
      <c r="J361" s="14">
        <v>632</v>
      </c>
      <c r="K361" s="14">
        <f t="shared" si="39"/>
        <v>0</v>
      </c>
      <c r="L361" s="14">
        <v>12</v>
      </c>
      <c r="M361" s="14"/>
      <c r="N361" s="44">
        <f>(K361*Table1[[#This Row],[Ühik2]])+M361</f>
        <v>0</v>
      </c>
      <c r="O361" s="44">
        <f>Table1[[#This Row],[2020. EA ]]*0.338</f>
        <v>0</v>
      </c>
      <c r="P361" s="14"/>
    </row>
    <row r="362" spans="1:16" x14ac:dyDescent="0.25">
      <c r="A362" s="14" t="str">
        <f t="shared" si="43"/>
        <v>09</v>
      </c>
      <c r="B362" t="s">
        <v>340</v>
      </c>
      <c r="C362" s="14" t="str">
        <f>VLOOKUP(B362,Table4[],2,FALSE)</f>
        <v xml:space="preserve"> Muuga-laekvere kool-Laekvere õppehoone</v>
      </c>
      <c r="D362" s="39" t="str">
        <f>VLOOKUP(Table1[[#This Row],[Tegevusala]],Table4[[Tegevusala kood]:[Tegevusala alanimetus]],4,FALSE)</f>
        <v>Põhihariduse otsekulud</v>
      </c>
      <c r="E362" s="14" t="str">
        <f>VLOOKUP(C362,Table4[[Tegevusala nimetus]:[Tegevusala koondnimetus]],2,FALSE)</f>
        <v>Haridus</v>
      </c>
      <c r="F362" s="14" t="s">
        <v>1870</v>
      </c>
      <c r="G362" s="14" t="s">
        <v>1891</v>
      </c>
      <c r="H362" s="14">
        <v>1</v>
      </c>
      <c r="I362" s="14"/>
      <c r="J362" s="14">
        <v>632</v>
      </c>
      <c r="K362" s="14">
        <f t="shared" si="39"/>
        <v>632</v>
      </c>
      <c r="L362" s="14">
        <v>12</v>
      </c>
      <c r="M362" s="14"/>
      <c r="N362" s="44">
        <f>(K362*Table1[[#This Row],[Ühik2]])+M362</f>
        <v>7584</v>
      </c>
      <c r="O362" s="44">
        <f>Table1[[#This Row],[2020. EA ]]*0.338</f>
        <v>2563.3920000000003</v>
      </c>
      <c r="P362" s="14"/>
    </row>
    <row r="363" spans="1:16" x14ac:dyDescent="0.25">
      <c r="A363" s="14" t="str">
        <f t="shared" si="43"/>
        <v>09</v>
      </c>
      <c r="B363" t="s">
        <v>340</v>
      </c>
      <c r="C363" s="14" t="str">
        <f>VLOOKUP(B363,Table4[],2,FALSE)</f>
        <v xml:space="preserve"> Muuga-laekvere kool-Laekvere õppehoone</v>
      </c>
      <c r="D363" s="39" t="str">
        <f>VLOOKUP(Table1[[#This Row],[Tegevusala]],Table4[[Tegevusala kood]:[Tegevusala alanimetus]],4,FALSE)</f>
        <v>Põhihariduse otsekulud</v>
      </c>
      <c r="E363" s="14" t="str">
        <f>VLOOKUP(C363,Table4[[Tegevusala nimetus]:[Tegevusala koondnimetus]],2,FALSE)</f>
        <v>Haridus</v>
      </c>
      <c r="F363" s="14" t="s">
        <v>1870</v>
      </c>
      <c r="G363" s="14" t="s">
        <v>1398</v>
      </c>
      <c r="H363" s="14">
        <v>0</v>
      </c>
      <c r="I363" s="14"/>
      <c r="J363" s="14">
        <v>853</v>
      </c>
      <c r="K363" s="14">
        <f t="shared" si="39"/>
        <v>0</v>
      </c>
      <c r="L363" s="14">
        <v>12</v>
      </c>
      <c r="M363" s="14"/>
      <c r="N363" s="44">
        <f>(K363*Table1[[#This Row],[Ühik2]])+M363</f>
        <v>0</v>
      </c>
      <c r="O363" s="44">
        <f>Table1[[#This Row],[2020. EA ]]*0.338</f>
        <v>0</v>
      </c>
      <c r="P363" s="14"/>
    </row>
    <row r="364" spans="1:16" x14ac:dyDescent="0.25">
      <c r="A364" s="91" t="str">
        <f t="shared" si="43"/>
        <v>09</v>
      </c>
      <c r="B364" s="92" t="s">
        <v>340</v>
      </c>
      <c r="C364" s="91" t="str">
        <f>VLOOKUP(B364,Table4[],2,FALSE)</f>
        <v xml:space="preserve"> Muuga-laekvere kool-Laekvere õppehoone</v>
      </c>
      <c r="D364" s="95" t="str">
        <f>VLOOKUP(Table1[[#This Row],[Tegevusala]],Table4[[Tegevusala kood]:[Tegevusala alanimetus]],4,FALSE)</f>
        <v>Põhihariduse otsekulud</v>
      </c>
      <c r="E364" s="91" t="str">
        <f>VLOOKUP(C364,Table4[[Tegevusala nimetus]:[Tegevusala koondnimetus]],2,FALSE)</f>
        <v>Haridus</v>
      </c>
      <c r="F364" s="91" t="s">
        <v>1870</v>
      </c>
      <c r="G364" s="91" t="s">
        <v>1403</v>
      </c>
      <c r="H364" s="91">
        <v>0.3</v>
      </c>
      <c r="I364" s="91"/>
      <c r="J364" s="91">
        <v>584</v>
      </c>
      <c r="K364" s="91">
        <f t="shared" si="39"/>
        <v>175.2</v>
      </c>
      <c r="L364" s="91">
        <v>12</v>
      </c>
      <c r="M364" s="91"/>
      <c r="N364" s="93">
        <f>(K364*Table1[[#This Row],[Ühik2]])+M364</f>
        <v>2102.3999999999996</v>
      </c>
      <c r="O364" s="93">
        <f>Table1[[#This Row],[2020. EA ]]*0.338</f>
        <v>710.61119999999994</v>
      </c>
      <c r="P364" s="91"/>
    </row>
    <row r="365" spans="1:16" x14ac:dyDescent="0.25">
      <c r="A365" s="14" t="str">
        <f t="shared" si="43"/>
        <v>09</v>
      </c>
      <c r="B365" t="s">
        <v>340</v>
      </c>
      <c r="C365" s="14" t="str">
        <f>VLOOKUP(B365,Table4[],2,FALSE)</f>
        <v xml:space="preserve"> Muuga-laekvere kool-Laekvere õppehoone</v>
      </c>
      <c r="D365" s="39" t="str">
        <f>VLOOKUP(Table1[[#This Row],[Tegevusala]],Table4[[Tegevusala kood]:[Tegevusala alanimetus]],4,FALSE)</f>
        <v>Põhihariduse otsekulud</v>
      </c>
      <c r="E365" s="14" t="str">
        <f>VLOOKUP(C365,Table4[[Tegevusala nimetus]:[Tegevusala koondnimetus]],2,FALSE)</f>
        <v>Haridus</v>
      </c>
      <c r="F365" s="14" t="s">
        <v>1870</v>
      </c>
      <c r="G365" s="14" t="s">
        <v>1892</v>
      </c>
      <c r="H365" s="14">
        <v>1.29</v>
      </c>
      <c r="I365" s="14"/>
      <c r="J365" s="14">
        <v>664</v>
      </c>
      <c r="K365" s="14">
        <f t="shared" si="39"/>
        <v>856.56000000000006</v>
      </c>
      <c r="L365" s="14">
        <v>9</v>
      </c>
      <c r="M365" s="14"/>
      <c r="N365" s="44">
        <f>(K365*Table1[[#This Row],[Ühik2]])+M365</f>
        <v>7709.0400000000009</v>
      </c>
      <c r="O365" s="44">
        <f>Table1[[#This Row],[2020. EA ]]*0.338</f>
        <v>2605.6555200000003</v>
      </c>
      <c r="P365" s="14"/>
    </row>
    <row r="366" spans="1:16" x14ac:dyDescent="0.25">
      <c r="A366" s="14" t="str">
        <f t="shared" ref="A366:A381" si="44">LEFT(B366,2)</f>
        <v>09</v>
      </c>
      <c r="B366" s="49" t="s">
        <v>341</v>
      </c>
      <c r="C366" s="14" t="str">
        <f>VLOOKUP(B366,Table4[],2,FALSE)</f>
        <v xml:space="preserve"> Muuga Laekvere kool-Muuga õppehoone</v>
      </c>
      <c r="D366" s="39" t="str">
        <f>VLOOKUP(Table1[[#This Row],[Tegevusala]],Table4[[Tegevusala kood]:[Tegevusala alanimetus]],4,FALSE)</f>
        <v>Põhihariduse otsekulud</v>
      </c>
      <c r="E366" s="14" t="str">
        <f>VLOOKUP(C366,Table4[[Tegevusala nimetus]:[Tegevusala koondnimetus]],2,FALSE)</f>
        <v>Haridus</v>
      </c>
      <c r="F366" s="14" t="s">
        <v>1870</v>
      </c>
      <c r="G366" s="14" t="s">
        <v>1886</v>
      </c>
      <c r="H366" s="14">
        <v>0.25</v>
      </c>
      <c r="I366" s="14"/>
      <c r="J366" s="14">
        <v>1250</v>
      </c>
      <c r="K366" s="14">
        <f t="shared" si="39"/>
        <v>312.5</v>
      </c>
      <c r="L366" s="14">
        <v>12</v>
      </c>
      <c r="M366" s="14"/>
      <c r="N366" s="44">
        <f>(K366*Table1[[#This Row],[Ühik2]])+M366</f>
        <v>3750</v>
      </c>
      <c r="O366" s="44">
        <f>Table1[[#This Row],[2020. EA ]]*0.338</f>
        <v>1267.5</v>
      </c>
      <c r="P366" s="14"/>
    </row>
    <row r="367" spans="1:16" x14ac:dyDescent="0.25">
      <c r="A367" s="14" t="str">
        <f t="shared" si="44"/>
        <v>09</v>
      </c>
      <c r="B367" s="49" t="s">
        <v>341</v>
      </c>
      <c r="C367" s="14" t="str">
        <f>VLOOKUP(B367,Table4[],2,FALSE)</f>
        <v xml:space="preserve"> Muuga Laekvere kool-Muuga õppehoone</v>
      </c>
      <c r="D367" s="39" t="str">
        <f>VLOOKUP(Table1[[#This Row],[Tegevusala]],Table4[[Tegevusala kood]:[Tegevusala alanimetus]],4,FALSE)</f>
        <v>Põhihariduse otsekulud</v>
      </c>
      <c r="E367" s="14" t="str">
        <f>VLOOKUP(C367,Table4[[Tegevusala nimetus]:[Tegevusala koondnimetus]],2,FALSE)</f>
        <v>Haridus</v>
      </c>
      <c r="F367" s="14" t="s">
        <v>1870</v>
      </c>
      <c r="G367" s="14" t="s">
        <v>1311</v>
      </c>
      <c r="H367" s="14">
        <v>0.25</v>
      </c>
      <c r="I367" s="14"/>
      <c r="J367" s="14">
        <v>1250</v>
      </c>
      <c r="K367" s="14">
        <f t="shared" si="39"/>
        <v>312.5</v>
      </c>
      <c r="L367" s="14">
        <v>12</v>
      </c>
      <c r="M367" s="14"/>
      <c r="N367" s="44">
        <f>(K367*Table1[[#This Row],[Ühik2]])+M367</f>
        <v>3750</v>
      </c>
      <c r="O367" s="44">
        <f>Table1[[#This Row],[2020. EA ]]*0.338</f>
        <v>1267.5</v>
      </c>
      <c r="P367" s="14"/>
    </row>
    <row r="368" spans="1:16" x14ac:dyDescent="0.25">
      <c r="A368" s="14" t="str">
        <f t="shared" si="44"/>
        <v>09</v>
      </c>
      <c r="B368" s="49" t="s">
        <v>341</v>
      </c>
      <c r="C368" s="14" t="str">
        <f>VLOOKUP(B368,Table4[],2,FALSE)</f>
        <v xml:space="preserve"> Muuga Laekvere kool-Muuga õppehoone</v>
      </c>
      <c r="D368" s="39" t="str">
        <f>VLOOKUP(Table1[[#This Row],[Tegevusala]],Table4[[Tegevusala kood]:[Tegevusala alanimetus]],4,FALSE)</f>
        <v>Põhihariduse otsekulud</v>
      </c>
      <c r="E368" s="14" t="str">
        <f>VLOOKUP(C368,Table4[[Tegevusala nimetus]:[Tegevusala koondnimetus]],2,FALSE)</f>
        <v>Haridus</v>
      </c>
      <c r="F368" s="14" t="s">
        <v>1870</v>
      </c>
      <c r="G368" s="14" t="s">
        <v>1270</v>
      </c>
      <c r="H368" s="14">
        <v>0</v>
      </c>
      <c r="I368" s="14"/>
      <c r="J368" s="14">
        <v>702</v>
      </c>
      <c r="K368" s="14">
        <f t="shared" ref="K368:K389" si="45">H368*J368</f>
        <v>0</v>
      </c>
      <c r="L368" s="14">
        <v>12</v>
      </c>
      <c r="M368" s="14"/>
      <c r="N368" s="44">
        <f>(K368*Table1[[#This Row],[Ühik2]])+M368</f>
        <v>0</v>
      </c>
      <c r="O368" s="44">
        <f>Table1[[#This Row],[2020. EA ]]*0.338</f>
        <v>0</v>
      </c>
      <c r="P368" s="14"/>
    </row>
    <row r="369" spans="1:16" x14ac:dyDescent="0.25">
      <c r="A369" s="14" t="str">
        <f t="shared" si="44"/>
        <v>09</v>
      </c>
      <c r="B369" s="49" t="s">
        <v>341</v>
      </c>
      <c r="C369" s="14" t="str">
        <f>VLOOKUP(B369,Table4[],2,FALSE)</f>
        <v xml:space="preserve"> Muuga Laekvere kool-Muuga õppehoone</v>
      </c>
      <c r="D369" s="39" t="str">
        <f>VLOOKUP(Table1[[#This Row],[Tegevusala]],Table4[[Tegevusala kood]:[Tegevusala alanimetus]],4,FALSE)</f>
        <v>Põhihariduse otsekulud</v>
      </c>
      <c r="E369" s="14" t="str">
        <f>VLOOKUP(C369,Table4[[Tegevusala nimetus]:[Tegevusala koondnimetus]],2,FALSE)</f>
        <v>Haridus</v>
      </c>
      <c r="F369" s="14" t="s">
        <v>1870</v>
      </c>
      <c r="G369" s="14" t="s">
        <v>1887</v>
      </c>
      <c r="H369" s="14">
        <v>0</v>
      </c>
      <c r="I369" s="14"/>
      <c r="J369" s="14">
        <v>702</v>
      </c>
      <c r="K369" s="14">
        <f t="shared" si="45"/>
        <v>0</v>
      </c>
      <c r="L369" s="14">
        <v>12</v>
      </c>
      <c r="M369" s="14"/>
      <c r="N369" s="44">
        <f>(K369*Table1[[#This Row],[Ühik2]])+M369</f>
        <v>0</v>
      </c>
      <c r="O369" s="44">
        <f>Table1[[#This Row],[2020. EA ]]*0.338</f>
        <v>0</v>
      </c>
      <c r="P369" s="14"/>
    </row>
    <row r="370" spans="1:16" x14ac:dyDescent="0.25">
      <c r="A370" s="14" t="str">
        <f t="shared" si="44"/>
        <v>09</v>
      </c>
      <c r="B370" s="49" t="s">
        <v>341</v>
      </c>
      <c r="C370" s="14" t="str">
        <f>VLOOKUP(B370,Table4[],2,FALSE)</f>
        <v xml:space="preserve"> Muuga Laekvere kool-Muuga õppehoone</v>
      </c>
      <c r="D370" s="39" t="str">
        <f>VLOOKUP(Table1[[#This Row],[Tegevusala]],Table4[[Tegevusala kood]:[Tegevusala alanimetus]],4,FALSE)</f>
        <v>Põhihariduse otsekulud</v>
      </c>
      <c r="E370" s="14" t="str">
        <f>VLOOKUP(C370,Table4[[Tegevusala nimetus]:[Tegevusala koondnimetus]],2,FALSE)</f>
        <v>Haridus</v>
      </c>
      <c r="F370" s="14" t="s">
        <v>1870</v>
      </c>
      <c r="G370" s="14" t="s">
        <v>1888</v>
      </c>
      <c r="H370" s="14">
        <v>0</v>
      </c>
      <c r="I370" s="14"/>
      <c r="J370" s="14">
        <v>1000</v>
      </c>
      <c r="K370" s="14">
        <f t="shared" si="45"/>
        <v>0</v>
      </c>
      <c r="L370" s="14">
        <v>12</v>
      </c>
      <c r="M370" s="14"/>
      <c r="N370" s="44">
        <f>(K370*Table1[[#This Row],[Ühik2]])+M370</f>
        <v>0</v>
      </c>
      <c r="O370" s="44">
        <f>Table1[[#This Row],[2020. EA ]]*0.338</f>
        <v>0</v>
      </c>
      <c r="P370" s="14"/>
    </row>
    <row r="371" spans="1:16" x14ac:dyDescent="0.25">
      <c r="A371" s="14" t="str">
        <f t="shared" si="44"/>
        <v>09</v>
      </c>
      <c r="B371" s="49" t="s">
        <v>341</v>
      </c>
      <c r="C371" s="14" t="str">
        <f>VLOOKUP(B371,Table4[],2,FALSE)</f>
        <v xml:space="preserve"> Muuga Laekvere kool-Muuga õppehoone</v>
      </c>
      <c r="D371" s="39" t="str">
        <f>VLOOKUP(Table1[[#This Row],[Tegevusala]],Table4[[Tegevusala kood]:[Tegevusala alanimetus]],4,FALSE)</f>
        <v>Põhihariduse otsekulud</v>
      </c>
      <c r="E371" s="14" t="str">
        <f>VLOOKUP(C371,Table4[[Tegevusala nimetus]:[Tegevusala koondnimetus]],2,FALSE)</f>
        <v>Haridus</v>
      </c>
      <c r="F371" s="14" t="s">
        <v>1870</v>
      </c>
      <c r="G371" s="14" t="s">
        <v>1889</v>
      </c>
      <c r="H371" s="14">
        <v>0.7</v>
      </c>
      <c r="I371" s="14"/>
      <c r="J371" s="14">
        <v>756</v>
      </c>
      <c r="K371" s="14">
        <f t="shared" si="45"/>
        <v>529.19999999999993</v>
      </c>
      <c r="L371" s="14">
        <v>12</v>
      </c>
      <c r="M371" s="14"/>
      <c r="N371" s="44">
        <f>(K371*Table1[[#This Row],[Ühik2]])+M371</f>
        <v>6350.4</v>
      </c>
      <c r="O371" s="44">
        <f>Table1[[#This Row],[2020. EA ]]*0.338</f>
        <v>2146.4351999999999</v>
      </c>
      <c r="P371" s="14"/>
    </row>
    <row r="372" spans="1:16" x14ac:dyDescent="0.25">
      <c r="A372" s="91" t="str">
        <f t="shared" si="44"/>
        <v>09</v>
      </c>
      <c r="B372" s="98" t="s">
        <v>341</v>
      </c>
      <c r="C372" s="91" t="str">
        <f>VLOOKUP(B372,Table4[],2,FALSE)</f>
        <v xml:space="preserve"> Muuga Laekvere kool-Muuga õppehoone</v>
      </c>
      <c r="D372" s="95" t="str">
        <f>VLOOKUP(Table1[[#This Row],[Tegevusala]],Table4[[Tegevusala kood]:[Tegevusala alanimetus]],4,FALSE)</f>
        <v>Põhihariduse otsekulud</v>
      </c>
      <c r="E372" s="91" t="str">
        <f>VLOOKUP(C372,Table4[[Tegevusala nimetus]:[Tegevusala koondnimetus]],2,FALSE)</f>
        <v>Haridus</v>
      </c>
      <c r="F372" s="91" t="s">
        <v>1870</v>
      </c>
      <c r="G372" s="91" t="s">
        <v>1402</v>
      </c>
      <c r="H372" s="91">
        <v>1</v>
      </c>
      <c r="I372" s="91"/>
      <c r="J372" s="91">
        <v>584</v>
      </c>
      <c r="K372" s="91">
        <f t="shared" si="45"/>
        <v>584</v>
      </c>
      <c r="L372" s="91">
        <v>12</v>
      </c>
      <c r="M372" s="91"/>
      <c r="N372" s="93">
        <f>(K372*Table1[[#This Row],[Ühik2]])+M372</f>
        <v>7008</v>
      </c>
      <c r="O372" s="93">
        <f>Table1[[#This Row],[2020. EA ]]*0.338</f>
        <v>2368.7040000000002</v>
      </c>
      <c r="P372" s="91"/>
    </row>
    <row r="373" spans="1:16" x14ac:dyDescent="0.25">
      <c r="A373" s="91" t="str">
        <f t="shared" si="44"/>
        <v>09</v>
      </c>
      <c r="B373" s="98" t="s">
        <v>341</v>
      </c>
      <c r="C373" s="91" t="str">
        <f>VLOOKUP(B373,Table4[],2,FALSE)</f>
        <v xml:space="preserve"> Muuga Laekvere kool-Muuga õppehoone</v>
      </c>
      <c r="D373" s="95" t="str">
        <f>VLOOKUP(Table1[[#This Row],[Tegevusala]],Table4[[Tegevusala kood]:[Tegevusala alanimetus]],4,FALSE)</f>
        <v>Põhihariduse otsekulud</v>
      </c>
      <c r="E373" s="91" t="str">
        <f>VLOOKUP(C373,Table4[[Tegevusala nimetus]:[Tegevusala koondnimetus]],2,FALSE)</f>
        <v>Haridus</v>
      </c>
      <c r="F373" s="91" t="s">
        <v>1870</v>
      </c>
      <c r="G373" s="91" t="s">
        <v>479</v>
      </c>
      <c r="H373" s="91">
        <v>1</v>
      </c>
      <c r="I373" s="91"/>
      <c r="J373" s="91">
        <v>584</v>
      </c>
      <c r="K373" s="91">
        <f t="shared" si="45"/>
        <v>584</v>
      </c>
      <c r="L373" s="91">
        <v>12</v>
      </c>
      <c r="M373" s="91"/>
      <c r="N373" s="93">
        <f>(K373*Table1[[#This Row],[Ühik2]])+M373</f>
        <v>7008</v>
      </c>
      <c r="O373" s="93">
        <f>Table1[[#This Row],[2020. EA ]]*0.338</f>
        <v>2368.7040000000002</v>
      </c>
      <c r="P373" s="91"/>
    </row>
    <row r="374" spans="1:16" x14ac:dyDescent="0.25">
      <c r="A374" s="14" t="str">
        <f t="shared" si="44"/>
        <v>09</v>
      </c>
      <c r="B374" s="49" t="s">
        <v>341</v>
      </c>
      <c r="C374" s="14" t="str">
        <f>VLOOKUP(B374,Table4[],2,FALSE)</f>
        <v xml:space="preserve"> Muuga Laekvere kool-Muuga õppehoone</v>
      </c>
      <c r="D374" s="39" t="str">
        <f>VLOOKUP(Table1[[#This Row],[Tegevusala]],Table4[[Tegevusala kood]:[Tegevusala alanimetus]],4,FALSE)</f>
        <v>Põhihariduse otsekulud</v>
      </c>
      <c r="E374" s="14" t="str">
        <f>VLOOKUP(C374,Table4[[Tegevusala nimetus]:[Tegevusala koondnimetus]],2,FALSE)</f>
        <v>Haridus</v>
      </c>
      <c r="F374" s="14" t="s">
        <v>1870</v>
      </c>
      <c r="G374" s="14" t="s">
        <v>1372</v>
      </c>
      <c r="H374" s="14">
        <v>0</v>
      </c>
      <c r="I374" s="14"/>
      <c r="J374" s="14">
        <v>805</v>
      </c>
      <c r="K374" s="14">
        <f t="shared" si="45"/>
        <v>0</v>
      </c>
      <c r="L374" s="14">
        <v>12</v>
      </c>
      <c r="M374" s="14"/>
      <c r="N374" s="44">
        <f>(K374*Table1[[#This Row],[Ühik2]])+M374</f>
        <v>0</v>
      </c>
      <c r="O374" s="44">
        <f>Table1[[#This Row],[2020. EA ]]*0.338</f>
        <v>0</v>
      </c>
      <c r="P374" s="14"/>
    </row>
    <row r="375" spans="1:16" x14ac:dyDescent="0.25">
      <c r="A375" s="14" t="str">
        <f t="shared" si="44"/>
        <v>09</v>
      </c>
      <c r="B375" s="49" t="s">
        <v>341</v>
      </c>
      <c r="C375" s="14" t="str">
        <f>VLOOKUP(B375,Table4[],2,FALSE)</f>
        <v xml:space="preserve"> Muuga Laekvere kool-Muuga õppehoone</v>
      </c>
      <c r="D375" s="39" t="str">
        <f>VLOOKUP(Table1[[#This Row],[Tegevusala]],Table4[[Tegevusala kood]:[Tegevusala alanimetus]],4,FALSE)</f>
        <v>Põhihariduse otsekulud</v>
      </c>
      <c r="E375" s="14" t="str">
        <f>VLOOKUP(C375,Table4[[Tegevusala nimetus]:[Tegevusala koondnimetus]],2,FALSE)</f>
        <v>Haridus</v>
      </c>
      <c r="F375" s="14" t="s">
        <v>1870</v>
      </c>
      <c r="G375" s="14" t="s">
        <v>1890</v>
      </c>
      <c r="H375" s="14">
        <v>1</v>
      </c>
      <c r="I375" s="14"/>
      <c r="J375" s="14">
        <v>691</v>
      </c>
      <c r="K375" s="14">
        <f t="shared" si="45"/>
        <v>691</v>
      </c>
      <c r="L375" s="14">
        <v>12</v>
      </c>
      <c r="M375" s="14"/>
      <c r="N375" s="44">
        <f>(K375*Table1[[#This Row],[Ühik2]])+M375</f>
        <v>8292</v>
      </c>
      <c r="O375" s="44">
        <f>Table1[[#This Row],[2020. EA ]]*0.338</f>
        <v>2802.6960000000004</v>
      </c>
      <c r="P375" s="14"/>
    </row>
    <row r="376" spans="1:16" x14ac:dyDescent="0.25">
      <c r="A376" s="14" t="str">
        <f t="shared" si="44"/>
        <v>09</v>
      </c>
      <c r="B376" s="49" t="s">
        <v>341</v>
      </c>
      <c r="C376" s="14" t="str">
        <f>VLOOKUP(B376,Table4[],2,FALSE)</f>
        <v xml:space="preserve"> Muuga Laekvere kool-Muuga õppehoone</v>
      </c>
      <c r="D376" s="39" t="str">
        <f>VLOOKUP(Table1[[#This Row],[Tegevusala]],Table4[[Tegevusala kood]:[Tegevusala alanimetus]],4,FALSE)</f>
        <v>Põhihariduse otsekulud</v>
      </c>
      <c r="E376" s="14" t="str">
        <f>VLOOKUP(C376,Table4[[Tegevusala nimetus]:[Tegevusala koondnimetus]],2,FALSE)</f>
        <v>Haridus</v>
      </c>
      <c r="F376" s="14" t="s">
        <v>1870</v>
      </c>
      <c r="G376" s="14" t="s">
        <v>484</v>
      </c>
      <c r="H376" s="14">
        <v>0</v>
      </c>
      <c r="I376" s="14"/>
      <c r="J376" s="14">
        <v>724</v>
      </c>
      <c r="K376" s="14">
        <f t="shared" si="45"/>
        <v>0</v>
      </c>
      <c r="L376" s="14">
        <v>12</v>
      </c>
      <c r="M376" s="14"/>
      <c r="N376" s="44">
        <f>(K376*Table1[[#This Row],[Ühik2]])+M376</f>
        <v>0</v>
      </c>
      <c r="O376" s="44">
        <f>Table1[[#This Row],[2020. EA ]]*0.338</f>
        <v>0</v>
      </c>
      <c r="P376" s="14"/>
    </row>
    <row r="377" spans="1:16" x14ac:dyDescent="0.25">
      <c r="A377" s="14" t="str">
        <f t="shared" si="44"/>
        <v>09</v>
      </c>
      <c r="B377" s="49" t="s">
        <v>341</v>
      </c>
      <c r="C377" s="14" t="str">
        <f>VLOOKUP(B377,Table4[],2,FALSE)</f>
        <v xml:space="preserve"> Muuga Laekvere kool-Muuga õppehoone</v>
      </c>
      <c r="D377" s="39" t="str">
        <f>VLOOKUP(Table1[[#This Row],[Tegevusala]],Table4[[Tegevusala kood]:[Tegevusala alanimetus]],4,FALSE)</f>
        <v>Põhihariduse otsekulud</v>
      </c>
      <c r="E377" s="14" t="str">
        <f>VLOOKUP(C377,Table4[[Tegevusala nimetus]:[Tegevusala koondnimetus]],2,FALSE)</f>
        <v>Haridus</v>
      </c>
      <c r="F377" s="14" t="s">
        <v>1870</v>
      </c>
      <c r="G377" s="14" t="s">
        <v>484</v>
      </c>
      <c r="H377" s="14">
        <v>1</v>
      </c>
      <c r="I377" s="14"/>
      <c r="J377" s="14">
        <v>632</v>
      </c>
      <c r="K377" s="14">
        <f t="shared" si="45"/>
        <v>632</v>
      </c>
      <c r="L377" s="14">
        <v>12</v>
      </c>
      <c r="M377" s="14"/>
      <c r="N377" s="44">
        <f>(K377*Table1[[#This Row],[Ühik2]])+M377</f>
        <v>7584</v>
      </c>
      <c r="O377" s="44">
        <f>Table1[[#This Row],[2020. EA ]]*0.338</f>
        <v>2563.3920000000003</v>
      </c>
      <c r="P377" s="14"/>
    </row>
    <row r="378" spans="1:16" x14ac:dyDescent="0.25">
      <c r="A378" s="14" t="str">
        <f t="shared" si="44"/>
        <v>09</v>
      </c>
      <c r="B378" s="49" t="s">
        <v>341</v>
      </c>
      <c r="C378" s="14" t="str">
        <f>VLOOKUP(B378,Table4[],2,FALSE)</f>
        <v xml:space="preserve"> Muuga Laekvere kool-Muuga õppehoone</v>
      </c>
      <c r="D378" s="39" t="str">
        <f>VLOOKUP(Table1[[#This Row],[Tegevusala]],Table4[[Tegevusala kood]:[Tegevusala alanimetus]],4,FALSE)</f>
        <v>Põhihariduse otsekulud</v>
      </c>
      <c r="E378" s="14" t="str">
        <f>VLOOKUP(C378,Table4[[Tegevusala nimetus]:[Tegevusala koondnimetus]],2,FALSE)</f>
        <v>Haridus</v>
      </c>
      <c r="F378" s="14" t="s">
        <v>1870</v>
      </c>
      <c r="G378" s="14" t="s">
        <v>1891</v>
      </c>
      <c r="H378" s="14">
        <v>0</v>
      </c>
      <c r="I378" s="14"/>
      <c r="J378" s="14">
        <v>632</v>
      </c>
      <c r="K378" s="14">
        <f t="shared" si="45"/>
        <v>0</v>
      </c>
      <c r="L378" s="14">
        <v>12</v>
      </c>
      <c r="M378" s="14"/>
      <c r="N378" s="44">
        <f>(K378*Table1[[#This Row],[Ühik2]])+M378</f>
        <v>0</v>
      </c>
      <c r="O378" s="44">
        <f>Table1[[#This Row],[2020. EA ]]*0.338</f>
        <v>0</v>
      </c>
      <c r="P378" s="14"/>
    </row>
    <row r="379" spans="1:16" x14ac:dyDescent="0.25">
      <c r="A379" s="14" t="str">
        <f t="shared" si="44"/>
        <v>09</v>
      </c>
      <c r="B379" s="49" t="s">
        <v>341</v>
      </c>
      <c r="C379" s="14" t="str">
        <f>VLOOKUP(B379,Table4[],2,FALSE)</f>
        <v xml:space="preserve"> Muuga Laekvere kool-Muuga õppehoone</v>
      </c>
      <c r="D379" s="39" t="str">
        <f>VLOOKUP(Table1[[#This Row],[Tegevusala]],Table4[[Tegevusala kood]:[Tegevusala alanimetus]],4,FALSE)</f>
        <v>Põhihariduse otsekulud</v>
      </c>
      <c r="E379" s="14" t="str">
        <f>VLOOKUP(C379,Table4[[Tegevusala nimetus]:[Tegevusala koondnimetus]],2,FALSE)</f>
        <v>Haridus</v>
      </c>
      <c r="F379" s="14" t="s">
        <v>1870</v>
      </c>
      <c r="G379" s="14" t="s">
        <v>1398</v>
      </c>
      <c r="H379" s="14">
        <v>0.25</v>
      </c>
      <c r="I379" s="14"/>
      <c r="J379" s="14">
        <v>853</v>
      </c>
      <c r="K379" s="14">
        <f t="shared" si="45"/>
        <v>213.25</v>
      </c>
      <c r="L379" s="14">
        <v>12</v>
      </c>
      <c r="M379" s="14"/>
      <c r="N379" s="44">
        <f>(K379*Table1[[#This Row],[Ühik2]])+M379</f>
        <v>2559</v>
      </c>
      <c r="O379" s="44">
        <f>Table1[[#This Row],[2020. EA ]]*0.338</f>
        <v>864.94200000000001</v>
      </c>
      <c r="P379" s="14"/>
    </row>
    <row r="380" spans="1:16" x14ac:dyDescent="0.25">
      <c r="A380" s="91" t="str">
        <f t="shared" si="44"/>
        <v>09</v>
      </c>
      <c r="B380" s="98" t="s">
        <v>341</v>
      </c>
      <c r="C380" s="91" t="str">
        <f>VLOOKUP(B380,Table4[],2,FALSE)</f>
        <v xml:space="preserve"> Muuga Laekvere kool-Muuga õppehoone</v>
      </c>
      <c r="D380" s="95" t="str">
        <f>VLOOKUP(Table1[[#This Row],[Tegevusala]],Table4[[Tegevusala kood]:[Tegevusala alanimetus]],4,FALSE)</f>
        <v>Põhihariduse otsekulud</v>
      </c>
      <c r="E380" s="91" t="str">
        <f>VLOOKUP(C380,Table4[[Tegevusala nimetus]:[Tegevusala koondnimetus]],2,FALSE)</f>
        <v>Haridus</v>
      </c>
      <c r="F380" s="91" t="s">
        <v>1870</v>
      </c>
      <c r="G380" s="91" t="s">
        <v>1403</v>
      </c>
      <c r="H380" s="91">
        <v>0</v>
      </c>
      <c r="I380" s="91"/>
      <c r="J380" s="91">
        <v>584</v>
      </c>
      <c r="K380" s="91">
        <f t="shared" si="45"/>
        <v>0</v>
      </c>
      <c r="L380" s="91">
        <v>12</v>
      </c>
      <c r="M380" s="91"/>
      <c r="N380" s="93">
        <f>(K380*Table1[[#This Row],[Ühik2]])+M380</f>
        <v>0</v>
      </c>
      <c r="O380" s="93">
        <f>Table1[[#This Row],[2020. EA ]]*0.338</f>
        <v>0</v>
      </c>
      <c r="P380" s="91"/>
    </row>
    <row r="381" spans="1:16" x14ac:dyDescent="0.25">
      <c r="A381" s="14" t="str">
        <f t="shared" si="44"/>
        <v>09</v>
      </c>
      <c r="B381" s="50" t="s">
        <v>341</v>
      </c>
      <c r="C381" s="14" t="str">
        <f>VLOOKUP(B381,Table4[],2,FALSE)</f>
        <v xml:space="preserve"> Muuga Laekvere kool-Muuga õppehoone</v>
      </c>
      <c r="D381" s="39" t="str">
        <f>VLOOKUP(Table1[[#This Row],[Tegevusala]],Table4[[Tegevusala kood]:[Tegevusala alanimetus]],4,FALSE)</f>
        <v>Põhihariduse otsekulud</v>
      </c>
      <c r="E381" s="14" t="str">
        <f>VLOOKUP(C381,Table4[[Tegevusala nimetus]:[Tegevusala koondnimetus]],2,FALSE)</f>
        <v>Haridus</v>
      </c>
      <c r="F381" s="14" t="s">
        <v>1870</v>
      </c>
      <c r="G381" s="14" t="s">
        <v>1911</v>
      </c>
      <c r="H381" s="14">
        <v>1.31</v>
      </c>
      <c r="I381" s="14"/>
      <c r="J381" s="14">
        <v>664</v>
      </c>
      <c r="K381" s="14">
        <f t="shared" si="45"/>
        <v>869.84</v>
      </c>
      <c r="L381" s="14">
        <v>9</v>
      </c>
      <c r="M381" s="14"/>
      <c r="N381" s="44">
        <f>(K381*Table1[[#This Row],[Ühik2]])+M381</f>
        <v>7828.56</v>
      </c>
      <c r="O381" s="44">
        <f>Table1[[#This Row],[2020. EA ]]*0.338</f>
        <v>2646.0532800000001</v>
      </c>
      <c r="P381" s="14"/>
    </row>
    <row r="382" spans="1:16" x14ac:dyDescent="0.25">
      <c r="A382" s="14" t="str">
        <f t="shared" ref="A382:A387" si="46">LEFT(B382,2)</f>
        <v>06</v>
      </c>
      <c r="B382" t="s">
        <v>263</v>
      </c>
      <c r="C382" s="14" t="str">
        <f>VLOOKUP(B382,Table4[],2,FALSE)</f>
        <v xml:space="preserve"> Vinni-Pajusti halduspiirkond</v>
      </c>
      <c r="D382" s="39" t="str">
        <f>VLOOKUP(Table1[[#This Row],[Tegevusala]],Table4[[Tegevusala kood]:[Tegevusala alanimetus]],4,FALSE)</f>
        <v>Muu elamu- ja kommunaalmajanduse tegevus</v>
      </c>
      <c r="E382" s="14" t="str">
        <f>VLOOKUP(C382,Table4[[Tegevusala nimetus]:[Tegevusala koondnimetus]],2,FALSE)</f>
        <v>Elamu- ja kommunaalmajandus</v>
      </c>
      <c r="F382" t="s">
        <v>1919</v>
      </c>
      <c r="G382" s="14" t="s">
        <v>1943</v>
      </c>
      <c r="H382" s="14">
        <v>1</v>
      </c>
      <c r="I382" s="14" t="s">
        <v>2027</v>
      </c>
      <c r="J382" s="14">
        <v>390</v>
      </c>
      <c r="K382" s="14">
        <f t="shared" si="45"/>
        <v>390</v>
      </c>
      <c r="L382" s="14">
        <v>12</v>
      </c>
      <c r="M382" s="14"/>
      <c r="N382" s="44">
        <f>(K382*Table1[[#This Row],[Ühik2]])+M382</f>
        <v>4680</v>
      </c>
      <c r="O382" s="44">
        <f>Table1[[#This Row],[2020. EA ]]*0.338</f>
        <v>1581.8400000000001</v>
      </c>
      <c r="P382" s="14"/>
    </row>
    <row r="383" spans="1:16" x14ac:dyDescent="0.25">
      <c r="A383" s="14" t="str">
        <f t="shared" si="46"/>
        <v>06</v>
      </c>
      <c r="B383" t="s">
        <v>263</v>
      </c>
      <c r="C383" s="14" t="str">
        <f>VLOOKUP(B383,Table4[],2,FALSE)</f>
        <v xml:space="preserve"> Vinni-Pajusti halduspiirkond</v>
      </c>
      <c r="D383" s="39" t="str">
        <f>VLOOKUP(Table1[[#This Row],[Tegevusala]],Table4[[Tegevusala kood]:[Tegevusala alanimetus]],4,FALSE)</f>
        <v>Muu elamu- ja kommunaalmajanduse tegevus</v>
      </c>
      <c r="E383" s="14" t="str">
        <f>VLOOKUP(C383,Table4[[Tegevusala nimetus]:[Tegevusala koondnimetus]],2,FALSE)</f>
        <v>Elamu- ja kommunaalmajandus</v>
      </c>
      <c r="F383" t="s">
        <v>1919</v>
      </c>
      <c r="G383" s="14" t="s">
        <v>1944</v>
      </c>
      <c r="H383" s="14">
        <v>170</v>
      </c>
      <c r="I383" s="14" t="s">
        <v>2192</v>
      </c>
      <c r="J383" s="14">
        <v>6</v>
      </c>
      <c r="K383" s="14">
        <f t="shared" si="45"/>
        <v>1020</v>
      </c>
      <c r="L383" s="14">
        <v>12</v>
      </c>
      <c r="M383" s="14"/>
      <c r="N383" s="44">
        <f>(K383*Table1[[#This Row],[Ühik2]])+M383</f>
        <v>12240</v>
      </c>
      <c r="O383" s="44">
        <f>Table1[[#This Row],[2020. EA ]]*0.338</f>
        <v>4137.12</v>
      </c>
      <c r="P383" s="14"/>
    </row>
    <row r="384" spans="1:16" x14ac:dyDescent="0.25">
      <c r="A384" s="14" t="str">
        <f t="shared" si="46"/>
        <v>06</v>
      </c>
      <c r="B384" t="s">
        <v>263</v>
      </c>
      <c r="C384" s="14" t="str">
        <f>VLOOKUP(B384,Table4[],2,FALSE)</f>
        <v xml:space="preserve"> Vinni-Pajusti halduspiirkond</v>
      </c>
      <c r="D384" s="39" t="str">
        <f>VLOOKUP(Table1[[#This Row],[Tegevusala]],Table4[[Tegevusala kood]:[Tegevusala alanimetus]],4,FALSE)</f>
        <v>Muu elamu- ja kommunaalmajanduse tegevus</v>
      </c>
      <c r="E384" s="14" t="str">
        <f>VLOOKUP(C384,Table4[[Tegevusala nimetus]:[Tegevusala koondnimetus]],2,FALSE)</f>
        <v>Elamu- ja kommunaalmajandus</v>
      </c>
      <c r="F384" t="s">
        <v>1919</v>
      </c>
      <c r="G384" s="14" t="s">
        <v>1944</v>
      </c>
      <c r="H384" s="14">
        <v>170</v>
      </c>
      <c r="I384" s="14" t="s">
        <v>2192</v>
      </c>
      <c r="J384" s="14">
        <v>6</v>
      </c>
      <c r="K384" s="14">
        <f t="shared" si="45"/>
        <v>1020</v>
      </c>
      <c r="L384" s="14">
        <v>12</v>
      </c>
      <c r="M384" s="14"/>
      <c r="N384" s="44">
        <f>(K384*Table1[[#This Row],[Ühik2]])+M384</f>
        <v>12240</v>
      </c>
      <c r="O384" s="44">
        <f>Table1[[#This Row],[2020. EA ]]*0.008</f>
        <v>97.92</v>
      </c>
      <c r="P384" s="14" t="s">
        <v>1946</v>
      </c>
    </row>
    <row r="385" spans="1:16" x14ac:dyDescent="0.25">
      <c r="A385" s="14" t="str">
        <f t="shared" si="46"/>
        <v>06</v>
      </c>
      <c r="B385" t="s">
        <v>263</v>
      </c>
      <c r="C385" s="14" t="str">
        <f>VLOOKUP(B385,Table4[],2,FALSE)</f>
        <v xml:space="preserve"> Vinni-Pajusti halduspiirkond</v>
      </c>
      <c r="D385" s="39" t="str">
        <f>VLOOKUP(Table1[[#This Row],[Tegevusala]],Table4[[Tegevusala kood]:[Tegevusala alanimetus]],4,FALSE)</f>
        <v>Muu elamu- ja kommunaalmajanduse tegevus</v>
      </c>
      <c r="E385" s="14" t="str">
        <f>VLOOKUP(C385,Table4[[Tegevusala nimetus]:[Tegevusala koondnimetus]],2,FALSE)</f>
        <v>Elamu- ja kommunaalmajandus</v>
      </c>
      <c r="F385" t="s">
        <v>1919</v>
      </c>
      <c r="G385" s="14" t="s">
        <v>1945</v>
      </c>
      <c r="H385" s="14">
        <v>170</v>
      </c>
      <c r="I385" s="14" t="s">
        <v>2192</v>
      </c>
      <c r="J385" s="14">
        <v>6</v>
      </c>
      <c r="K385" s="14">
        <f t="shared" si="45"/>
        <v>1020</v>
      </c>
      <c r="L385" s="14">
        <v>12</v>
      </c>
      <c r="M385" s="14"/>
      <c r="N385" s="44">
        <f>(K385*Table1[[#This Row],[Ühik2]])+M385</f>
        <v>12240</v>
      </c>
      <c r="O385" s="44">
        <f>Table1[[#This Row],[2020. EA ]]*0.338</f>
        <v>4137.12</v>
      </c>
      <c r="P385" s="14"/>
    </row>
    <row r="386" spans="1:16" x14ac:dyDescent="0.25">
      <c r="A386" s="14" t="str">
        <f t="shared" si="46"/>
        <v>06</v>
      </c>
      <c r="B386" t="s">
        <v>263</v>
      </c>
      <c r="C386" s="14" t="str">
        <f>VLOOKUP(B386,Table4[],2,FALSE)</f>
        <v xml:space="preserve"> Vinni-Pajusti halduspiirkond</v>
      </c>
      <c r="D386" s="39" t="str">
        <f>VLOOKUP(Table1[[#This Row],[Tegevusala]],Table4[[Tegevusala kood]:[Tegevusala alanimetus]],4,FALSE)</f>
        <v>Muu elamu- ja kommunaalmajanduse tegevus</v>
      </c>
      <c r="E386" s="14" t="str">
        <f>VLOOKUP(C386,Table4[[Tegevusala nimetus]:[Tegevusala koondnimetus]],2,FALSE)</f>
        <v>Elamu- ja kommunaalmajandus</v>
      </c>
      <c r="F386" t="s">
        <v>1919</v>
      </c>
      <c r="G386" s="14" t="s">
        <v>481</v>
      </c>
      <c r="H386" s="14">
        <v>170</v>
      </c>
      <c r="I386" s="14" t="s">
        <v>2192</v>
      </c>
      <c r="J386" s="14">
        <v>6</v>
      </c>
      <c r="K386" s="14">
        <f t="shared" si="45"/>
        <v>1020</v>
      </c>
      <c r="L386" s="14">
        <v>12</v>
      </c>
      <c r="M386" s="14"/>
      <c r="N386" s="44">
        <f>(K386*Table1[[#This Row],[Ühik2]])+M386</f>
        <v>12240</v>
      </c>
      <c r="O386" s="44">
        <f>Table1[[#This Row],[2020. EA ]]*0.338</f>
        <v>4137.12</v>
      </c>
      <c r="P386" s="14"/>
    </row>
    <row r="387" spans="1:16" x14ac:dyDescent="0.25">
      <c r="A387" s="14" t="str">
        <f t="shared" si="46"/>
        <v>06</v>
      </c>
      <c r="B387" t="s">
        <v>263</v>
      </c>
      <c r="C387" s="14" t="str">
        <f>VLOOKUP(B387,Table4[],2,FALSE)</f>
        <v xml:space="preserve"> Vinni-Pajusti halduspiirkond</v>
      </c>
      <c r="D387" s="39" t="str">
        <f>VLOOKUP(Table1[[#This Row],[Tegevusala]],Table4[[Tegevusala kood]:[Tegevusala alanimetus]],4,FALSE)</f>
        <v>Muu elamu- ja kommunaalmajanduse tegevus</v>
      </c>
      <c r="E387" s="14" t="str">
        <f>VLOOKUP(C387,Table4[[Tegevusala nimetus]:[Tegevusala koondnimetus]],2,FALSE)</f>
        <v>Elamu- ja kommunaalmajandus</v>
      </c>
      <c r="F387" t="s">
        <v>1919</v>
      </c>
      <c r="G387" s="14" t="s">
        <v>935</v>
      </c>
      <c r="H387" s="14">
        <v>90</v>
      </c>
      <c r="I387" s="14" t="s">
        <v>2192</v>
      </c>
      <c r="J387" s="14">
        <v>5</v>
      </c>
      <c r="K387" s="14">
        <f t="shared" si="45"/>
        <v>450</v>
      </c>
      <c r="L387" s="14">
        <v>12</v>
      </c>
      <c r="M387" s="14"/>
      <c r="N387" s="44">
        <f>(K387*Table1[[#This Row],[Ühik2]])+M387</f>
        <v>5400</v>
      </c>
      <c r="O387" s="44">
        <f>Table1[[#This Row],[2020. EA ]]*0.338</f>
        <v>1825.2</v>
      </c>
      <c r="P387" s="14"/>
    </row>
    <row r="388" spans="1:16" x14ac:dyDescent="0.25">
      <c r="A388" s="14" t="str">
        <f>LEFT(B388,2)</f>
        <v>01</v>
      </c>
      <c r="B388" t="s">
        <v>15</v>
      </c>
      <c r="C388" s="14" t="str">
        <f>VLOOKUP(B388,Table4[],2,FALSE)</f>
        <v xml:space="preserve"> Valla- ja linnavalitsus</v>
      </c>
      <c r="D388" s="39" t="str">
        <f>VLOOKUP(Table1[[#This Row],[Tegevusala]],Table4[[Tegevusala kood]:[Tegevusala alanimetus]],4,FALSE)</f>
        <v>Valla- ja linnavalitsus</v>
      </c>
      <c r="E388" s="14" t="str">
        <f>VLOOKUP(C388,Table4[[Tegevusala nimetus]:[Tegevusala koondnimetus]],2,FALSE)</f>
        <v>Üldised valitsussektori teenused</v>
      </c>
      <c r="F388" s="14" t="s">
        <v>1971</v>
      </c>
      <c r="G388" s="14" t="s">
        <v>2007</v>
      </c>
      <c r="H388" s="14">
        <v>1</v>
      </c>
      <c r="I388" s="14"/>
      <c r="J388" s="14"/>
      <c r="K388" s="14">
        <f t="shared" si="45"/>
        <v>0</v>
      </c>
      <c r="L388" s="14">
        <v>1</v>
      </c>
      <c r="M388" s="14">
        <v>2000</v>
      </c>
      <c r="N388" s="44">
        <f>(K388*Table1[[#This Row],[Ühik2]])+M388</f>
        <v>2000</v>
      </c>
      <c r="O388" s="44">
        <f>Table1[[#This Row],[2020. EA ]]*0.338</f>
        <v>676</v>
      </c>
      <c r="P388" s="14"/>
    </row>
    <row r="389" spans="1:16" x14ac:dyDescent="0.25">
      <c r="A389" s="14" t="str">
        <f>LEFT(B389,2)</f>
        <v>01</v>
      </c>
      <c r="B389" t="s">
        <v>15</v>
      </c>
      <c r="C389" s="14" t="str">
        <f>VLOOKUP(B389,Table4[],2,FALSE)</f>
        <v xml:space="preserve"> Valla- ja linnavalitsus</v>
      </c>
      <c r="D389" s="39" t="str">
        <f>VLOOKUP(Table1[[#This Row],[Tegevusala]],Table4[[Tegevusala kood]:[Tegevusala alanimetus]],4,FALSE)</f>
        <v>Valla- ja linnavalitsus</v>
      </c>
      <c r="E389" s="14" t="str">
        <f>VLOOKUP(C389,Table4[[Tegevusala nimetus]:[Tegevusala koondnimetus]],2,FALSE)</f>
        <v>Üldised valitsussektori teenused</v>
      </c>
      <c r="F389" s="14" t="s">
        <v>1971</v>
      </c>
      <c r="G389" s="14" t="s">
        <v>2008</v>
      </c>
      <c r="H389" s="14">
        <v>1</v>
      </c>
      <c r="I389" s="14"/>
      <c r="J389" s="14"/>
      <c r="K389" s="14">
        <f t="shared" si="45"/>
        <v>0</v>
      </c>
      <c r="L389" s="14">
        <v>1</v>
      </c>
      <c r="M389" s="14">
        <v>6000</v>
      </c>
      <c r="N389" s="44">
        <f>(K389*Table1[[#This Row],[Ühik2]])+M389</f>
        <v>6000</v>
      </c>
      <c r="O389" s="44">
        <f>Table1[[#This Row],[2020. EA ]]*0.338</f>
        <v>2028.0000000000002</v>
      </c>
      <c r="P389" s="14"/>
    </row>
    <row r="390" spans="1:16" x14ac:dyDescent="0.25">
      <c r="A390" s="14" t="str">
        <f t="shared" ref="A390:A395" si="47">LEFT(B390,2)</f>
        <v>08</v>
      </c>
      <c r="B390" s="58" t="s">
        <v>314</v>
      </c>
      <c r="C390" s="14" t="str">
        <f>VLOOKUP(B390,Table4[],2,FALSE)</f>
        <v xml:space="preserve"> Pajusti klubi</v>
      </c>
      <c r="D390" s="39" t="str">
        <f>VLOOKUP(Table1[[#This Row],[Tegevusala]],Table4[[Tegevusala kood]:[Tegevusala alanimetus]],4,FALSE)</f>
        <v>Rahvakultuur</v>
      </c>
      <c r="E390" s="14" t="str">
        <f>VLOOKUP(C390,Table4[[Tegevusala nimetus]:[Tegevusala koondnimetus]],2,FALSE)</f>
        <v>Vabaaeg, kultuur ja religioon</v>
      </c>
      <c r="F390" s="14" t="s">
        <v>1845</v>
      </c>
      <c r="G390" s="14" t="s">
        <v>2045</v>
      </c>
      <c r="H390" s="14">
        <v>1</v>
      </c>
      <c r="I390" s="14"/>
      <c r="J390" s="14"/>
      <c r="K390" s="14">
        <f t="shared" ref="K390:K395" si="48">H390*J390</f>
        <v>0</v>
      </c>
      <c r="L390" s="14"/>
      <c r="M390" s="14">
        <f>552*12</f>
        <v>6624</v>
      </c>
      <c r="N390" s="44">
        <f>(K390*Table1[[#This Row],[Ühik2]])+M390</f>
        <v>6624</v>
      </c>
      <c r="O390" s="44">
        <f>Table1[[#This Row],[2020. EA ]]*0.338</f>
        <v>2238.9120000000003</v>
      </c>
      <c r="P390" s="14"/>
    </row>
    <row r="391" spans="1:16" x14ac:dyDescent="0.25">
      <c r="A391" s="14" t="str">
        <f t="shared" si="47"/>
        <v>08</v>
      </c>
      <c r="B391" s="36" t="s">
        <v>2076</v>
      </c>
      <c r="C391" s="14" t="str">
        <f>VLOOKUP(B391,Table4[],2,FALSE)</f>
        <v>Vinni Vallamuuseum</v>
      </c>
      <c r="D391" s="39" t="str">
        <f>VLOOKUP(Table1[[#This Row],[Tegevusala]],Table4[[Tegevusala kood]:[Tegevusala alanimetus]],4,FALSE)</f>
        <v>Muuseumid</v>
      </c>
      <c r="E391" s="14" t="str">
        <f>VLOOKUP(C391,Table4[[Tegevusala nimetus]:[Tegevusala koondnimetus]],2,FALSE)</f>
        <v>Vabaaeg, kultuur ja religioon</v>
      </c>
      <c r="F391" s="14" t="s">
        <v>2081</v>
      </c>
      <c r="G391" s="14" t="s">
        <v>2089</v>
      </c>
      <c r="H391" s="14">
        <v>6</v>
      </c>
      <c r="I391" s="14" t="s">
        <v>2027</v>
      </c>
      <c r="J391" s="14">
        <v>747.38400000000001</v>
      </c>
      <c r="K391" s="14">
        <f t="shared" si="48"/>
        <v>4484.3040000000001</v>
      </c>
      <c r="L391" s="14">
        <v>3</v>
      </c>
      <c r="M391" s="14"/>
      <c r="N391" s="44">
        <f>(K391*Table1[[#This Row],[Ühik2]])+M391</f>
        <v>13452.912</v>
      </c>
      <c r="O391" s="44">
        <f>Table1[[#This Row],[2020. EA ]]*0.338</f>
        <v>4547.0842560000001</v>
      </c>
      <c r="P391" s="14"/>
    </row>
    <row r="392" spans="1:16" x14ac:dyDescent="0.25">
      <c r="A392" s="37" t="str">
        <f t="shared" si="47"/>
        <v>08</v>
      </c>
      <c r="B392" s="51" t="s">
        <v>2076</v>
      </c>
      <c r="C392" s="37" t="str">
        <f>VLOOKUP(B392,Table4[],2,FALSE)</f>
        <v>Vinni Vallamuuseum</v>
      </c>
      <c r="D392" s="48" t="str">
        <f>VLOOKUP(Table1[[#This Row],[Tegevusala]],Table4[[Tegevusala kood]:[Tegevusala alanimetus]],4,FALSE)</f>
        <v>Muuseumid</v>
      </c>
      <c r="E392" s="37" t="str">
        <f>VLOOKUP(C392,Table4[[Tegevusala nimetus]:[Tegevusala koondnimetus]],2,FALSE)</f>
        <v>Vabaaeg, kultuur ja religioon</v>
      </c>
      <c r="F392" s="37" t="s">
        <v>2081</v>
      </c>
      <c r="G392" s="37" t="s">
        <v>523</v>
      </c>
      <c r="H392" s="37">
        <v>1</v>
      </c>
      <c r="I392" s="37" t="s">
        <v>2027</v>
      </c>
      <c r="J392" s="37">
        <v>1200</v>
      </c>
      <c r="K392" s="37">
        <f t="shared" si="48"/>
        <v>1200</v>
      </c>
      <c r="L392" s="37">
        <v>12</v>
      </c>
      <c r="M392" s="37"/>
      <c r="N392" s="46">
        <f>(K392*Table1[[#This Row],[Ühik2]])+M392</f>
        <v>14400</v>
      </c>
      <c r="O392" s="46">
        <f>Table1[[#This Row],[2020. EA ]]*0.338</f>
        <v>4867.2000000000007</v>
      </c>
      <c r="P392" s="37"/>
    </row>
    <row r="393" spans="1:16" x14ac:dyDescent="0.25">
      <c r="A393" s="14" t="str">
        <f t="shared" si="47"/>
        <v>03</v>
      </c>
      <c r="B393" s="42" t="s">
        <v>27</v>
      </c>
      <c r="C393" s="14" t="str">
        <f>VLOOKUP(B393,Table4[],2,FALSE)</f>
        <v xml:space="preserve"> Päästeteenused</v>
      </c>
      <c r="D393" s="39" t="str">
        <f>VLOOKUP(Table1[[#This Row],[Tegevusala]],Table4[[Tegevusala kood]:[Tegevusala alanimetus]],4,FALSE)</f>
        <v>Päästeteenused</v>
      </c>
      <c r="E393" s="14" t="str">
        <f>VLOOKUP(C393,Table4[[Tegevusala nimetus]:[Tegevusala koondnimetus]],2,FALSE)</f>
        <v>Avalik kord ja julgeolek</v>
      </c>
      <c r="F393" s="14" t="s">
        <v>770</v>
      </c>
      <c r="G393" s="14" t="s">
        <v>2143</v>
      </c>
      <c r="H393" s="14">
        <v>7</v>
      </c>
      <c r="I393" s="14" t="s">
        <v>2027</v>
      </c>
      <c r="J393" s="14">
        <v>30</v>
      </c>
      <c r="K393" s="14">
        <f t="shared" si="48"/>
        <v>210</v>
      </c>
      <c r="L393" s="14">
        <v>4</v>
      </c>
      <c r="M393" s="14"/>
      <c r="N393" s="44">
        <f>(K393*Table1[[#This Row],[Ühik2]])+M393</f>
        <v>840</v>
      </c>
      <c r="O393" s="44">
        <f>Table1[[#This Row],[2020. EA ]]*0.338</f>
        <v>283.92</v>
      </c>
      <c r="P393" s="14"/>
    </row>
    <row r="394" spans="1:16" x14ac:dyDescent="0.25">
      <c r="A394" s="14" t="str">
        <f t="shared" si="47"/>
        <v>09</v>
      </c>
      <c r="B394" s="36" t="s">
        <v>51</v>
      </c>
      <c r="C394" s="14" t="str">
        <f>VLOOKUP(B394,Table4[],2,FALSE)</f>
        <v xml:space="preserve"> Noorte huviharidus ja huvitegevus</v>
      </c>
      <c r="D394" s="39" t="str">
        <f>VLOOKUP(Table1[[#This Row],[Tegevusala]],Table4[[Tegevusala kood]:[Tegevusala alanimetus]],4,FALSE)</f>
        <v>Noorte huviharidus ja huvitegevus</v>
      </c>
      <c r="E394" s="14" t="str">
        <f>VLOOKUP(C394,Table4[[Tegevusala nimetus]:[Tegevusala koondnimetus]],2,FALSE)</f>
        <v>Haridus</v>
      </c>
      <c r="F394" s="14" t="s">
        <v>770</v>
      </c>
      <c r="G394" s="14" t="s">
        <v>2166</v>
      </c>
      <c r="H394" s="14">
        <v>1</v>
      </c>
      <c r="I394" s="14" t="s">
        <v>241</v>
      </c>
      <c r="J394" s="14">
        <v>1440</v>
      </c>
      <c r="K394" s="14">
        <f t="shared" si="48"/>
        <v>1440</v>
      </c>
      <c r="L394" s="14">
        <v>1</v>
      </c>
      <c r="M394" s="14"/>
      <c r="N394" s="44">
        <f>(K394*Table1[[#This Row],[Ühik2]])+M394</f>
        <v>1440</v>
      </c>
      <c r="O394" s="44">
        <f>Table1[[#This Row],[2020. EA ]]*0.338</f>
        <v>486.72</v>
      </c>
      <c r="P394" s="14" t="s">
        <v>2161</v>
      </c>
    </row>
    <row r="395" spans="1:16" x14ac:dyDescent="0.25">
      <c r="A395" s="14" t="str">
        <f t="shared" si="47"/>
        <v>09</v>
      </c>
      <c r="B395" s="36" t="s">
        <v>51</v>
      </c>
      <c r="C395" s="14" t="str">
        <f>VLOOKUP(B395,Table4[],2,FALSE)</f>
        <v xml:space="preserve"> Noorte huviharidus ja huvitegevus</v>
      </c>
      <c r="D395" s="39" t="str">
        <f>VLOOKUP(Table1[[#This Row],[Tegevusala]],Table4[[Tegevusala kood]:[Tegevusala alanimetus]],4,FALSE)</f>
        <v>Noorte huviharidus ja huvitegevus</v>
      </c>
      <c r="E395" s="14" t="str">
        <f>VLOOKUP(C395,Table4[[Tegevusala nimetus]:[Tegevusala koondnimetus]],2,FALSE)</f>
        <v>Haridus</v>
      </c>
      <c r="F395" s="14" t="s">
        <v>770</v>
      </c>
      <c r="G395" s="14" t="s">
        <v>2166</v>
      </c>
      <c r="H395" s="14">
        <v>1</v>
      </c>
      <c r="I395" s="14" t="s">
        <v>241</v>
      </c>
      <c r="J395" s="14">
        <v>1440</v>
      </c>
      <c r="K395" s="14">
        <f t="shared" si="48"/>
        <v>1440</v>
      </c>
      <c r="L395" s="14">
        <v>1</v>
      </c>
      <c r="M395" s="14"/>
      <c r="N395" s="44">
        <f>(K395*Table1[[#This Row],[Ühik2]])+M395</f>
        <v>1440</v>
      </c>
      <c r="O395" s="44">
        <f>Table1[[#This Row],[2020. EA ]]*0.338</f>
        <v>486.72</v>
      </c>
      <c r="P395" s="14" t="s">
        <v>2167</v>
      </c>
    </row>
    <row r="396" spans="1:16" x14ac:dyDescent="0.25">
      <c r="A396" s="37" t="str">
        <f t="shared" ref="A396:A401" si="49">LEFT(B396,2)</f>
        <v>09</v>
      </c>
      <c r="B396" s="51" t="s">
        <v>247</v>
      </c>
      <c r="C396" s="37" t="str">
        <f>VLOOKUP(B396,Table4[],2,FALSE)</f>
        <v xml:space="preserve"> Roela kool</v>
      </c>
      <c r="D396" s="48" t="str">
        <f>VLOOKUP(Table1[[#This Row],[Tegevusala]],Table4[[Tegevusala kood]:[Tegevusala alanimetus]],4,FALSE)</f>
        <v>Põhihariduse otsekulud</v>
      </c>
      <c r="E396" s="37" t="str">
        <f>VLOOKUP(C396,Table4[[Tegevusala nimetus]:[Tegevusala koondnimetus]],2,FALSE)</f>
        <v>Haridus</v>
      </c>
      <c r="F396" s="37" t="s">
        <v>342</v>
      </c>
      <c r="G396" s="37" t="s">
        <v>2198</v>
      </c>
      <c r="H396" s="37">
        <v>1</v>
      </c>
      <c r="I396" s="37" t="s">
        <v>241</v>
      </c>
      <c r="J396" s="37">
        <v>5399.85</v>
      </c>
      <c r="K396" s="37">
        <f t="shared" ref="K396:K401" si="50">H396*J396</f>
        <v>5399.85</v>
      </c>
      <c r="L396" s="37">
        <v>1</v>
      </c>
      <c r="M396" s="37"/>
      <c r="N396" s="46">
        <f>(K396*Table1[[#This Row],[Ühik2]])+M396</f>
        <v>5399.85</v>
      </c>
      <c r="O396" s="46">
        <f>Table1[[#This Row],[2020. EA ]]*0.338</f>
        <v>1825.1493000000003</v>
      </c>
      <c r="P396" s="37"/>
    </row>
    <row r="397" spans="1:16" x14ac:dyDescent="0.25">
      <c r="A397" s="37" t="str">
        <f t="shared" si="49"/>
        <v>09</v>
      </c>
      <c r="B397" s="51" t="s">
        <v>247</v>
      </c>
      <c r="C397" s="37" t="str">
        <f>VLOOKUP(B397,Table4[],2,FALSE)</f>
        <v xml:space="preserve"> Roela kool</v>
      </c>
      <c r="D397" s="48" t="str">
        <f>VLOOKUP(Table1[[#This Row],[Tegevusala]],Table4[[Tegevusala kood]:[Tegevusala alanimetus]],4,FALSE)</f>
        <v>Põhihariduse otsekulud</v>
      </c>
      <c r="E397" s="37" t="str">
        <f>VLOOKUP(C397,Table4[[Tegevusala nimetus]:[Tegevusala koondnimetus]],2,FALSE)</f>
        <v>Haridus</v>
      </c>
      <c r="F397" s="37" t="s">
        <v>342</v>
      </c>
      <c r="G397" s="37" t="s">
        <v>2172</v>
      </c>
      <c r="H397" s="37">
        <v>1</v>
      </c>
      <c r="I397" s="37"/>
      <c r="J397" s="37">
        <v>1250</v>
      </c>
      <c r="K397" s="37">
        <f t="shared" si="50"/>
        <v>1250</v>
      </c>
      <c r="L397" s="37">
        <v>12</v>
      </c>
      <c r="M397" s="37"/>
      <c r="N397" s="46">
        <f>(K397*Table1[[#This Row],[Ühik2]])+M397</f>
        <v>15000</v>
      </c>
      <c r="O397" s="46">
        <f>Table1[[#This Row],[2020. EA ]]*0.338</f>
        <v>5070</v>
      </c>
      <c r="P397" s="37"/>
    </row>
    <row r="398" spans="1:16" x14ac:dyDescent="0.25">
      <c r="A398" s="14" t="str">
        <f t="shared" si="49"/>
        <v>09</v>
      </c>
      <c r="B398" s="42" t="s">
        <v>343</v>
      </c>
      <c r="C398" s="14" t="str">
        <f>VLOOKUP(B398,Table4[],2,FALSE)</f>
        <v xml:space="preserve"> Tudu kool</v>
      </c>
      <c r="D398" s="39" t="str">
        <f>VLOOKUP(Table1[[#This Row],[Tegevusala]],Table4[[Tegevusala kood]:[Tegevusala alanimetus]],4,FALSE)</f>
        <v>Põhihariduse otsekulud</v>
      </c>
      <c r="E398" s="14" t="str">
        <f>VLOOKUP(C398,Table4[[Tegevusala nimetus]:[Tegevusala koondnimetus]],2,FALSE)</f>
        <v>Haridus</v>
      </c>
      <c r="F398" s="38" t="s">
        <v>1726</v>
      </c>
      <c r="G398" s="14" t="s">
        <v>2198</v>
      </c>
      <c r="H398" s="14">
        <v>1</v>
      </c>
      <c r="I398" s="14" t="s">
        <v>241</v>
      </c>
      <c r="J398" s="14">
        <v>5399.85</v>
      </c>
      <c r="K398" s="14">
        <f t="shared" si="50"/>
        <v>5399.85</v>
      </c>
      <c r="L398" s="14">
        <v>1</v>
      </c>
      <c r="M398" s="14"/>
      <c r="N398" s="44">
        <f>(K398*Table1[[#This Row],[Ühik2]])+M398</f>
        <v>5399.85</v>
      </c>
      <c r="O398" s="44">
        <f>Table1[[#This Row],[2020. EA ]]*0.338</f>
        <v>1825.1493000000003</v>
      </c>
      <c r="P398" s="14"/>
    </row>
    <row r="399" spans="1:16" x14ac:dyDescent="0.25">
      <c r="A399" s="14" t="str">
        <f t="shared" si="49"/>
        <v>09</v>
      </c>
      <c r="B399" t="s">
        <v>345</v>
      </c>
      <c r="C399" s="14" t="str">
        <f>VLOOKUP(B399,Table4[],2,FALSE)</f>
        <v xml:space="preserve"> Vinni pajusti Gümnaasium</v>
      </c>
      <c r="D399" s="39" t="str">
        <f>VLOOKUP(Table1[[#This Row],[Tegevusala]],Table4[[Tegevusala kood]:[Tegevusala alanimetus]],4,FALSE)</f>
        <v>Põhihariduse otsekulud</v>
      </c>
      <c r="E399" s="14" t="str">
        <f>VLOOKUP(C399,Table4[[Tegevusala nimetus]:[Tegevusala koondnimetus]],2,FALSE)</f>
        <v>Haridus</v>
      </c>
      <c r="F399" s="14" t="s">
        <v>1449</v>
      </c>
      <c r="G399" s="14" t="s">
        <v>2198</v>
      </c>
      <c r="H399" s="14">
        <v>1</v>
      </c>
      <c r="I399" s="14" t="s">
        <v>241</v>
      </c>
      <c r="J399" s="14">
        <v>50458.146000000001</v>
      </c>
      <c r="K399" s="14">
        <f t="shared" si="50"/>
        <v>50458.146000000001</v>
      </c>
      <c r="L399" s="14">
        <v>1</v>
      </c>
      <c r="M399" s="14"/>
      <c r="N399" s="44">
        <f>(K399*Table1[[#This Row],[Ühik2]])+M399</f>
        <v>50458.146000000001</v>
      </c>
      <c r="O399" s="44">
        <f>Table1[[#This Row],[2020. EA ]]*0.338</f>
        <v>17054.853348000001</v>
      </c>
      <c r="P399" s="14"/>
    </row>
    <row r="400" spans="1:16" x14ac:dyDescent="0.25">
      <c r="A400" s="14" t="str">
        <f t="shared" si="49"/>
        <v>06</v>
      </c>
      <c r="B400" s="76" t="s">
        <v>254</v>
      </c>
      <c r="C400" s="14" t="str">
        <f>VLOOKUP(B400,Table4[],2,FALSE)</f>
        <v>Laekvere halduspiirkond</v>
      </c>
      <c r="D400" s="39" t="str">
        <f>VLOOKUP(Table1[[#This Row],[Tegevusala]],Table4[[Tegevusala kood]:[Tegevusala alanimetus]],4,FALSE)</f>
        <v>Muu elamu- ja kommunaalmajanduse tegevus</v>
      </c>
      <c r="E400" s="14" t="str">
        <f>VLOOKUP(C400,Table4[[Tegevusala nimetus]:[Tegevusala koondnimetus]],2,FALSE)</f>
        <v>Elamu- ja kommunaalmajandus</v>
      </c>
      <c r="F400" s="14" t="s">
        <v>850</v>
      </c>
      <c r="G400" s="14" t="s">
        <v>2175</v>
      </c>
      <c r="H400" s="14">
        <v>1</v>
      </c>
      <c r="I400" s="14" t="s">
        <v>2027</v>
      </c>
      <c r="J400" s="14">
        <v>250</v>
      </c>
      <c r="K400" s="14">
        <f t="shared" si="50"/>
        <v>250</v>
      </c>
      <c r="L400" s="14">
        <v>12</v>
      </c>
      <c r="M400" s="14"/>
      <c r="N400" s="44">
        <f>(K400*Table1[[#This Row],[Ühik2]])+M400</f>
        <v>3000</v>
      </c>
      <c r="O400" s="44">
        <f>Table1[[#This Row],[2020. EA ]]*0.338</f>
        <v>1014.0000000000001</v>
      </c>
      <c r="P400" s="14"/>
    </row>
    <row r="401" spans="1:16" x14ac:dyDescent="0.25">
      <c r="A401" s="14" t="str">
        <f t="shared" si="49"/>
        <v>08</v>
      </c>
      <c r="B401" s="76" t="s">
        <v>320</v>
      </c>
      <c r="C401" s="14" t="str">
        <f>VLOOKUP(B401,Table4[],2,FALSE)</f>
        <v xml:space="preserve"> Laekvere Rahvamaja</v>
      </c>
      <c r="D401" s="39" t="str">
        <f>VLOOKUP(Table1[[#This Row],[Tegevusala]],Table4[[Tegevusala kood]:[Tegevusala alanimetus]],4,FALSE)</f>
        <v>Rahvakultuur</v>
      </c>
      <c r="E401" s="14" t="str">
        <f>VLOOKUP(C401,Table4[[Tegevusala nimetus]:[Tegevusala koondnimetus]],2,FALSE)</f>
        <v>Vabaaeg, kultuur ja religioon</v>
      </c>
      <c r="F401" s="38" t="s">
        <v>1110</v>
      </c>
      <c r="G401" s="14" t="s">
        <v>2178</v>
      </c>
      <c r="H401" s="14">
        <v>1</v>
      </c>
      <c r="I401" s="14" t="s">
        <v>241</v>
      </c>
      <c r="J401" s="14">
        <v>825.11</v>
      </c>
      <c r="K401" s="14">
        <f t="shared" si="50"/>
        <v>825.11</v>
      </c>
      <c r="L401" s="14">
        <v>1</v>
      </c>
      <c r="M401" s="14"/>
      <c r="N401" s="44">
        <f>(K401*Table1[[#This Row],[Ühik2]])+M401</f>
        <v>825.11</v>
      </c>
      <c r="O401" s="44">
        <f>Table1[[#This Row],[2020. EA ]]*0.338</f>
        <v>278.88718</v>
      </c>
      <c r="P401" s="14"/>
    </row>
    <row r="402" spans="1:16" x14ac:dyDescent="0.25">
      <c r="A402" s="14" t="str">
        <f t="shared" ref="A402:A408" si="51">LEFT(B402,2)</f>
        <v>09</v>
      </c>
      <c r="B402" s="101" t="s">
        <v>345</v>
      </c>
      <c r="C402" s="14" t="str">
        <f>VLOOKUP(B402,Table4[],2,FALSE)</f>
        <v xml:space="preserve"> Vinni pajusti Gümnaasium</v>
      </c>
      <c r="D402" s="39" t="str">
        <f>VLOOKUP(Table1[[#This Row],[Tegevusala]],Table4[[Tegevusala kood]:[Tegevusala alanimetus]],4,FALSE)</f>
        <v>Põhihariduse otsekulud</v>
      </c>
      <c r="E402" s="14" t="str">
        <f>VLOOKUP(C402,Table4[[Tegevusala nimetus]:[Tegevusala koondnimetus]],2,FALSE)</f>
        <v>Haridus</v>
      </c>
      <c r="F402" s="14" t="s">
        <v>1449</v>
      </c>
      <c r="G402" s="14" t="s">
        <v>2201</v>
      </c>
      <c r="H402" s="14">
        <v>1</v>
      </c>
      <c r="I402" s="14" t="s">
        <v>241</v>
      </c>
      <c r="J402" s="14">
        <v>470852.02</v>
      </c>
      <c r="K402" s="14">
        <f t="shared" ref="K402:K408" si="52">H402*J402</f>
        <v>470852.02</v>
      </c>
      <c r="L402" s="14">
        <v>1</v>
      </c>
      <c r="M402" s="14"/>
      <c r="N402" s="44">
        <f>(K402*Table1[[#This Row],[Ühik2]])+M402</f>
        <v>470852.02</v>
      </c>
      <c r="O402" s="44">
        <f>Table1[[#This Row],[2020. EA ]]*0.338</f>
        <v>159147.98276000001</v>
      </c>
      <c r="P402" s="14"/>
    </row>
    <row r="403" spans="1:16" x14ac:dyDescent="0.25">
      <c r="A403" s="14" t="str">
        <f t="shared" si="51"/>
        <v>09</v>
      </c>
      <c r="B403" s="101" t="s">
        <v>350</v>
      </c>
      <c r="C403" s="14" t="str">
        <f>VLOOKUP(B403,Table4[],2,FALSE)</f>
        <v xml:space="preserve"> Vinni pajusti Gümnaasium</v>
      </c>
      <c r="D403" s="39" t="str">
        <f>VLOOKUP(Table1[[#This Row],[Tegevusala]],Table4[[Tegevusala kood]:[Tegevusala alanimetus]],4,FALSE)</f>
        <v>Üldkeskhariduse otsekulud</v>
      </c>
      <c r="E403" s="14" t="str">
        <f>VLOOKUP(C403,Table4[[Tegevusala nimetus]:[Tegevusala koondnimetus]],2,FALSE)</f>
        <v>Haridus</v>
      </c>
      <c r="F403" s="14" t="s">
        <v>1449</v>
      </c>
      <c r="G403" s="14" t="s">
        <v>2202</v>
      </c>
      <c r="H403" s="14">
        <v>1</v>
      </c>
      <c r="I403" s="14" t="s">
        <v>241</v>
      </c>
      <c r="J403" s="14">
        <v>82511.210999999996</v>
      </c>
      <c r="K403" s="14">
        <f t="shared" si="52"/>
        <v>82511.210999999996</v>
      </c>
      <c r="L403" s="14">
        <v>1</v>
      </c>
      <c r="M403" s="14"/>
      <c r="N403" s="44">
        <f>(K403*Table1[[#This Row],[Ühik2]])+M403</f>
        <v>82511.210999999996</v>
      </c>
      <c r="O403" s="44">
        <f>Table1[[#This Row],[2020. EA ]]*0.338</f>
        <v>27888.789317999999</v>
      </c>
      <c r="P403" s="14"/>
    </row>
    <row r="404" spans="1:16" x14ac:dyDescent="0.25">
      <c r="A404" s="14" t="str">
        <f t="shared" si="51"/>
        <v>09</v>
      </c>
      <c r="B404" s="101" t="s">
        <v>247</v>
      </c>
      <c r="C404" s="14" t="str">
        <f>VLOOKUP(B404,Table4[],2,FALSE)</f>
        <v xml:space="preserve"> Roela kool</v>
      </c>
      <c r="D404" s="39" t="str">
        <f>VLOOKUP(Table1[[#This Row],[Tegevusala]],Table4[[Tegevusala kood]:[Tegevusala alanimetus]],4,FALSE)</f>
        <v>Põhihariduse otsekulud</v>
      </c>
      <c r="E404" s="14" t="str">
        <f>VLOOKUP(C404,Table4[[Tegevusala nimetus]:[Tegevusala koondnimetus]],2,FALSE)</f>
        <v>Haridus</v>
      </c>
      <c r="F404" s="14" t="s">
        <v>342</v>
      </c>
      <c r="G404" s="14" t="s">
        <v>2201</v>
      </c>
      <c r="H404" s="14">
        <v>1</v>
      </c>
      <c r="I404" s="14" t="s">
        <v>241</v>
      </c>
      <c r="J404" s="14">
        <v>171898.356</v>
      </c>
      <c r="K404" s="14">
        <f t="shared" si="52"/>
        <v>171898.356</v>
      </c>
      <c r="L404" s="14">
        <v>1</v>
      </c>
      <c r="M404" s="14"/>
      <c r="N404" s="44">
        <f>(K404*Table1[[#This Row],[Ühik2]])+M404</f>
        <v>171898.356</v>
      </c>
      <c r="O404" s="44">
        <f>Table1[[#This Row],[2020. EA ]]*0.338</f>
        <v>58101.644328000002</v>
      </c>
      <c r="P404" s="14"/>
    </row>
    <row r="405" spans="1:16" x14ac:dyDescent="0.25">
      <c r="A405" s="14" t="str">
        <f t="shared" si="51"/>
        <v>09</v>
      </c>
      <c r="B405" s="42" t="s">
        <v>343</v>
      </c>
      <c r="C405" s="14" t="str">
        <f>VLOOKUP(B405,Table4[],2,FALSE)</f>
        <v xml:space="preserve"> Tudu kool</v>
      </c>
      <c r="D405" s="39" t="str">
        <f>VLOOKUP(Table1[[#This Row],[Tegevusala]],Table4[[Tegevusala kood]:[Tegevusala alanimetus]],4,FALSE)</f>
        <v>Põhihariduse otsekulud</v>
      </c>
      <c r="E405" s="14" t="str">
        <f>VLOOKUP(C405,Table4[[Tegevusala nimetus]:[Tegevusala koondnimetus]],2,FALSE)</f>
        <v>Haridus</v>
      </c>
      <c r="F405" s="38" t="s">
        <v>1726</v>
      </c>
      <c r="G405" s="14" t="s">
        <v>2204</v>
      </c>
      <c r="H405" s="14">
        <v>1</v>
      </c>
      <c r="I405" s="14" t="s">
        <v>241</v>
      </c>
      <c r="J405" s="14">
        <v>52316.89</v>
      </c>
      <c r="K405" s="14">
        <f t="shared" si="52"/>
        <v>52316.89</v>
      </c>
      <c r="L405" s="14">
        <v>1</v>
      </c>
      <c r="M405" s="14"/>
      <c r="N405" s="44">
        <f>(K405*Table1[[#This Row],[Ühik2]])+M405</f>
        <v>52316.89</v>
      </c>
      <c r="O405" s="44">
        <f>Table1[[#This Row],[2020. EA ]]*0.338</f>
        <v>17683.108820000001</v>
      </c>
      <c r="P405" s="14"/>
    </row>
    <row r="406" spans="1:16" x14ac:dyDescent="0.25">
      <c r="A406" s="14" t="str">
        <f t="shared" si="51"/>
        <v>09</v>
      </c>
      <c r="B406" s="101" t="s">
        <v>340</v>
      </c>
      <c r="C406" s="14" t="str">
        <f>VLOOKUP(B406,Table4[],2,FALSE)</f>
        <v xml:space="preserve"> Muuga-laekvere kool-Laekvere õppehoone</v>
      </c>
      <c r="D406" s="39" t="str">
        <f>VLOOKUP(Table1[[#This Row],[Tegevusala]],Table4[[Tegevusala kood]:[Tegevusala alanimetus]],4,FALSE)</f>
        <v>Põhihariduse otsekulud</v>
      </c>
      <c r="E406" s="14" t="str">
        <f>VLOOKUP(C406,Table4[[Tegevusala nimetus]:[Tegevusala koondnimetus]],2,FALSE)</f>
        <v>Haridus</v>
      </c>
      <c r="F406" s="14" t="s">
        <v>1870</v>
      </c>
      <c r="G406" s="14" t="s">
        <v>2198</v>
      </c>
      <c r="H406" s="14">
        <v>1</v>
      </c>
      <c r="I406" s="14" t="s">
        <v>241</v>
      </c>
      <c r="J406" s="14">
        <v>5399.85</v>
      </c>
      <c r="K406" s="14">
        <f t="shared" si="52"/>
        <v>5399.85</v>
      </c>
      <c r="L406" s="14">
        <v>1</v>
      </c>
      <c r="M406" s="14"/>
      <c r="N406" s="44">
        <f>(K406*Table1[[#This Row],[Ühik2]])+M406</f>
        <v>5399.85</v>
      </c>
      <c r="O406" s="44">
        <f>Table1[[#This Row],[2020. EA ]]*0.338</f>
        <v>1825.1493000000003</v>
      </c>
      <c r="P406" s="14"/>
    </row>
    <row r="407" spans="1:16" x14ac:dyDescent="0.25">
      <c r="A407" s="14" t="str">
        <f t="shared" si="51"/>
        <v>09</v>
      </c>
      <c r="B407" t="s">
        <v>340</v>
      </c>
      <c r="C407" s="14" t="str">
        <f>VLOOKUP(B407,Table4[],2,FALSE)</f>
        <v xml:space="preserve"> Muuga-laekvere kool-Laekvere õppehoone</v>
      </c>
      <c r="D407" s="39" t="str">
        <f>VLOOKUP(Table1[[#This Row],[Tegevusala]],Table4[[Tegevusala kood]:[Tegevusala alanimetus]],4,FALSE)</f>
        <v>Põhihariduse otsekulud</v>
      </c>
      <c r="E407" s="14" t="str">
        <f>VLOOKUP(C407,Table4[[Tegevusala nimetus]:[Tegevusala koondnimetus]],2,FALSE)</f>
        <v>Haridus</v>
      </c>
      <c r="F407" s="14" t="s">
        <v>1870</v>
      </c>
      <c r="G407" s="14" t="s">
        <v>2204</v>
      </c>
      <c r="H407" s="14">
        <v>1</v>
      </c>
      <c r="I407" s="14" t="s">
        <v>241</v>
      </c>
      <c r="J407" s="14">
        <v>313901.34499999997</v>
      </c>
      <c r="K407" s="14">
        <f t="shared" si="52"/>
        <v>313901.34499999997</v>
      </c>
      <c r="L407" s="14">
        <v>1</v>
      </c>
      <c r="M407" s="14"/>
      <c r="N407" s="44">
        <f>(K407*Table1[[#This Row],[Ühik2]])+M407</f>
        <v>313901.34499999997</v>
      </c>
      <c r="O407" s="44">
        <f>Table1[[#This Row],[2020. EA ]]*0.338</f>
        <v>106098.65461</v>
      </c>
      <c r="P407" s="14"/>
    </row>
    <row r="408" spans="1:16" x14ac:dyDescent="0.25">
      <c r="A408" s="14" t="str">
        <f t="shared" si="51"/>
        <v>09</v>
      </c>
      <c r="B408" s="36" t="s">
        <v>1577</v>
      </c>
      <c r="C408" s="14" t="str">
        <f>VLOOKUP(B408,Table4[],2,FALSE)</f>
        <v xml:space="preserve"> Halduse tagatavad kulud</v>
      </c>
      <c r="D408" s="39" t="str">
        <f>VLOOKUP(Table1[[#This Row],[Tegevusala]],Table4[[Tegevusala kood]:[Tegevusala alanimetus]],4,FALSE)</f>
        <v>Muu haridus, sh hariduse haldus</v>
      </c>
      <c r="E408" s="14" t="str">
        <f>VLOOKUP(C408,Table4[[Tegevusala nimetus]:[Tegevusala koondnimetus]],2,FALSE)</f>
        <v>Haridus</v>
      </c>
      <c r="F408" s="14" t="s">
        <v>1540</v>
      </c>
      <c r="G408" s="14" t="s">
        <v>2205</v>
      </c>
      <c r="H408" s="14">
        <v>1</v>
      </c>
      <c r="I408" s="14" t="s">
        <v>241</v>
      </c>
      <c r="J408" s="14">
        <v>58554.559999999998</v>
      </c>
      <c r="K408" s="14">
        <f t="shared" si="52"/>
        <v>58554.559999999998</v>
      </c>
      <c r="L408" s="14">
        <v>1</v>
      </c>
      <c r="M408" s="14"/>
      <c r="N408" s="44">
        <f>(K408*Table1[[#This Row],[Ühik2]])+M408</f>
        <v>58554.559999999998</v>
      </c>
      <c r="O408" s="44">
        <f>Table1[[#This Row],[2020. EA ]]*0.338</f>
        <v>19791.441279999999</v>
      </c>
      <c r="P408" s="14"/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85" zoomScaleNormal="85" workbookViewId="0">
      <selection activeCell="B10" sqref="B10"/>
    </sheetView>
  </sheetViews>
  <sheetFormatPr defaultRowHeight="15" x14ac:dyDescent="0.25"/>
  <cols>
    <col min="1" max="1" width="59" customWidth="1"/>
    <col min="2" max="2" width="15.42578125" bestFit="1" customWidth="1"/>
  </cols>
  <sheetData>
    <row r="1" spans="1:2" x14ac:dyDescent="0.25">
      <c r="A1" s="4" t="s">
        <v>9</v>
      </c>
      <c r="B1" t="s">
        <v>461</v>
      </c>
    </row>
    <row r="3" spans="1:2" x14ac:dyDescent="0.25">
      <c r="A3" s="4" t="s">
        <v>396</v>
      </c>
      <c r="B3" t="s">
        <v>399</v>
      </c>
    </row>
    <row r="4" spans="1:2" x14ac:dyDescent="0.25">
      <c r="A4" s="5" t="s">
        <v>161</v>
      </c>
      <c r="B4" s="2"/>
    </row>
    <row r="5" spans="1:2" x14ac:dyDescent="0.25">
      <c r="A5" s="6" t="s">
        <v>78</v>
      </c>
      <c r="B5" s="2">
        <v>5500717.9500000002</v>
      </c>
    </row>
    <row r="6" spans="1:2" x14ac:dyDescent="0.25">
      <c r="A6" s="5" t="s">
        <v>163</v>
      </c>
      <c r="B6" s="2"/>
    </row>
    <row r="7" spans="1:2" x14ac:dyDescent="0.25">
      <c r="A7" s="6" t="s">
        <v>83</v>
      </c>
      <c r="B7" s="2">
        <v>87300</v>
      </c>
    </row>
    <row r="8" spans="1:2" x14ac:dyDescent="0.25">
      <c r="A8" s="6" t="s">
        <v>539</v>
      </c>
      <c r="B8" s="2">
        <v>13300</v>
      </c>
    </row>
    <row r="9" spans="1:2" x14ac:dyDescent="0.25">
      <c r="A9" s="6" t="s">
        <v>540</v>
      </c>
      <c r="B9" s="2">
        <v>0</v>
      </c>
    </row>
    <row r="10" spans="1:2" x14ac:dyDescent="0.25">
      <c r="A10" s="5" t="s">
        <v>80</v>
      </c>
      <c r="B10" s="2">
        <v>602051.152</v>
      </c>
    </row>
    <row r="11" spans="1:2" x14ac:dyDescent="0.25">
      <c r="A11" s="5" t="s">
        <v>537</v>
      </c>
      <c r="B11" s="2">
        <v>52333.413799999995</v>
      </c>
    </row>
    <row r="12" spans="1:2" x14ac:dyDescent="0.25">
      <c r="A12" s="5" t="s">
        <v>397</v>
      </c>
      <c r="B12" s="2">
        <v>6255702.5158000002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opLeftCell="A2" zoomScale="85" zoomScaleNormal="85" workbookViewId="0">
      <selection activeCell="G40" sqref="G40"/>
    </sheetView>
  </sheetViews>
  <sheetFormatPr defaultRowHeight="15" x14ac:dyDescent="0.25"/>
  <cols>
    <col min="1" max="1" width="11.5703125" customWidth="1"/>
    <col min="2" max="2" width="13" customWidth="1"/>
    <col min="3" max="4" width="21.7109375" customWidth="1"/>
    <col min="5" max="5" width="26.28515625" customWidth="1"/>
    <col min="6" max="6" width="38" customWidth="1"/>
    <col min="7" max="7" width="34.28515625" customWidth="1"/>
    <col min="8" max="8" width="7.42578125" bestFit="1" customWidth="1"/>
    <col min="9" max="11" width="8.42578125" bestFit="1" customWidth="1"/>
    <col min="12" max="12" width="9.28515625" bestFit="1" customWidth="1"/>
    <col min="13" max="13" width="19.140625" style="2" customWidth="1"/>
    <col min="14" max="14" width="31.42578125" bestFit="1" customWidth="1"/>
    <col min="16" max="16" width="25.42578125" customWidth="1"/>
    <col min="17" max="17" width="15.85546875" customWidth="1"/>
    <col min="18" max="18" width="14" customWidth="1"/>
    <col min="19" max="20" width="25.85546875" customWidth="1"/>
    <col min="21" max="21" width="21" customWidth="1"/>
  </cols>
  <sheetData>
    <row r="1" spans="1:21" x14ac:dyDescent="0.25">
      <c r="A1" s="11" t="s">
        <v>7</v>
      </c>
      <c r="B1" s="12" t="s">
        <v>1</v>
      </c>
      <c r="C1" s="12" t="s">
        <v>246</v>
      </c>
      <c r="D1" t="s">
        <v>490</v>
      </c>
      <c r="E1" s="12" t="s">
        <v>67</v>
      </c>
      <c r="F1" s="12" t="s">
        <v>5</v>
      </c>
      <c r="G1" s="12" t="s">
        <v>6</v>
      </c>
      <c r="H1" s="12" t="s">
        <v>627</v>
      </c>
      <c r="I1" s="12" t="s">
        <v>628</v>
      </c>
      <c r="J1" s="12" t="s">
        <v>629</v>
      </c>
      <c r="K1" s="12" t="s">
        <v>630</v>
      </c>
      <c r="L1" s="12" t="s">
        <v>631</v>
      </c>
      <c r="M1" s="13" t="s">
        <v>398</v>
      </c>
      <c r="N1" s="13" t="s">
        <v>165</v>
      </c>
      <c r="O1" s="12" t="s">
        <v>2</v>
      </c>
      <c r="P1" s="12" t="s">
        <v>91</v>
      </c>
      <c r="Q1" s="12" t="s">
        <v>77</v>
      </c>
      <c r="R1" s="12" t="s">
        <v>9</v>
      </c>
      <c r="S1" s="12" t="s">
        <v>160</v>
      </c>
      <c r="T1" s="12" t="s">
        <v>2009</v>
      </c>
      <c r="U1" s="28" t="s">
        <v>135</v>
      </c>
    </row>
    <row r="2" spans="1:21" x14ac:dyDescent="0.25">
      <c r="A2" t="str">
        <f t="shared" ref="A2:A19" si="0">LEFT(B2,2)</f>
        <v>09</v>
      </c>
      <c r="B2" t="s">
        <v>333</v>
      </c>
      <c r="C2" t="str">
        <f>VLOOKUP(B2,Table4[],2,FALSE)</f>
        <v xml:space="preserve"> Ulvi Lasteaed</v>
      </c>
      <c r="D2" s="1" t="str">
        <f>VLOOKUP(Table6[[#This Row],[Tegevusala]],Table4[[Tegevusala kood]:[Tegevusala alanimetus]],4,FALSE)</f>
        <v>Alusharidus</v>
      </c>
      <c r="E2" t="str">
        <f>VLOOKUP(Table6[[#This Row],[Tegevusala]],Table4[[Tegevusala kood]:[Tegevusala alanimetus]],3,FALSE)</f>
        <v>Haridus</v>
      </c>
      <c r="F2" t="s">
        <v>626</v>
      </c>
      <c r="G2" t="s">
        <v>632</v>
      </c>
      <c r="H2">
        <v>20.8</v>
      </c>
      <c r="I2" t="s">
        <v>1396</v>
      </c>
      <c r="J2">
        <v>11.5</v>
      </c>
      <c r="K2" t="s">
        <v>1397</v>
      </c>
      <c r="L2">
        <v>20</v>
      </c>
      <c r="M2" s="40">
        <f>Table6[[#This Row],[ühik]]*Table6[[#This Row],[ühik3]]*Table6[[#This Row],[hind]]</f>
        <v>4784</v>
      </c>
      <c r="N2" t="s">
        <v>634</v>
      </c>
      <c r="O2">
        <v>32201</v>
      </c>
      <c r="P2" t="str">
        <f>VLOOKUP(Table6[[#This Row],[Konto]],Table5[[Konto]:[Konto nimetus]],2,FALSE)</f>
        <v>Lasteiatasu - õppekulu</v>
      </c>
      <c r="Q2">
        <v>32</v>
      </c>
      <c r="R2" t="str">
        <f t="shared" ref="R2:R19" si="1">LEFT(O2,2)</f>
        <v>32</v>
      </c>
      <c r="S2" t="str">
        <f>VLOOKUP(Table6[[#This Row],[Tulu/kulu liik2]],Table5[[Tulu/kulu liik]:[Kontode koondnimetus]],4,FALSE)</f>
        <v>Tulud kaupade ja teenuste müügist</v>
      </c>
      <c r="T2" t="str">
        <f>VLOOKUP(Table6[[#This Row],[Tulu/kulu liik2]],Table5[],6,FALSE)</f>
        <v>Tulud kaupade ja teenuste müügist</v>
      </c>
      <c r="U2" t="str">
        <f>VLOOKUP(Table6[[#This Row],[Tulu/kulu liik2]],Table5[],5,FALSE)</f>
        <v>Põhitegevuse tulu</v>
      </c>
    </row>
    <row r="3" spans="1:21" x14ac:dyDescent="0.25">
      <c r="A3" t="str">
        <f t="shared" si="0"/>
        <v>09</v>
      </c>
      <c r="B3" t="s">
        <v>333</v>
      </c>
      <c r="C3" t="str">
        <f>VLOOKUP(B3,Table4[],2,FALSE)</f>
        <v xml:space="preserve"> Ulvi Lasteaed</v>
      </c>
      <c r="D3" t="str">
        <f>VLOOKUP(Table6[[#This Row],[Tegevusala]],Table4[[Tegevusala kood]:[Tegevusala alanimetus]],4,FALSE)</f>
        <v>Alusharidus</v>
      </c>
      <c r="E3" t="str">
        <f>VLOOKUP(Table6[[#This Row],[Tegevusala]],Table4[[Tegevusala kood]:[Tegevusala alanimetus]],3,FALSE)</f>
        <v>Haridus</v>
      </c>
      <c r="F3" t="s">
        <v>626</v>
      </c>
      <c r="G3" t="s">
        <v>633</v>
      </c>
      <c r="H3">
        <v>3.2</v>
      </c>
      <c r="I3" t="s">
        <v>1396</v>
      </c>
      <c r="J3">
        <v>11.5</v>
      </c>
      <c r="K3" t="s">
        <v>1397</v>
      </c>
      <c r="L3">
        <v>20</v>
      </c>
      <c r="M3" s="40">
        <f>Table6[[#This Row],[ühik]]*Table6[[#This Row],[ühik3]]*Table6[[#This Row],[hind]]</f>
        <v>736.00000000000011</v>
      </c>
      <c r="N3" t="s">
        <v>634</v>
      </c>
      <c r="O3">
        <v>32201</v>
      </c>
      <c r="P3" t="str">
        <f>VLOOKUP(Table6[[#This Row],[Konto]],Table5[[Konto]:[Konto nimetus]],2,FALSE)</f>
        <v>Lasteiatasu - õppekulu</v>
      </c>
      <c r="Q3">
        <v>32</v>
      </c>
      <c r="R3" t="str">
        <f t="shared" si="1"/>
        <v>32</v>
      </c>
      <c r="S3" t="str">
        <f>VLOOKUP(Table6[[#This Row],[Tulu/kulu liik2]],Table5[[Tulu/kulu liik]:[Kontode koondnimetus]],4,FALSE)</f>
        <v>Tulud kaupade ja teenuste müügist</v>
      </c>
      <c r="T3" t="str">
        <f>VLOOKUP(Table6[[#This Row],[Tulu/kulu liik2]],Table5[],6,FALSE)</f>
        <v>Tulud kaupade ja teenuste müügist</v>
      </c>
      <c r="U3" t="str">
        <f>VLOOKUP(Table6[[#This Row],[Tulu/kulu liik2]],Table5[],5,FALSE)</f>
        <v>Põhitegevuse tulu</v>
      </c>
    </row>
    <row r="4" spans="1:21" x14ac:dyDescent="0.25">
      <c r="A4" t="str">
        <f t="shared" si="0"/>
        <v>09</v>
      </c>
      <c r="B4" t="s">
        <v>333</v>
      </c>
      <c r="C4" t="str">
        <f>VLOOKUP(B4,Table4[],2,FALSE)</f>
        <v xml:space="preserve"> Ulvi Lasteaed</v>
      </c>
      <c r="D4" t="str">
        <f>VLOOKUP(Table6[[#This Row],[Tegevusala]],Table4[[Tegevusala kood]:[Tegevusala alanimetus]],4,FALSE)</f>
        <v>Alusharidus</v>
      </c>
      <c r="E4" t="str">
        <f>VLOOKUP(Table6[[#This Row],[Tegevusala]],Table4[[Tegevusala kood]:[Tegevusala alanimetus]],3,FALSE)</f>
        <v>Haridus</v>
      </c>
      <c r="F4" t="s">
        <v>626</v>
      </c>
      <c r="G4" t="s">
        <v>635</v>
      </c>
      <c r="H4">
        <v>221</v>
      </c>
      <c r="I4" t="s">
        <v>1670</v>
      </c>
      <c r="J4">
        <v>24</v>
      </c>
      <c r="L4">
        <v>1</v>
      </c>
      <c r="M4" s="40">
        <f>Table6[[#This Row],[ühik]]*Table6[[#This Row],[ühik3]]*Table6[[#This Row],[hind]]</f>
        <v>5304</v>
      </c>
      <c r="N4" t="s">
        <v>2030</v>
      </c>
      <c r="O4">
        <v>32206</v>
      </c>
      <c r="P4" t="str">
        <f>VLOOKUP(Table6[[#This Row],[Konto]],Table5[[Konto]:[Konto nimetus]],2,FALSE)</f>
        <v>Lasteaia toiduraha</v>
      </c>
      <c r="Q4">
        <v>32</v>
      </c>
      <c r="R4" t="str">
        <f t="shared" si="1"/>
        <v>32</v>
      </c>
      <c r="S4" t="str">
        <f>VLOOKUP(Table6[[#This Row],[Tulu/kulu liik2]],Table5[[Tulu/kulu liik]:[Kontode koondnimetus]],4,FALSE)</f>
        <v>Tulud kaupade ja teenuste müügist</v>
      </c>
      <c r="T4" t="str">
        <f>VLOOKUP(Table6[[#This Row],[Tulu/kulu liik2]],Table5[],6,FALSE)</f>
        <v>Tulud kaupade ja teenuste müügist</v>
      </c>
      <c r="U4" t="str">
        <f>VLOOKUP(Table6[[#This Row],[Tulu/kulu liik2]],Table5[],5,FALSE)</f>
        <v>Põhitegevuse tulu</v>
      </c>
    </row>
    <row r="5" spans="1:21" x14ac:dyDescent="0.25">
      <c r="A5" t="str">
        <f t="shared" si="0"/>
        <v>09</v>
      </c>
      <c r="B5" t="s">
        <v>325</v>
      </c>
      <c r="C5" t="str">
        <f>VLOOKUP(B5,Table4[],2,FALSE)</f>
        <v xml:space="preserve"> Vinni Lasteaed</v>
      </c>
      <c r="D5" t="str">
        <f>VLOOKUP(Table6[[#This Row],[Tegevusala]],Table4[[Tegevusala kood]:[Tegevusala alanimetus]],4,FALSE)</f>
        <v>Alusharidus</v>
      </c>
      <c r="E5" t="str">
        <f>VLOOKUP(Table6[[#This Row],[Tegevusala]],Table4[[Tegevusala kood]:[Tegevusala alanimetus]],3,FALSE)</f>
        <v>Haridus</v>
      </c>
      <c r="F5" t="s">
        <v>636</v>
      </c>
      <c r="G5" t="s">
        <v>632</v>
      </c>
      <c r="H5">
        <v>20.8</v>
      </c>
      <c r="I5" t="s">
        <v>1396</v>
      </c>
      <c r="J5">
        <v>10.5</v>
      </c>
      <c r="K5" t="s">
        <v>1397</v>
      </c>
      <c r="L5">
        <v>20</v>
      </c>
      <c r="M5" s="40">
        <f>Table6[[#This Row],[ühik]]*Table6[[#This Row],[ühik3]]*Table6[[#This Row],[hind]]</f>
        <v>4368</v>
      </c>
      <c r="N5" t="s">
        <v>634</v>
      </c>
      <c r="O5">
        <v>32201</v>
      </c>
      <c r="P5" t="str">
        <f>VLOOKUP(Table6[[#This Row],[Konto]],Table5[[Konto]:[Konto nimetus]],2,FALSE)</f>
        <v>Lasteiatasu - õppekulu</v>
      </c>
      <c r="Q5">
        <v>32</v>
      </c>
      <c r="R5" t="str">
        <f t="shared" si="1"/>
        <v>32</v>
      </c>
      <c r="S5" t="str">
        <f>VLOOKUP(Table6[[#This Row],[Tulu/kulu liik2]],Table5[[Tulu/kulu liik]:[Kontode koondnimetus]],4,FALSE)</f>
        <v>Tulud kaupade ja teenuste müügist</v>
      </c>
      <c r="T5" t="str">
        <f>VLOOKUP(Table6[[#This Row],[Tulu/kulu liik2]],Table5[],6,FALSE)</f>
        <v>Tulud kaupade ja teenuste müügist</v>
      </c>
      <c r="U5" t="str">
        <f>VLOOKUP(Table6[[#This Row],[Tulu/kulu liik2]],Table5[],5,FALSE)</f>
        <v>Põhitegevuse tulu</v>
      </c>
    </row>
    <row r="6" spans="1:21" x14ac:dyDescent="0.25">
      <c r="A6" t="str">
        <f t="shared" si="0"/>
        <v>09</v>
      </c>
      <c r="B6" t="s">
        <v>325</v>
      </c>
      <c r="C6" t="str">
        <f>VLOOKUP(B6,Table4[],2,FALSE)</f>
        <v xml:space="preserve"> Vinni Lasteaed</v>
      </c>
      <c r="D6" t="str">
        <f>VLOOKUP(Table6[[#This Row],[Tegevusala]],Table4[[Tegevusala kood]:[Tegevusala alanimetus]],4,FALSE)</f>
        <v>Alusharidus</v>
      </c>
      <c r="E6" t="str">
        <f>VLOOKUP(Table6[[#This Row],[Tegevusala]],Table4[[Tegevusala kood]:[Tegevusala alanimetus]],3,FALSE)</f>
        <v>Haridus</v>
      </c>
      <c r="F6" t="s">
        <v>636</v>
      </c>
      <c r="G6" t="s">
        <v>1214</v>
      </c>
      <c r="H6">
        <v>64</v>
      </c>
      <c r="I6" t="s">
        <v>1396</v>
      </c>
      <c r="J6">
        <v>10.5</v>
      </c>
      <c r="K6" t="s">
        <v>1397</v>
      </c>
      <c r="L6">
        <v>20</v>
      </c>
      <c r="M6" s="40">
        <f>Table6[[#This Row],[ühik]]*Table6[[#This Row],[ühik3]]*Table6[[#This Row],[hind]]</f>
        <v>13440</v>
      </c>
      <c r="N6" t="s">
        <v>634</v>
      </c>
      <c r="O6">
        <v>32201</v>
      </c>
      <c r="P6" t="str">
        <f>VLOOKUP(Table6[[#This Row],[Konto]],Table5[[Konto]:[Konto nimetus]],2,FALSE)</f>
        <v>Lasteiatasu - õppekulu</v>
      </c>
      <c r="Q6">
        <v>32</v>
      </c>
      <c r="R6" t="str">
        <f t="shared" si="1"/>
        <v>32</v>
      </c>
      <c r="S6" t="str">
        <f>VLOOKUP(Table6[[#This Row],[Tulu/kulu liik2]],Table5[[Tulu/kulu liik]:[Kontode koondnimetus]],4,FALSE)</f>
        <v>Tulud kaupade ja teenuste müügist</v>
      </c>
      <c r="T6" t="str">
        <f>VLOOKUP(Table6[[#This Row],[Tulu/kulu liik2]],Table5[],6,FALSE)</f>
        <v>Tulud kaupade ja teenuste müügist</v>
      </c>
      <c r="U6" t="str">
        <f>VLOOKUP(Table6[[#This Row],[Tulu/kulu liik2]],Table5[],5,FALSE)</f>
        <v>Põhitegevuse tulu</v>
      </c>
    </row>
    <row r="7" spans="1:21" x14ac:dyDescent="0.25">
      <c r="A7" t="str">
        <f t="shared" si="0"/>
        <v>09</v>
      </c>
      <c r="B7" t="s">
        <v>325</v>
      </c>
      <c r="C7" t="str">
        <f>VLOOKUP(B7,Table4[],2,FALSE)</f>
        <v xml:space="preserve"> Vinni Lasteaed</v>
      </c>
      <c r="D7" t="str">
        <f>VLOOKUP(Table6[[#This Row],[Tegevusala]],Table4[[Tegevusala kood]:[Tegevusala alanimetus]],4,FALSE)</f>
        <v>Alusharidus</v>
      </c>
      <c r="E7" t="str">
        <f>VLOOKUP(Table6[[#This Row],[Tegevusala]],Table4[[Tegevusala kood]:[Tegevusala alanimetus]],3,FALSE)</f>
        <v>Haridus</v>
      </c>
      <c r="F7" t="s">
        <v>636</v>
      </c>
      <c r="G7" t="s">
        <v>635</v>
      </c>
      <c r="H7">
        <v>221</v>
      </c>
      <c r="I7" t="s">
        <v>1670</v>
      </c>
      <c r="J7">
        <v>84.8</v>
      </c>
      <c r="K7" t="s">
        <v>1396</v>
      </c>
      <c r="L7">
        <v>0.95</v>
      </c>
      <c r="M7" s="40">
        <f>Table6[[#This Row],[ühik]]*Table6[[#This Row],[ühik3]]*Table6[[#This Row],[hind]]</f>
        <v>17803.759999999998</v>
      </c>
      <c r="N7" t="s">
        <v>2030</v>
      </c>
      <c r="O7">
        <v>32206</v>
      </c>
      <c r="P7" t="str">
        <f>VLOOKUP(Table6[[#This Row],[Konto]],Table5[[Konto]:[Konto nimetus]],2,FALSE)</f>
        <v>Lasteaia toiduraha</v>
      </c>
      <c r="Q7">
        <v>32</v>
      </c>
      <c r="R7" t="str">
        <f t="shared" si="1"/>
        <v>32</v>
      </c>
      <c r="S7" t="str">
        <f>VLOOKUP(Table6[[#This Row],[Tulu/kulu liik2]],Table5[[Tulu/kulu liik]:[Kontode koondnimetus]],4,FALSE)</f>
        <v>Tulud kaupade ja teenuste müügist</v>
      </c>
      <c r="T7" t="str">
        <f>VLOOKUP(Table6[[#This Row],[Tulu/kulu liik2]],Table5[],6,FALSE)</f>
        <v>Tulud kaupade ja teenuste müügist</v>
      </c>
      <c r="U7" t="str">
        <f>VLOOKUP(Table6[[#This Row],[Tulu/kulu liik2]],Table5[],5,FALSE)</f>
        <v>Põhitegevuse tulu</v>
      </c>
    </row>
    <row r="8" spans="1:21" x14ac:dyDescent="0.25">
      <c r="A8" s="33" t="str">
        <f t="shared" si="0"/>
        <v>09</v>
      </c>
      <c r="B8" s="33" t="s">
        <v>327</v>
      </c>
      <c r="C8" s="33" t="str">
        <f>VLOOKUP(B8,Table4[],2,FALSE)</f>
        <v xml:space="preserve"> Pajusti Lasteaed</v>
      </c>
      <c r="D8" s="33" t="str">
        <f>VLOOKUP(Table6[[#This Row],[Tegevusala]],Table4[[Tegevusala kood]:[Tegevusala alanimetus]],4,FALSE)</f>
        <v>Alusharidus</v>
      </c>
      <c r="E8" s="33" t="str">
        <f>VLOOKUP(Table6[[#This Row],[Tegevusala]],Table4[[Tegevusala kood]:[Tegevusala alanimetus]],3,FALSE)</f>
        <v>Haridus</v>
      </c>
      <c r="F8" s="33" t="s">
        <v>637</v>
      </c>
      <c r="G8" s="33" t="s">
        <v>632</v>
      </c>
      <c r="H8" s="33">
        <v>8.8000000000000007</v>
      </c>
      <c r="I8" s="33" t="s">
        <v>1396</v>
      </c>
      <c r="J8" s="33">
        <v>11</v>
      </c>
      <c r="K8" s="33" t="s">
        <v>1397</v>
      </c>
      <c r="L8" s="33">
        <v>20</v>
      </c>
      <c r="M8" s="47">
        <f>Table6[[#This Row],[ühik]]*Table6[[#This Row],[ühik3]]*Table6[[#This Row],[hind]]</f>
        <v>1936.0000000000002</v>
      </c>
      <c r="N8" s="33" t="s">
        <v>634</v>
      </c>
      <c r="O8" s="33">
        <v>32201</v>
      </c>
      <c r="P8" s="33" t="str">
        <f>VLOOKUP(Table6[[#This Row],[Konto]],Table5[[Konto]:[Konto nimetus]],2,FALSE)</f>
        <v>Lasteiatasu - õppekulu</v>
      </c>
      <c r="Q8" s="33">
        <v>32</v>
      </c>
      <c r="R8" s="33" t="str">
        <f t="shared" si="1"/>
        <v>32</v>
      </c>
      <c r="S8" s="33" t="str">
        <f>VLOOKUP(Table6[[#This Row],[Tulu/kulu liik2]],Table5[[Tulu/kulu liik]:[Kontode koondnimetus]],4,FALSE)</f>
        <v>Tulud kaupade ja teenuste müügist</v>
      </c>
      <c r="T8" s="33" t="str">
        <f>VLOOKUP(Table6[[#This Row],[Tulu/kulu liik2]],Table5[],6,FALSE)</f>
        <v>Tulud kaupade ja teenuste müügist</v>
      </c>
      <c r="U8" s="33" t="str">
        <f>VLOOKUP(Table6[[#This Row],[Tulu/kulu liik2]],Table5[],5,FALSE)</f>
        <v>Põhitegevuse tulu</v>
      </c>
    </row>
    <row r="9" spans="1:21" x14ac:dyDescent="0.25">
      <c r="A9" s="34" t="str">
        <f>LEFT(B9,2)</f>
        <v>09</v>
      </c>
      <c r="B9" s="33" t="s">
        <v>327</v>
      </c>
      <c r="C9" s="34" t="str">
        <f>VLOOKUP(B9,Table4[],2,FALSE)</f>
        <v xml:space="preserve"> Pajusti Lasteaed</v>
      </c>
      <c r="D9" s="34" t="str">
        <f>VLOOKUP(Table6[[#This Row],[Tegevusala]],Table4[[Tegevusala kood]:[Tegevusala alanimetus]],4,FALSE)</f>
        <v>Alusharidus</v>
      </c>
      <c r="E9" s="34" t="str">
        <f>VLOOKUP(Table6[[#This Row],[Tegevusala]],Table4[[Tegevusala kood]:[Tegevusala alanimetus]],3,FALSE)</f>
        <v>Haridus</v>
      </c>
      <c r="F9" s="33" t="s">
        <v>637</v>
      </c>
      <c r="G9" s="33" t="s">
        <v>633</v>
      </c>
      <c r="H9" s="33">
        <v>26.4</v>
      </c>
      <c r="I9" s="33" t="s">
        <v>1396</v>
      </c>
      <c r="J9" s="33">
        <v>11</v>
      </c>
      <c r="K9" s="33" t="s">
        <v>1397</v>
      </c>
      <c r="L9" s="33">
        <v>20</v>
      </c>
      <c r="M9" s="47">
        <f>Table6[[#This Row],[ühik]]*Table6[[#This Row],[ühik3]]*Table6[[#This Row],[hind]]</f>
        <v>5808</v>
      </c>
      <c r="N9" s="33" t="s">
        <v>634</v>
      </c>
      <c r="O9" s="34">
        <v>32201</v>
      </c>
      <c r="P9" s="34" t="str">
        <f>VLOOKUP(Table6[[#This Row],[Konto]],Table5[[Konto]:[Konto nimetus]],2,FALSE)</f>
        <v>Lasteiatasu - õppekulu</v>
      </c>
      <c r="Q9" s="34">
        <v>32</v>
      </c>
      <c r="R9" s="34" t="str">
        <f>LEFT(O9,2)</f>
        <v>32</v>
      </c>
      <c r="S9" s="34" t="str">
        <f>VLOOKUP(Table6[[#This Row],[Tulu/kulu liik2]],Table5[[Tulu/kulu liik]:[Kontode koondnimetus]],4,FALSE)</f>
        <v>Tulud kaupade ja teenuste müügist</v>
      </c>
      <c r="T9" s="34" t="str">
        <f>VLOOKUP(Table6[[#This Row],[Tulu/kulu liik2]],Table5[],6,FALSE)</f>
        <v>Tulud kaupade ja teenuste müügist</v>
      </c>
      <c r="U9" s="34" t="str">
        <f>VLOOKUP(Table6[[#This Row],[Tulu/kulu liik2]],Table5[],5,FALSE)</f>
        <v>Põhitegevuse tulu</v>
      </c>
    </row>
    <row r="10" spans="1:21" x14ac:dyDescent="0.25">
      <c r="A10" s="33" t="str">
        <f t="shared" si="0"/>
        <v>09</v>
      </c>
      <c r="B10" s="33" t="s">
        <v>327</v>
      </c>
      <c r="C10" s="33" t="str">
        <f>VLOOKUP(B10,Table4[],2,FALSE)</f>
        <v xml:space="preserve"> Pajusti Lasteaed</v>
      </c>
      <c r="D10" s="33" t="str">
        <f>VLOOKUP(Table6[[#This Row],[Tegevusala]],Table4[[Tegevusala kood]:[Tegevusala alanimetus]],4,FALSE)</f>
        <v>Alusharidus</v>
      </c>
      <c r="E10" s="33" t="str">
        <f>VLOOKUP(Table6[[#This Row],[Tegevusala]],Table4[[Tegevusala kood]:[Tegevusala alanimetus]],3,FALSE)</f>
        <v>Haridus</v>
      </c>
      <c r="F10" s="33" t="s">
        <v>637</v>
      </c>
      <c r="G10" s="33" t="s">
        <v>635</v>
      </c>
      <c r="H10" s="33">
        <v>221</v>
      </c>
      <c r="I10" s="33" t="s">
        <v>1670</v>
      </c>
      <c r="J10" s="33">
        <v>35.200000000000003</v>
      </c>
      <c r="K10" s="33" t="s">
        <v>1396</v>
      </c>
      <c r="L10" s="33">
        <v>0.8</v>
      </c>
      <c r="M10" s="47">
        <f>Table6[[#This Row],[ühik]]*Table6[[#This Row],[ühik3]]*Table6[[#This Row],[hind]]</f>
        <v>6223.3600000000006</v>
      </c>
      <c r="N10" s="33" t="s">
        <v>2030</v>
      </c>
      <c r="O10" s="33">
        <v>32206</v>
      </c>
      <c r="P10" s="33" t="str">
        <f>VLOOKUP(Table6[[#This Row],[Konto]],Table5[[Konto]:[Konto nimetus]],2,FALSE)</f>
        <v>Lasteaia toiduraha</v>
      </c>
      <c r="Q10" s="33">
        <v>32</v>
      </c>
      <c r="R10" s="33" t="str">
        <f t="shared" si="1"/>
        <v>32</v>
      </c>
      <c r="S10" s="33" t="str">
        <f>VLOOKUP(Table6[[#This Row],[Tulu/kulu liik2]],Table5[[Tulu/kulu liik]:[Kontode koondnimetus]],4,FALSE)</f>
        <v>Tulud kaupade ja teenuste müügist</v>
      </c>
      <c r="T10" s="33" t="str">
        <f>VLOOKUP(Table6[[#This Row],[Tulu/kulu liik2]],Table5[],6,FALSE)</f>
        <v>Tulud kaupade ja teenuste müügist</v>
      </c>
      <c r="U10" s="33" t="str">
        <f>VLOOKUP(Table6[[#This Row],[Tulu/kulu liik2]],Table5[],5,FALSE)</f>
        <v>Põhitegevuse tulu</v>
      </c>
    </row>
    <row r="11" spans="1:21" x14ac:dyDescent="0.25">
      <c r="A11" t="str">
        <f t="shared" si="0"/>
        <v>09</v>
      </c>
      <c r="B11" t="s">
        <v>329</v>
      </c>
      <c r="C11" t="str">
        <f>VLOOKUP(B11,Table4[],2,FALSE)</f>
        <v xml:space="preserve"> Kulina Lasteaed</v>
      </c>
      <c r="D11" t="str">
        <f>VLOOKUP(Table6[[#This Row],[Tegevusala]],Table4[[Tegevusala kood]:[Tegevusala alanimetus]],4,FALSE)</f>
        <v>Alusharidus</v>
      </c>
      <c r="E11" t="str">
        <f>VLOOKUP(Table6[[#This Row],[Tegevusala]],Table4[[Tegevusala kood]:[Tegevusala alanimetus]],3,FALSE)</f>
        <v>Haridus</v>
      </c>
      <c r="F11" t="s">
        <v>638</v>
      </c>
      <c r="G11" t="s">
        <v>632</v>
      </c>
      <c r="H11">
        <v>13.6</v>
      </c>
      <c r="I11" t="s">
        <v>1396</v>
      </c>
      <c r="J11">
        <v>10.5</v>
      </c>
      <c r="K11" t="s">
        <v>1397</v>
      </c>
      <c r="L11">
        <v>20</v>
      </c>
      <c r="M11" s="40">
        <f>Table6[[#This Row],[ühik]]*Table6[[#This Row],[ühik3]]*Table6[[#This Row],[hind]]</f>
        <v>2855.9999999999995</v>
      </c>
      <c r="N11" t="s">
        <v>634</v>
      </c>
      <c r="O11">
        <v>32201</v>
      </c>
      <c r="P11" t="str">
        <f>VLOOKUP(Table6[[#This Row],[Konto]],Table5[[Konto]:[Konto nimetus]],2,FALSE)</f>
        <v>Lasteiatasu - õppekulu</v>
      </c>
      <c r="Q11">
        <v>32</v>
      </c>
      <c r="R11" t="str">
        <f t="shared" si="1"/>
        <v>32</v>
      </c>
      <c r="S11" t="str">
        <f>VLOOKUP(Table6[[#This Row],[Tulu/kulu liik2]],Table5[[Tulu/kulu liik]:[Kontode koondnimetus]],4,FALSE)</f>
        <v>Tulud kaupade ja teenuste müügist</v>
      </c>
      <c r="T11" t="str">
        <f>VLOOKUP(Table6[[#This Row],[Tulu/kulu liik2]],Table5[],6,FALSE)</f>
        <v>Tulud kaupade ja teenuste müügist</v>
      </c>
      <c r="U11" t="str">
        <f>VLOOKUP(Table6[[#This Row],[Tulu/kulu liik2]],Table5[],5,FALSE)</f>
        <v>Põhitegevuse tulu</v>
      </c>
    </row>
    <row r="12" spans="1:21" x14ac:dyDescent="0.25">
      <c r="A12" t="str">
        <f t="shared" si="0"/>
        <v>09</v>
      </c>
      <c r="B12" t="s">
        <v>329</v>
      </c>
      <c r="C12" t="str">
        <f>VLOOKUP(B12,Table4[],2,FALSE)</f>
        <v xml:space="preserve"> Kulina Lasteaed</v>
      </c>
      <c r="D12" t="str">
        <f>VLOOKUP(Table6[[#This Row],[Tegevusala]],Table4[[Tegevusala kood]:[Tegevusala alanimetus]],4,FALSE)</f>
        <v>Alusharidus</v>
      </c>
      <c r="E12" t="str">
        <f>VLOOKUP(Table6[[#This Row],[Tegevusala]],Table4[[Tegevusala kood]:[Tegevusala alanimetus]],3,FALSE)</f>
        <v>Haridus</v>
      </c>
      <c r="F12" t="s">
        <v>638</v>
      </c>
      <c r="G12" t="s">
        <v>635</v>
      </c>
      <c r="H12">
        <v>221</v>
      </c>
      <c r="I12" t="s">
        <v>1670</v>
      </c>
      <c r="J12">
        <v>28</v>
      </c>
      <c r="K12" t="s">
        <v>1396</v>
      </c>
      <c r="L12">
        <v>0.75</v>
      </c>
      <c r="M12" s="40">
        <f>Table6[[#This Row],[ühik]]*Table6[[#This Row],[ühik3]]*Table6[[#This Row],[hind]]</f>
        <v>4641</v>
      </c>
      <c r="N12" t="s">
        <v>2030</v>
      </c>
      <c r="O12">
        <v>32206</v>
      </c>
      <c r="P12" t="str">
        <f>VLOOKUP(Table6[[#This Row],[Konto]],Table5[[Konto]:[Konto nimetus]],2,FALSE)</f>
        <v>Lasteaia toiduraha</v>
      </c>
      <c r="Q12">
        <v>32</v>
      </c>
      <c r="R12" t="str">
        <f t="shared" si="1"/>
        <v>32</v>
      </c>
      <c r="S12" t="str">
        <f>VLOOKUP(Table6[[#This Row],[Tulu/kulu liik2]],Table5[[Tulu/kulu liik]:[Kontode koondnimetus]],4,FALSE)</f>
        <v>Tulud kaupade ja teenuste müügist</v>
      </c>
      <c r="T12" t="str">
        <f>VLOOKUP(Table6[[#This Row],[Tulu/kulu liik2]],Table5[],6,FALSE)</f>
        <v>Tulud kaupade ja teenuste müügist</v>
      </c>
      <c r="U12" t="str">
        <f>VLOOKUP(Table6[[#This Row],[Tulu/kulu liik2]],Table5[],5,FALSE)</f>
        <v>Põhitegevuse tulu</v>
      </c>
    </row>
    <row r="13" spans="1:21" x14ac:dyDescent="0.25">
      <c r="A13" s="3" t="str">
        <f>LEFT(B13,2)</f>
        <v>09</v>
      </c>
      <c r="B13" t="s">
        <v>329</v>
      </c>
      <c r="C13" s="3" t="str">
        <f>VLOOKUP(B13,Table4[],2,FALSE)</f>
        <v xml:space="preserve"> Kulina Lasteaed</v>
      </c>
      <c r="D13" s="3" t="str">
        <f>VLOOKUP(Table6[[#This Row],[Tegevusala]],Table4[[Tegevusala kood]:[Tegevusala alanimetus]],4,FALSE)</f>
        <v>Alusharidus</v>
      </c>
      <c r="E13" s="3" t="str">
        <f>VLOOKUP(Table6[[#This Row],[Tegevusala]],Table4[[Tegevusala kood]:[Tegevusala alanimetus]],3,FALSE)</f>
        <v>Haridus</v>
      </c>
      <c r="F13" t="s">
        <v>638</v>
      </c>
      <c r="G13" t="s">
        <v>633</v>
      </c>
      <c r="H13">
        <v>14.4</v>
      </c>
      <c r="I13" t="s">
        <v>1396</v>
      </c>
      <c r="J13">
        <v>10.5</v>
      </c>
      <c r="K13" t="s">
        <v>1397</v>
      </c>
      <c r="L13">
        <v>20</v>
      </c>
      <c r="M13" s="40">
        <f>Table6[[#This Row],[ühik]]*Table6[[#This Row],[ühik3]]*Table6[[#This Row],[hind]]</f>
        <v>3024.0000000000005</v>
      </c>
      <c r="N13" t="s">
        <v>634</v>
      </c>
      <c r="O13" s="3">
        <v>32201</v>
      </c>
      <c r="P13" s="3" t="str">
        <f>VLOOKUP(Table6[[#This Row],[Konto]],Table5[[Konto]:[Konto nimetus]],2,FALSE)</f>
        <v>Lasteiatasu - õppekulu</v>
      </c>
      <c r="Q13" s="3">
        <v>32</v>
      </c>
      <c r="R13" s="3" t="str">
        <f>LEFT(O13,2)</f>
        <v>32</v>
      </c>
      <c r="S13" s="3" t="str">
        <f>VLOOKUP(Table6[[#This Row],[Tulu/kulu liik2]],Table5[[Tulu/kulu liik]:[Kontode koondnimetus]],4,FALSE)</f>
        <v>Tulud kaupade ja teenuste müügist</v>
      </c>
      <c r="T13" s="3" t="str">
        <f>VLOOKUP(Table6[[#This Row],[Tulu/kulu liik2]],Table5[],6,FALSE)</f>
        <v>Tulud kaupade ja teenuste müügist</v>
      </c>
      <c r="U13" s="3" t="str">
        <f>VLOOKUP(Table6[[#This Row],[Tulu/kulu liik2]],Table5[],5,FALSE)</f>
        <v>Põhitegevuse tulu</v>
      </c>
    </row>
    <row r="14" spans="1:21" x14ac:dyDescent="0.25">
      <c r="A14" t="str">
        <f t="shared" si="0"/>
        <v>09</v>
      </c>
      <c r="B14" t="s">
        <v>331</v>
      </c>
      <c r="C14" t="str">
        <f>VLOOKUP(B14,Table4[],2,FALSE)</f>
        <v xml:space="preserve"> Tudu Lasteaed</v>
      </c>
      <c r="D14" t="str">
        <f>VLOOKUP(Table6[[#This Row],[Tegevusala]],Table4[[Tegevusala kood]:[Tegevusala alanimetus]],4,FALSE)</f>
        <v>Alusharidus</v>
      </c>
      <c r="E14" t="str">
        <f>VLOOKUP(Table6[[#This Row],[Tegevusala]],Table4[[Tegevusala kood]:[Tegevusala alanimetus]],3,FALSE)</f>
        <v>Haridus</v>
      </c>
      <c r="F14" t="s">
        <v>639</v>
      </c>
      <c r="H14">
        <v>14.4</v>
      </c>
      <c r="I14" t="s">
        <v>1396</v>
      </c>
      <c r="J14">
        <v>10.5</v>
      </c>
      <c r="K14" t="s">
        <v>241</v>
      </c>
      <c r="L14">
        <v>20</v>
      </c>
      <c r="M14" s="40">
        <f>Table6[[#This Row],[ühik]]*Table6[[#This Row],[ühik3]]*Table6[[#This Row],[hind]]</f>
        <v>3024.0000000000005</v>
      </c>
      <c r="N14" t="s">
        <v>634</v>
      </c>
      <c r="O14">
        <v>32201</v>
      </c>
      <c r="P14" t="str">
        <f>VLOOKUP(Table6[[#This Row],[Konto]],Table5[[Konto]:[Konto nimetus]],2,FALSE)</f>
        <v>Lasteiatasu - õppekulu</v>
      </c>
      <c r="Q14">
        <v>32</v>
      </c>
      <c r="R14" t="str">
        <f t="shared" si="1"/>
        <v>32</v>
      </c>
      <c r="S14" t="str">
        <f>VLOOKUP(Table6[[#This Row],[Tulu/kulu liik2]],Table5[[Tulu/kulu liik]:[Kontode koondnimetus]],4,FALSE)</f>
        <v>Tulud kaupade ja teenuste müügist</v>
      </c>
      <c r="T14" t="str">
        <f>VLOOKUP(Table6[[#This Row],[Tulu/kulu liik2]],Table5[],6,FALSE)</f>
        <v>Tulud kaupade ja teenuste müügist</v>
      </c>
      <c r="U14" t="str">
        <f>VLOOKUP(Table6[[#This Row],[Tulu/kulu liik2]],Table5[],5,FALSE)</f>
        <v>Põhitegevuse tulu</v>
      </c>
    </row>
    <row r="15" spans="1:21" x14ac:dyDescent="0.25">
      <c r="A15" t="str">
        <f t="shared" si="0"/>
        <v>09</v>
      </c>
      <c r="B15" t="s">
        <v>335</v>
      </c>
      <c r="C15" t="str">
        <f>VLOOKUP(B15,Table4[],2,FALSE)</f>
        <v xml:space="preserve"> Laekvere Lasteaed</v>
      </c>
      <c r="D15" t="str">
        <f>VLOOKUP(Table6[[#This Row],[Tegevusala]],Table4[[Tegevusala kood]:[Tegevusala alanimetus]],4,FALSE)</f>
        <v>Alusharidus</v>
      </c>
      <c r="E15" t="str">
        <f>VLOOKUP(Table6[[#This Row],[Tegevusala]],Table4[[Tegevusala kood]:[Tegevusala alanimetus]],3,FALSE)</f>
        <v>Haridus</v>
      </c>
      <c r="F15" t="s">
        <v>639</v>
      </c>
      <c r="G15" t="s">
        <v>635</v>
      </c>
      <c r="H15">
        <v>221</v>
      </c>
      <c r="I15" t="s">
        <v>1670</v>
      </c>
      <c r="J15">
        <v>14.4</v>
      </c>
      <c r="K15" t="s">
        <v>1396</v>
      </c>
      <c r="L15">
        <v>1.28</v>
      </c>
      <c r="M15" s="40">
        <f>Table6[[#This Row],[ühik]]*Table6[[#This Row],[ühik3]]*Table6[[#This Row],[hind]]</f>
        <v>4073.4720000000002</v>
      </c>
      <c r="N15" t="s">
        <v>2030</v>
      </c>
      <c r="O15">
        <v>32206</v>
      </c>
      <c r="P15" t="str">
        <f>VLOOKUP(Table6[[#This Row],[Konto]],Table5[[Konto]:[Konto nimetus]],2,FALSE)</f>
        <v>Lasteaia toiduraha</v>
      </c>
      <c r="Q15">
        <v>32</v>
      </c>
      <c r="R15" t="str">
        <f t="shared" si="1"/>
        <v>32</v>
      </c>
      <c r="S15" t="str">
        <f>VLOOKUP(Table6[[#This Row],[Tulu/kulu liik2]],Table5[[Tulu/kulu liik]:[Kontode koondnimetus]],4,FALSE)</f>
        <v>Tulud kaupade ja teenuste müügist</v>
      </c>
      <c r="T15" t="str">
        <f>VLOOKUP(Table6[[#This Row],[Tulu/kulu liik2]],Table5[],6,FALSE)</f>
        <v>Tulud kaupade ja teenuste müügist</v>
      </c>
      <c r="U15" t="str">
        <f>VLOOKUP(Table6[[#This Row],[Tulu/kulu liik2]],Table5[],5,FALSE)</f>
        <v>Põhitegevuse tulu</v>
      </c>
    </row>
    <row r="16" spans="1:21" x14ac:dyDescent="0.25">
      <c r="A16" s="33" t="str">
        <f t="shared" si="0"/>
        <v>09</v>
      </c>
      <c r="B16" s="33" t="s">
        <v>335</v>
      </c>
      <c r="C16" s="33" t="str">
        <f>VLOOKUP(B16,Table4[],2,FALSE)</f>
        <v xml:space="preserve"> Laekvere Lasteaed</v>
      </c>
      <c r="D16" s="33" t="str">
        <f>VLOOKUP(Table6[[#This Row],[Tegevusala]],Table4[[Tegevusala kood]:[Tegevusala alanimetus]],4,FALSE)</f>
        <v>Alusharidus</v>
      </c>
      <c r="E16" s="33" t="str">
        <f>VLOOKUP(Table6[[#This Row],[Tegevusala]],Table4[[Tegevusala kood]:[Tegevusala alanimetus]],3,FALSE)</f>
        <v>Haridus</v>
      </c>
      <c r="F16" s="33" t="s">
        <v>640</v>
      </c>
      <c r="G16" s="33"/>
      <c r="H16" s="33">
        <v>41.6</v>
      </c>
      <c r="I16" s="33" t="s">
        <v>1396</v>
      </c>
      <c r="J16" s="33">
        <v>10.5</v>
      </c>
      <c r="K16" s="33" t="s">
        <v>1397</v>
      </c>
      <c r="L16" s="33">
        <v>20</v>
      </c>
      <c r="M16" s="47">
        <f>Table6[[#This Row],[ühik]]*Table6[[#This Row],[ühik3]]*Table6[[#This Row],[hind]]</f>
        <v>8736</v>
      </c>
      <c r="N16" s="33" t="s">
        <v>634</v>
      </c>
      <c r="O16" s="33">
        <v>32201</v>
      </c>
      <c r="P16" s="33" t="str">
        <f>VLOOKUP(Table6[[#This Row],[Konto]],Table5[[Konto]:[Konto nimetus]],2,FALSE)</f>
        <v>Lasteiatasu - õppekulu</v>
      </c>
      <c r="Q16" s="33">
        <v>32</v>
      </c>
      <c r="R16" s="33" t="str">
        <f t="shared" si="1"/>
        <v>32</v>
      </c>
      <c r="S16" s="33" t="str">
        <f>VLOOKUP(Table6[[#This Row],[Tulu/kulu liik2]],Table5[[Tulu/kulu liik]:[Kontode koondnimetus]],4,FALSE)</f>
        <v>Tulud kaupade ja teenuste müügist</v>
      </c>
      <c r="T16" s="33" t="str">
        <f>VLOOKUP(Table6[[#This Row],[Tulu/kulu liik2]],Table5[],6,FALSE)</f>
        <v>Tulud kaupade ja teenuste müügist</v>
      </c>
      <c r="U16" s="33" t="str">
        <f>VLOOKUP(Table6[[#This Row],[Tulu/kulu liik2]],Table5[],5,FALSE)</f>
        <v>Põhitegevuse tulu</v>
      </c>
    </row>
    <row r="17" spans="1:21" x14ac:dyDescent="0.25">
      <c r="A17" t="str">
        <f t="shared" si="0"/>
        <v>09</v>
      </c>
      <c r="B17" t="s">
        <v>335</v>
      </c>
      <c r="C17" t="str">
        <f>VLOOKUP(B17,Table4[],2,FALSE)</f>
        <v xml:space="preserve"> Laekvere Lasteaed</v>
      </c>
      <c r="D17" t="str">
        <f>VLOOKUP(Table6[[#This Row],[Tegevusala]],Table4[[Tegevusala kood]:[Tegevusala alanimetus]],4,FALSE)</f>
        <v>Alusharidus</v>
      </c>
      <c r="E17" t="str">
        <f>VLOOKUP(Table6[[#This Row],[Tegevusala]],Table4[[Tegevusala kood]:[Tegevusala alanimetus]],3,FALSE)</f>
        <v>Haridus</v>
      </c>
      <c r="F17" t="s">
        <v>640</v>
      </c>
      <c r="G17" t="s">
        <v>635</v>
      </c>
      <c r="H17">
        <v>221</v>
      </c>
      <c r="I17" t="s">
        <v>1670</v>
      </c>
      <c r="J17">
        <v>41.6</v>
      </c>
      <c r="K17" t="s">
        <v>1396</v>
      </c>
      <c r="L17">
        <v>0.85</v>
      </c>
      <c r="M17" s="40">
        <f>Table6[[#This Row],[ühik]]*Table6[[#This Row],[ühik3]]*Table6[[#This Row],[hind]]</f>
        <v>7814.56</v>
      </c>
      <c r="N17" t="s">
        <v>2030</v>
      </c>
      <c r="O17">
        <v>32206</v>
      </c>
      <c r="P17" t="str">
        <f>VLOOKUP(Table6[[#This Row],[Konto]],Table5[[Konto]:[Konto nimetus]],2,FALSE)</f>
        <v>Lasteaia toiduraha</v>
      </c>
      <c r="Q17">
        <v>32</v>
      </c>
      <c r="R17" t="str">
        <f t="shared" si="1"/>
        <v>32</v>
      </c>
      <c r="S17" t="str">
        <f>VLOOKUP(Table6[[#This Row],[Tulu/kulu liik2]],Table5[[Tulu/kulu liik]:[Kontode koondnimetus]],4,FALSE)</f>
        <v>Tulud kaupade ja teenuste müügist</v>
      </c>
      <c r="T17" t="str">
        <f>VLOOKUP(Table6[[#This Row],[Tulu/kulu liik2]],Table5[],6,FALSE)</f>
        <v>Tulud kaupade ja teenuste müügist</v>
      </c>
      <c r="U17" t="str">
        <f>VLOOKUP(Table6[[#This Row],[Tulu/kulu liik2]],Table5[],5,FALSE)</f>
        <v>Põhitegevuse tulu</v>
      </c>
    </row>
    <row r="18" spans="1:21" x14ac:dyDescent="0.25">
      <c r="A18" t="str">
        <f t="shared" si="0"/>
        <v>09</v>
      </c>
      <c r="B18" t="s">
        <v>245</v>
      </c>
      <c r="C18" t="str">
        <f>VLOOKUP(B18,Table4[],2,FALSE)</f>
        <v xml:space="preserve"> Roela Lasteaed</v>
      </c>
      <c r="D18" t="str">
        <f>VLOOKUP(Table6[[#This Row],[Tegevusala]],Table4[[Tegevusala kood]:[Tegevusala alanimetus]],4,FALSE)</f>
        <v>Alusharidus</v>
      </c>
      <c r="E18" t="str">
        <f>VLOOKUP(Table6[[#This Row],[Tegevusala]],Table4[[Tegevusala kood]:[Tegevusala alanimetus]],3,FALSE)</f>
        <v>Haridus</v>
      </c>
      <c r="F18" t="s">
        <v>641</v>
      </c>
      <c r="G18" t="s">
        <v>632</v>
      </c>
      <c r="H18">
        <v>32.4</v>
      </c>
      <c r="J18">
        <v>12</v>
      </c>
      <c r="K18" t="s">
        <v>1397</v>
      </c>
      <c r="L18">
        <v>20</v>
      </c>
      <c r="M18" s="40">
        <f>Table6[[#This Row],[ühik]]*Table6[[#This Row],[ühik3]]*Table6[[#This Row],[hind]]</f>
        <v>7775.9999999999991</v>
      </c>
      <c r="N18" t="s">
        <v>2031</v>
      </c>
      <c r="O18">
        <v>32201</v>
      </c>
      <c r="P18" t="str">
        <f>VLOOKUP(Table6[[#This Row],[Konto]],Table5[[Konto]:[Konto nimetus]],2,FALSE)</f>
        <v>Lasteiatasu - õppekulu</v>
      </c>
      <c r="Q18">
        <v>32</v>
      </c>
      <c r="R18" t="str">
        <f t="shared" si="1"/>
        <v>32</v>
      </c>
      <c r="S18" t="str">
        <f>VLOOKUP(Table6[[#This Row],[Tulu/kulu liik2]],Table5[[Tulu/kulu liik]:[Kontode koondnimetus]],4,FALSE)</f>
        <v>Tulud kaupade ja teenuste müügist</v>
      </c>
      <c r="T18" t="str">
        <f>VLOOKUP(Table6[[#This Row],[Tulu/kulu liik2]],Table5[],6,FALSE)</f>
        <v>Tulud kaupade ja teenuste müügist</v>
      </c>
      <c r="U18" t="str">
        <f>VLOOKUP(Table6[[#This Row],[Tulu/kulu liik2]],Table5[],5,FALSE)</f>
        <v>Põhitegevuse tulu</v>
      </c>
    </row>
    <row r="19" spans="1:21" x14ac:dyDescent="0.25">
      <c r="A19" t="str">
        <f t="shared" si="0"/>
        <v>09</v>
      </c>
      <c r="B19" t="s">
        <v>245</v>
      </c>
      <c r="C19" t="str">
        <f>VLOOKUP(B19,Table4[],2,FALSE)</f>
        <v xml:space="preserve"> Roela Lasteaed</v>
      </c>
      <c r="D19" t="str">
        <f>VLOOKUP(Table6[[#This Row],[Tegevusala]],Table4[[Tegevusala kood]:[Tegevusala alanimetus]],4,FALSE)</f>
        <v>Alusharidus</v>
      </c>
      <c r="E19" t="str">
        <f>VLOOKUP(Table6[[#This Row],[Tegevusala]],Table4[[Tegevusala kood]:[Tegevusala alanimetus]],3,FALSE)</f>
        <v>Haridus</v>
      </c>
      <c r="F19" t="s">
        <v>641</v>
      </c>
      <c r="G19" t="s">
        <v>635</v>
      </c>
      <c r="H19">
        <v>221</v>
      </c>
      <c r="I19" t="s">
        <v>1670</v>
      </c>
      <c r="J19">
        <v>28.8</v>
      </c>
      <c r="K19" t="s">
        <v>1396</v>
      </c>
      <c r="L19">
        <v>0.8</v>
      </c>
      <c r="M19" s="40">
        <f>Table6[[#This Row],[ühik]]*Table6[[#This Row],[ühik3]]*Table6[[#This Row],[hind]]</f>
        <v>5091.84</v>
      </c>
      <c r="N19" t="s">
        <v>2030</v>
      </c>
      <c r="O19">
        <v>32206</v>
      </c>
      <c r="P19" t="str">
        <f>VLOOKUP(Table6[[#This Row],[Konto]],Table5[[Konto]:[Konto nimetus]],2,FALSE)</f>
        <v>Lasteaia toiduraha</v>
      </c>
      <c r="Q19">
        <v>32</v>
      </c>
      <c r="R19" t="str">
        <f t="shared" si="1"/>
        <v>32</v>
      </c>
      <c r="S19" t="str">
        <f>VLOOKUP(Table6[[#This Row],[Tulu/kulu liik2]],Table5[[Tulu/kulu liik]:[Kontode koondnimetus]],4,FALSE)</f>
        <v>Tulud kaupade ja teenuste müügist</v>
      </c>
      <c r="T19" t="str">
        <f>VLOOKUP(Table6[[#This Row],[Tulu/kulu liik2]],Table5[],6,FALSE)</f>
        <v>Tulud kaupade ja teenuste müügist</v>
      </c>
      <c r="U19" t="str">
        <f>VLOOKUP(Table6[[#This Row],[Tulu/kulu liik2]],Table5[],5,FALSE)</f>
        <v>Põhitegevuse tulu</v>
      </c>
    </row>
    <row r="20" spans="1:21" x14ac:dyDescent="0.25">
      <c r="A20" s="3" t="str">
        <f t="shared" ref="A20:A25" si="2">LEFT(B20,2)</f>
        <v>01</v>
      </c>
      <c r="B20" t="s">
        <v>15</v>
      </c>
      <c r="C20" s="3" t="str">
        <f>VLOOKUP(B20,Table4[],2,FALSE)</f>
        <v xml:space="preserve"> Valla- ja linnavalitsus</v>
      </c>
      <c r="D20" s="3" t="str">
        <f>VLOOKUP(Table6[[#This Row],[Tegevusala]],Table4[[Tegevusala kood]:[Tegevusala alanimetus]],4,FALSE)</f>
        <v>Valla- ja linnavalitsus</v>
      </c>
      <c r="E20" s="3" t="str">
        <f>VLOOKUP(Table6[[#This Row],[Tegevusala]],Table4[[Tegevusala kood]:[Tegevusala alanimetus]],3,FALSE)</f>
        <v>Üldised valitsussektori teenused</v>
      </c>
      <c r="F20" t="s">
        <v>491</v>
      </c>
      <c r="G20" t="s">
        <v>78</v>
      </c>
      <c r="H20">
        <v>1</v>
      </c>
      <c r="I20" t="s">
        <v>241</v>
      </c>
      <c r="J20">
        <v>1.05</v>
      </c>
      <c r="L20" s="7">
        <v>5238779</v>
      </c>
      <c r="M20" s="40">
        <f>Table6[[#This Row],[ühik]]*Table6[[#This Row],[ühik3]]*Table6[[#This Row],[hind]]</f>
        <v>5500717.9500000002</v>
      </c>
      <c r="O20" s="3">
        <v>3000</v>
      </c>
      <c r="P20" s="3" t="str">
        <f>VLOOKUP(Table6[[#This Row],[Konto]],Table5[[Konto]:[Konto nimetus]],2,FALSE)</f>
        <v>Füüsilise isiku tulumaks</v>
      </c>
      <c r="Q20" s="3">
        <v>3000</v>
      </c>
      <c r="R20" s="3" t="str">
        <f t="shared" ref="R20:R25" si="3">LEFT(O20,2)</f>
        <v>30</v>
      </c>
      <c r="S20" s="3" t="str">
        <f>VLOOKUP(Table6[[#This Row],[Tulu/kulu liik2]],Table5[[Tulu/kulu liik]:[Kontode koondnimetus]],4,FALSE)</f>
        <v>Maksutulud</v>
      </c>
      <c r="T20" s="3" t="str">
        <f>VLOOKUP(Table6[[#This Row],[Tulu/kulu liik2]],Table5[],6,FALSE)</f>
        <v>Füüsilise isiku tulumaks</v>
      </c>
      <c r="U20" s="3" t="str">
        <f>VLOOKUP(Table6[[#This Row],[Tulu/kulu liik2]],Table5[],5,FALSE)</f>
        <v>Põhitegevuse tulu</v>
      </c>
    </row>
    <row r="21" spans="1:21" x14ac:dyDescent="0.25">
      <c r="A21" s="3" t="str">
        <f t="shared" si="2"/>
        <v>10</v>
      </c>
      <c r="B21" s="3" t="s">
        <v>372</v>
      </c>
      <c r="C21" s="3" t="str">
        <f>VLOOKUP(B21,Table4[],2,FALSE)</f>
        <v xml:space="preserve"> Tammiku Kodu</v>
      </c>
      <c r="D21" s="3" t="str">
        <f>VLOOKUP(Table6[[#This Row],[Tegevusala]],Table4[[Tegevusala kood]:[Tegevusala alanimetus]],4,FALSE)</f>
        <v>Eakate sotsiaalhoolekande asutused</v>
      </c>
      <c r="E21" s="3" t="str">
        <f>VLOOKUP(Table6[[#This Row],[Tegevusala]],Table4[[Tegevusala kood]:[Tegevusala alanimetus]],3,FALSE)</f>
        <v>Sotsiaalne kaitse</v>
      </c>
      <c r="F21" t="s">
        <v>1594</v>
      </c>
      <c r="G21" t="s">
        <v>634</v>
      </c>
      <c r="H21">
        <v>24</v>
      </c>
      <c r="I21" t="s">
        <v>2079</v>
      </c>
      <c r="J21">
        <v>12</v>
      </c>
      <c r="K21" t="s">
        <v>2080</v>
      </c>
      <c r="L21">
        <v>605</v>
      </c>
      <c r="M21" s="40">
        <f>Table6[[#This Row],[ühik]]*Table6[[#This Row],[ühik3]]*Table6[[#This Row],[hind]]</f>
        <v>174240</v>
      </c>
      <c r="O21" s="3">
        <v>3224</v>
      </c>
      <c r="P21" s="3" t="str">
        <f>VLOOKUP(Table6[[#This Row],[Konto]],Table5[[Konto]:[Konto nimetus]],2,FALSE)</f>
        <v>Tulud sotsiaalabi teenustest</v>
      </c>
      <c r="Q21" s="3">
        <v>32</v>
      </c>
      <c r="R21" s="3" t="str">
        <f t="shared" si="3"/>
        <v>32</v>
      </c>
      <c r="S21" s="3" t="str">
        <f>VLOOKUP(Table6[[#This Row],[Tulu/kulu liik2]],Table5[[Tulu/kulu liik]:[Kontode koondnimetus]],4,FALSE)</f>
        <v>Tulud kaupade ja teenuste müügist</v>
      </c>
      <c r="T21" s="3" t="str">
        <f>VLOOKUP(Table6[[#This Row],[Tulu/kulu liik2]],Table5[],6,FALSE)</f>
        <v>Tulud kaupade ja teenuste müügist</v>
      </c>
      <c r="U21" s="3" t="str">
        <f>VLOOKUP(Table6[[#This Row],[Tulu/kulu liik2]],Table5[],5,FALSE)</f>
        <v>Põhitegevuse tulu</v>
      </c>
    </row>
    <row r="22" spans="1:21" x14ac:dyDescent="0.25">
      <c r="A22" s="3" t="str">
        <f t="shared" si="2"/>
        <v>10</v>
      </c>
      <c r="B22" s="3" t="s">
        <v>374</v>
      </c>
      <c r="C22" s="3" t="str">
        <f>VLOOKUP(B22,Table4[],2,FALSE)</f>
        <v xml:space="preserve"> Ulvi Hooldekodu</v>
      </c>
      <c r="D22" s="3" t="str">
        <f>VLOOKUP(Table6[[#This Row],[Tegevusala]],Table4[[Tegevusala kood]:[Tegevusala alanimetus]],4,FALSE)</f>
        <v>Eakate sotsiaalhoolekande asutused</v>
      </c>
      <c r="E22" s="3" t="str">
        <f>VLOOKUP(Table6[[#This Row],[Tegevusala]],Table4[[Tegevusala kood]:[Tegevusala alanimetus]],3,FALSE)</f>
        <v>Sotsiaalne kaitse</v>
      </c>
      <c r="F22" t="s">
        <v>1641</v>
      </c>
      <c r="G22" t="s">
        <v>634</v>
      </c>
      <c r="H22">
        <v>30</v>
      </c>
      <c r="I22" t="s">
        <v>2079</v>
      </c>
      <c r="J22">
        <v>12</v>
      </c>
      <c r="K22" t="s">
        <v>2080</v>
      </c>
      <c r="L22">
        <v>630</v>
      </c>
      <c r="M22" s="40">
        <f>Table6[[#This Row],[ühik]]*Table6[[#This Row],[ühik3]]*Table6[[#This Row],[hind]]</f>
        <v>226800</v>
      </c>
      <c r="O22" s="3">
        <v>3224</v>
      </c>
      <c r="P22" s="3" t="str">
        <f>VLOOKUP(Table6[[#This Row],[Konto]],Table5[[Konto]:[Konto nimetus]],2,FALSE)</f>
        <v>Tulud sotsiaalabi teenustest</v>
      </c>
      <c r="Q22" s="3">
        <v>32</v>
      </c>
      <c r="R22" s="3" t="str">
        <f t="shared" si="3"/>
        <v>32</v>
      </c>
      <c r="S22" s="3" t="str">
        <f>VLOOKUP(Table6[[#This Row],[Tulu/kulu liik2]],Table5[[Tulu/kulu liik]:[Kontode koondnimetus]],4,FALSE)</f>
        <v>Tulud kaupade ja teenuste müügist</v>
      </c>
      <c r="T22" s="3" t="str">
        <f>VLOOKUP(Table6[[#This Row],[Tulu/kulu liik2]],Table5[],6,FALSE)</f>
        <v>Tulud kaupade ja teenuste müügist</v>
      </c>
      <c r="U22" s="3" t="str">
        <f>VLOOKUP(Table6[[#This Row],[Tulu/kulu liik2]],Table5[],5,FALSE)</f>
        <v>Põhitegevuse tulu</v>
      </c>
    </row>
    <row r="23" spans="1:21" x14ac:dyDescent="0.25">
      <c r="A23" s="3" t="str">
        <f t="shared" si="2"/>
        <v>01</v>
      </c>
      <c r="B23" t="s">
        <v>15</v>
      </c>
      <c r="C23" s="3" t="str">
        <f>VLOOKUP(B23,Table4[],2,FALSE)</f>
        <v xml:space="preserve"> Valla- ja linnavalitsus</v>
      </c>
      <c r="D23" s="3" t="str">
        <f>VLOOKUP(Table6[[#This Row],[Tegevusala]],Table4[[Tegevusala kood]:[Tegevusala alanimetus]],4,FALSE)</f>
        <v>Valla- ja linnavalitsus</v>
      </c>
      <c r="E23" s="3" t="str">
        <f>VLOOKUP(Table6[[#This Row],[Tegevusala]],Table4[[Tegevusala kood]:[Tegevusala alanimetus]],3,FALSE)</f>
        <v>Üldised valitsussektori teenused</v>
      </c>
      <c r="F23" t="s">
        <v>624</v>
      </c>
      <c r="G23" t="s">
        <v>1671</v>
      </c>
      <c r="H23">
        <v>1</v>
      </c>
      <c r="I23" t="s">
        <v>241</v>
      </c>
      <c r="J23">
        <v>1</v>
      </c>
      <c r="L23">
        <v>87300</v>
      </c>
      <c r="M23" s="40">
        <f>Table6[[#This Row],[ühik]]*Table6[[#This Row],[ühik3]]*Table6[[#This Row],[hind]]</f>
        <v>87300</v>
      </c>
      <c r="O23" s="3">
        <v>38251</v>
      </c>
      <c r="P23" s="3" t="str">
        <f>VLOOKUP(Table6[[#This Row],[Konto]],Table5[[Konto]:[Konto nimetus]],2,FALSE)</f>
        <v>Kohaliku tähtsusega maardlate kaevandamisõiguse tasu</v>
      </c>
      <c r="Q23" s="3">
        <v>38251</v>
      </c>
      <c r="R23" s="3" t="str">
        <f t="shared" si="3"/>
        <v>38</v>
      </c>
      <c r="S23" s="3" t="str">
        <f>VLOOKUP(Table6[[#This Row],[Tulu/kulu liik2]],Table5[[Tulu/kulu liik]:[Kontode koondnimetus]],4,FALSE)</f>
        <v>Muud tegevustulud</v>
      </c>
      <c r="T23" s="3" t="str">
        <f>VLOOKUP(Table6[[#This Row],[Tulu/kulu liik2]],Table5[],6,FALSE)</f>
        <v>Kohaliku tähtsusega maardlate kaevandamisõiguse tasu</v>
      </c>
      <c r="U23" s="3" t="str">
        <f>VLOOKUP(Table6[[#This Row],[Tulu/kulu liik2]],Table5[],5,FALSE)</f>
        <v>Põhitegevuse tulu</v>
      </c>
    </row>
    <row r="24" spans="1:21" x14ac:dyDescent="0.25">
      <c r="A24" s="3" t="str">
        <f t="shared" si="2"/>
        <v>01</v>
      </c>
      <c r="B24" t="s">
        <v>15</v>
      </c>
      <c r="C24" s="3" t="str">
        <f>VLOOKUP(B24,Table4[],2,FALSE)</f>
        <v xml:space="preserve"> Valla- ja linnavalitsus</v>
      </c>
      <c r="D24" s="3" t="str">
        <f>VLOOKUP(Table6[[#This Row],[Tegevusala]],Table4[[Tegevusala kood]:[Tegevusala alanimetus]],4,FALSE)</f>
        <v>Valla- ja linnavalitsus</v>
      </c>
      <c r="E24" s="3" t="str">
        <f>VLOOKUP(Table6[[#This Row],[Tegevusala]],Table4[[Tegevusala kood]:[Tegevusala alanimetus]],3,FALSE)</f>
        <v>Üldised valitsussektori teenused</v>
      </c>
      <c r="F24" t="s">
        <v>624</v>
      </c>
      <c r="G24" t="s">
        <v>2145</v>
      </c>
      <c r="H24">
        <v>1</v>
      </c>
      <c r="I24" t="s">
        <v>241</v>
      </c>
      <c r="J24">
        <v>1</v>
      </c>
      <c r="L24">
        <v>13300</v>
      </c>
      <c r="M24" s="40">
        <f>Table6[[#This Row],[ühik]]*Table6[[#This Row],[ühik3]]*Table6[[#This Row],[hind]]</f>
        <v>13300</v>
      </c>
      <c r="O24" s="3">
        <v>38254</v>
      </c>
      <c r="P24" s="3" t="str">
        <f>VLOOKUP(Table6[[#This Row],[Konto]],Table5[[Konto]:[Konto nimetus]],2,FALSE)</f>
        <v>Tasu vee erikasutusest</v>
      </c>
      <c r="Q24" s="3">
        <v>38254</v>
      </c>
      <c r="R24" s="3" t="str">
        <f t="shared" si="3"/>
        <v>38</v>
      </c>
      <c r="S24" s="3" t="str">
        <f>VLOOKUP(Table6[[#This Row],[Tulu/kulu liik2]],Table5[[Tulu/kulu liik]:[Kontode koondnimetus]],4,FALSE)</f>
        <v>Muud tegevustulud</v>
      </c>
      <c r="T24" s="3" t="str">
        <f>VLOOKUP(Table6[[#This Row],[Tulu/kulu liik2]],Table5[],6,FALSE)</f>
        <v>Laekumine vee erikasutusest</v>
      </c>
      <c r="U24" s="3" t="str">
        <f>VLOOKUP(Table6[[#This Row],[Tulu/kulu liik2]],Table5[],5,FALSE)</f>
        <v>Põhitegevuse tulu</v>
      </c>
    </row>
    <row r="25" spans="1:21" x14ac:dyDescent="0.25">
      <c r="A25" s="32" t="str">
        <f t="shared" si="2"/>
        <v>01</v>
      </c>
      <c r="B25" s="8" t="s">
        <v>15</v>
      </c>
      <c r="C25" s="32" t="str">
        <f>VLOOKUP(B25,Table4[],2,FALSE)</f>
        <v xml:space="preserve"> Valla- ja linnavalitsus</v>
      </c>
      <c r="D25" s="32" t="str">
        <f>VLOOKUP(Table6[[#This Row],[Tegevusala]],Table4[[Tegevusala kood]:[Tegevusala alanimetus]],4,FALSE)</f>
        <v>Valla- ja linnavalitsus</v>
      </c>
      <c r="E25" s="32" t="str">
        <f>VLOOKUP(Table6[[#This Row],[Tegevusala]],Table4[[Tegevusala kood]:[Tegevusala alanimetus]],3,FALSE)</f>
        <v>Üldised valitsussektori teenused</v>
      </c>
      <c r="F25" s="8" t="s">
        <v>624</v>
      </c>
      <c r="G25" s="8" t="s">
        <v>152</v>
      </c>
      <c r="H25" s="8"/>
      <c r="I25" s="8"/>
      <c r="J25" s="8"/>
      <c r="K25" s="8"/>
      <c r="L25" s="8"/>
      <c r="M25" s="43">
        <f>Table6[[#This Row],[ühik]]*Table6[[#This Row],[ühik3]]*Table6[[#This Row],[hind]]</f>
        <v>0</v>
      </c>
      <c r="N25" s="8"/>
      <c r="O25" s="32">
        <v>3882</v>
      </c>
      <c r="P25" s="32" t="str">
        <f>VLOOKUP(Table6[[#This Row],[Konto]],Table5[[Konto]:[Konto nimetus]],2,FALSE)</f>
        <v>Saastetasud</v>
      </c>
      <c r="Q25" s="32">
        <v>3882</v>
      </c>
      <c r="R25" s="32" t="str">
        <f t="shared" si="3"/>
        <v>38</v>
      </c>
      <c r="S25" s="32" t="str">
        <f>VLOOKUP(Table6[[#This Row],[Tulu/kulu liik2]],Table5[[Tulu/kulu liik]:[Kontode koondnimetus]],4,FALSE)</f>
        <v>Muud tegevustulud</v>
      </c>
      <c r="T25" s="32" t="str">
        <f>VLOOKUP(Table6[[#This Row],[Tulu/kulu liik2]],Table5[],6,FALSE)</f>
        <v>Saastetasud ja keskkonnale tekitatud kahju hüvitis</v>
      </c>
      <c r="U25" s="32" t="str">
        <f>VLOOKUP(Table6[[#This Row],[Tulu/kulu liik2]],Table5[],5,FALSE)</f>
        <v>Põhitegevuse tulu</v>
      </c>
    </row>
    <row r="26" spans="1:21" x14ac:dyDescent="0.25">
      <c r="A26" s="34" t="str">
        <f t="shared" ref="A26:A27" si="4">LEFT(B26,2)</f>
        <v>01</v>
      </c>
      <c r="B26" s="33" t="s">
        <v>15</v>
      </c>
      <c r="C26" s="34" t="str">
        <f>VLOOKUP(B26,Table4[],2,FALSE)</f>
        <v xml:space="preserve"> Valla- ja linnavalitsus</v>
      </c>
      <c r="D26" s="34" t="str">
        <f>VLOOKUP(Table6[[#This Row],[Tegevusala]],Table4[[Tegevusala kood]:[Tegevusala alanimetus]],4,FALSE)</f>
        <v>Valla- ja linnavalitsus</v>
      </c>
      <c r="E26" s="34" t="str">
        <f>VLOOKUP(Table6[[#This Row],[Tegevusala]],Table4[[Tegevusala kood]:[Tegevusala alanimetus]],3,FALSE)</f>
        <v>Üldised valitsussektori teenused</v>
      </c>
      <c r="F26" s="33" t="s">
        <v>624</v>
      </c>
      <c r="G26" s="33" t="s">
        <v>96</v>
      </c>
      <c r="H26" s="33">
        <v>12</v>
      </c>
      <c r="I26" s="33" t="s">
        <v>2080</v>
      </c>
      <c r="J26" s="33">
        <v>15</v>
      </c>
      <c r="K26" s="33" t="s">
        <v>2027</v>
      </c>
      <c r="L26" s="33">
        <v>30</v>
      </c>
      <c r="M26" s="47">
        <f>Table6[[#This Row],[ühik]]*Table6[[#This Row],[ühik3]]*Table6[[#This Row],[hind]]</f>
        <v>5400</v>
      </c>
      <c r="N26" s="33"/>
      <c r="O26" s="34">
        <v>320</v>
      </c>
      <c r="P26" s="34" t="str">
        <f>VLOOKUP(Table6[[#This Row],[Konto]],Table5[[Konto]:[Konto nimetus]],2,FALSE)</f>
        <v>Riigilõivud</v>
      </c>
      <c r="Q26" s="34">
        <v>32</v>
      </c>
      <c r="R26" s="34" t="str">
        <f t="shared" ref="R26:R27" si="5">LEFT(O26,2)</f>
        <v>32</v>
      </c>
      <c r="S26" s="34" t="str">
        <f>VLOOKUP(Table6[[#This Row],[Tulu/kulu liik2]],Table5[[Tulu/kulu liik]:[Kontode koondnimetus]],4,FALSE)</f>
        <v>Tulud kaupade ja teenuste müügist</v>
      </c>
      <c r="T26" s="34" t="str">
        <f>VLOOKUP(Table6[[#This Row],[Tulu/kulu liik2]],Table5[],6,FALSE)</f>
        <v>Tulud kaupade ja teenuste müügist</v>
      </c>
      <c r="U26" s="34" t="str">
        <f>VLOOKUP(Table6[[#This Row],[Tulu/kulu liik2]],Table5[],5,FALSE)</f>
        <v>Põhitegevuse tulu</v>
      </c>
    </row>
    <row r="27" spans="1:21" x14ac:dyDescent="0.25">
      <c r="A27" s="32" t="str">
        <f t="shared" si="4"/>
        <v>03</v>
      </c>
      <c r="B27" s="32" t="s">
        <v>27</v>
      </c>
      <c r="C27" s="32" t="str">
        <f>VLOOKUP(B27,Table4[],2,FALSE)</f>
        <v xml:space="preserve"> Päästeteenused</v>
      </c>
      <c r="D27" s="32" t="str">
        <f>VLOOKUP(Table6[[#This Row],[Tegevusala]],Table4[[Tegevusala kood]:[Tegevusala alanimetus]],4,FALSE)</f>
        <v>Päästeteenused</v>
      </c>
      <c r="E27" s="32" t="str">
        <f>VLOOKUP(Table6[[#This Row],[Tegevusala]],Table4[[Tegevusala kood]:[Tegevusala alanimetus]],3,FALSE)</f>
        <v>Avalik kord ja julgeolek</v>
      </c>
      <c r="F27" s="8" t="s">
        <v>770</v>
      </c>
      <c r="G27" s="8" t="s">
        <v>2128</v>
      </c>
      <c r="H27" s="8">
        <v>4</v>
      </c>
      <c r="I27" s="8" t="s">
        <v>2129</v>
      </c>
      <c r="J27" s="8">
        <v>1</v>
      </c>
      <c r="K27" s="8"/>
      <c r="L27" s="8">
        <v>900</v>
      </c>
      <c r="M27" s="43">
        <f>Table6[[#This Row],[ühik]]*Table6[[#This Row],[ühik3]]*Table6[[#This Row],[hind]]</f>
        <v>3600</v>
      </c>
      <c r="N27" s="8"/>
      <c r="O27" s="32">
        <v>3227</v>
      </c>
      <c r="P27" s="32" t="str">
        <f>VLOOKUP(Table6[[#This Row],[Konto]],Table5[[Konto]:[Konto nimetus]],2,FALSE)</f>
        <v>Laekumised korrakaitseasutuste majandustegevusest</v>
      </c>
      <c r="Q27" s="32">
        <v>32</v>
      </c>
      <c r="R27" s="32" t="str">
        <f t="shared" si="5"/>
        <v>32</v>
      </c>
      <c r="S27" s="32" t="str">
        <f>VLOOKUP(Table6[[#This Row],[Tulu/kulu liik2]],Table5[[Tulu/kulu liik]:[Kontode koondnimetus]],4,FALSE)</f>
        <v>Tulud kaupade ja teenuste müügist</v>
      </c>
      <c r="T27" s="32" t="str">
        <f>VLOOKUP(Table6[[#This Row],[Tulu/kulu liik2]],Table5[],6,FALSE)</f>
        <v>Tulud kaupade ja teenuste müügist</v>
      </c>
      <c r="U27" s="32" t="str">
        <f>VLOOKUP(Table6[[#This Row],[Tulu/kulu liik2]],Table5[],5,FALSE)</f>
        <v>Põhitegevuse tulu</v>
      </c>
    </row>
    <row r="28" spans="1:21" x14ac:dyDescent="0.25">
      <c r="A28" s="32" t="str">
        <f t="shared" ref="A28:A38" si="6">LEFT(B28,2)</f>
        <v>03</v>
      </c>
      <c r="B28" s="32" t="s">
        <v>27</v>
      </c>
      <c r="C28" s="32" t="str">
        <f>VLOOKUP(B28,Table4[],2,FALSE)</f>
        <v xml:space="preserve"> Päästeteenused</v>
      </c>
      <c r="D28" s="32" t="str">
        <f>VLOOKUP(Table6[[#This Row],[Tegevusala]],Table4[[Tegevusala kood]:[Tegevusala alanimetus]],4,FALSE)</f>
        <v>Päästeteenused</v>
      </c>
      <c r="E28" s="32" t="str">
        <f>VLOOKUP(Table6[[#This Row],[Tegevusala]],Table4[[Tegevusala kood]:[Tegevusala alanimetus]],3,FALSE)</f>
        <v>Avalik kord ja julgeolek</v>
      </c>
      <c r="F28" s="8" t="s">
        <v>770</v>
      </c>
      <c r="G28" s="8" t="s">
        <v>2130</v>
      </c>
      <c r="H28" s="8">
        <v>4</v>
      </c>
      <c r="I28" s="8" t="s">
        <v>2129</v>
      </c>
      <c r="J28" s="8">
        <v>1</v>
      </c>
      <c r="K28" s="8" t="s">
        <v>241</v>
      </c>
      <c r="L28" s="8">
        <v>290</v>
      </c>
      <c r="M28" s="43">
        <f>Table6[[#This Row],[ühik]]*Table6[[#This Row],[ühik3]]*Table6[[#This Row],[hind]]</f>
        <v>1160</v>
      </c>
      <c r="N28" s="8"/>
      <c r="O28" s="32">
        <v>3227</v>
      </c>
      <c r="P28" s="32" t="str">
        <f>VLOOKUP(Table6[[#This Row],[Konto]],Table5[[Konto]:[Konto nimetus]],2,FALSE)</f>
        <v>Laekumised korrakaitseasutuste majandustegevusest</v>
      </c>
      <c r="Q28" s="32">
        <v>32</v>
      </c>
      <c r="R28" s="32" t="str">
        <f t="shared" ref="R28:R38" si="7">LEFT(O28,2)</f>
        <v>32</v>
      </c>
      <c r="S28" s="32" t="str">
        <f>VLOOKUP(Table6[[#This Row],[Tulu/kulu liik2]],Table5[[Tulu/kulu liik]:[Kontode koondnimetus]],4,FALSE)</f>
        <v>Tulud kaupade ja teenuste müügist</v>
      </c>
      <c r="T28" s="32" t="str">
        <f>VLOOKUP(Table6[[#This Row],[Tulu/kulu liik2]],Table5[],6,FALSE)</f>
        <v>Tulud kaupade ja teenuste müügist</v>
      </c>
      <c r="U28" s="32" t="str">
        <f>VLOOKUP(Table6[[#This Row],[Tulu/kulu liik2]],Table5[],5,FALSE)</f>
        <v>Põhitegevuse tulu</v>
      </c>
    </row>
    <row r="29" spans="1:21" x14ac:dyDescent="0.25">
      <c r="A29" s="32" t="str">
        <f t="shared" si="6"/>
        <v>03</v>
      </c>
      <c r="B29" s="32" t="s">
        <v>27</v>
      </c>
      <c r="C29" s="32" t="str">
        <f>VLOOKUP(B29,Table4[],2,FALSE)</f>
        <v xml:space="preserve"> Päästeteenused</v>
      </c>
      <c r="D29" s="32" t="str">
        <f>VLOOKUP(Table6[[#This Row],[Tegevusala]],Table4[[Tegevusala kood]:[Tegevusala alanimetus]],4,FALSE)</f>
        <v>Päästeteenused</v>
      </c>
      <c r="E29" s="32" t="str">
        <f>VLOOKUP(Table6[[#This Row],[Tegevusala]],Table4[[Tegevusala kood]:[Tegevusala alanimetus]],3,FALSE)</f>
        <v>Avalik kord ja julgeolek</v>
      </c>
      <c r="F29" s="8" t="s">
        <v>770</v>
      </c>
      <c r="G29" s="8" t="s">
        <v>2131</v>
      </c>
      <c r="H29" s="8">
        <v>4</v>
      </c>
      <c r="I29" s="8" t="s">
        <v>2129</v>
      </c>
      <c r="J29" s="8">
        <v>1</v>
      </c>
      <c r="K29" s="8"/>
      <c r="L29" s="8">
        <v>225</v>
      </c>
      <c r="M29" s="43">
        <f>Table6[[#This Row],[ühik]]*Table6[[#This Row],[ühik3]]*Table6[[#This Row],[hind]]</f>
        <v>900</v>
      </c>
      <c r="N29" s="8"/>
      <c r="O29" s="32">
        <v>3227</v>
      </c>
      <c r="P29" s="32" t="str">
        <f>VLOOKUP(Table6[[#This Row],[Konto]],Table5[[Konto]:[Konto nimetus]],2,FALSE)</f>
        <v>Laekumised korrakaitseasutuste majandustegevusest</v>
      </c>
      <c r="Q29" s="32">
        <v>32</v>
      </c>
      <c r="R29" s="32" t="str">
        <f t="shared" si="7"/>
        <v>32</v>
      </c>
      <c r="S29" s="32" t="str">
        <f>VLOOKUP(Table6[[#This Row],[Tulu/kulu liik2]],Table5[[Tulu/kulu liik]:[Kontode koondnimetus]],4,FALSE)</f>
        <v>Tulud kaupade ja teenuste müügist</v>
      </c>
      <c r="T29" s="32" t="str">
        <f>VLOOKUP(Table6[[#This Row],[Tulu/kulu liik2]],Table5[],6,FALSE)</f>
        <v>Tulud kaupade ja teenuste müügist</v>
      </c>
      <c r="U29" s="32" t="str">
        <f>VLOOKUP(Table6[[#This Row],[Tulu/kulu liik2]],Table5[],5,FALSE)</f>
        <v>Põhitegevuse tulu</v>
      </c>
    </row>
    <row r="30" spans="1:21" x14ac:dyDescent="0.25">
      <c r="A30" s="3" t="str">
        <f t="shared" si="6"/>
        <v>01</v>
      </c>
      <c r="B30" s="8" t="s">
        <v>15</v>
      </c>
      <c r="C30" s="3" t="str">
        <f>VLOOKUP(B30,Table4[],2,FALSE)</f>
        <v xml:space="preserve"> Valla- ja linnavalitsus</v>
      </c>
      <c r="D30" s="3" t="str">
        <f>VLOOKUP(Table6[[#This Row],[Tegevusala]],Table4[[Tegevusala kood]:[Tegevusala alanimetus]],4,FALSE)</f>
        <v>Valla- ja linnavalitsus</v>
      </c>
      <c r="E30" s="3" t="str">
        <f>VLOOKUP(Table6[[#This Row],[Tegevusala]],Table4[[Tegevusala kood]:[Tegevusala alanimetus]],3,FALSE)</f>
        <v>Üldised valitsussektori teenused</v>
      </c>
      <c r="F30" s="8" t="s">
        <v>624</v>
      </c>
      <c r="G30" t="s">
        <v>2125</v>
      </c>
      <c r="H30">
        <v>12</v>
      </c>
      <c r="I30" t="s">
        <v>2080</v>
      </c>
      <c r="J30">
        <v>7</v>
      </c>
      <c r="K30" t="s">
        <v>2027</v>
      </c>
      <c r="L30">
        <v>24</v>
      </c>
      <c r="M30" s="40">
        <f>Table6[[#This Row],[ühik]]*Table6[[#This Row],[ühik3]]*Table6[[#This Row],[hind]]</f>
        <v>2016</v>
      </c>
      <c r="N30" t="s">
        <v>2126</v>
      </c>
      <c r="O30" s="3">
        <v>3225</v>
      </c>
      <c r="P30" s="3" t="str">
        <f>VLOOKUP(Table6[[#This Row],[Konto]],Table5[[Konto]:[Konto nimetus]],2,FALSE)</f>
        <v>Laekumised elamu- ja kommunaalasutuste majandustegevusest</v>
      </c>
      <c r="Q30" s="3">
        <v>32</v>
      </c>
      <c r="R30" s="3" t="str">
        <f t="shared" si="7"/>
        <v>32</v>
      </c>
      <c r="S30" s="3" t="str">
        <f>VLOOKUP(Table6[[#This Row],[Tulu/kulu liik2]],Table5[[Tulu/kulu liik]:[Kontode koondnimetus]],4,FALSE)</f>
        <v>Tulud kaupade ja teenuste müügist</v>
      </c>
      <c r="T30" s="3" t="str">
        <f>VLOOKUP(Table6[[#This Row],[Tulu/kulu liik2]],Table5[],6,FALSE)</f>
        <v>Tulud kaupade ja teenuste müügist</v>
      </c>
      <c r="U30" s="3" t="str">
        <f>VLOOKUP(Table6[[#This Row],[Tulu/kulu liik2]],Table5[],5,FALSE)</f>
        <v>Põhitegevuse tulu</v>
      </c>
    </row>
    <row r="31" spans="1:21" x14ac:dyDescent="0.25">
      <c r="A31" s="3" t="str">
        <f t="shared" si="6"/>
        <v>06</v>
      </c>
      <c r="B31" s="3" t="s">
        <v>265</v>
      </c>
      <c r="C31" s="3" t="str">
        <f>VLOOKUP(B31,Table4[],2,FALSE)</f>
        <v xml:space="preserve"> Saunad</v>
      </c>
      <c r="D31" s="3" t="str">
        <f>VLOOKUP(Table6[[#This Row],[Tegevusala]],Table4[[Tegevusala kood]:[Tegevusala alanimetus]],4,FALSE)</f>
        <v>Muu elamu- ja kommunaalmajanduse tegevus</v>
      </c>
      <c r="E31" s="3" t="str">
        <f>VLOOKUP(Table6[[#This Row],[Tegevusala]],Table4[[Tegevusala kood]:[Tegevusala alanimetus]],3,FALSE)</f>
        <v>Elamu- ja kommunaalmajandus</v>
      </c>
      <c r="F31" t="s">
        <v>992</v>
      </c>
      <c r="G31" t="s">
        <v>2132</v>
      </c>
      <c r="H31">
        <v>12</v>
      </c>
      <c r="I31" t="s">
        <v>2080</v>
      </c>
      <c r="J31">
        <v>1</v>
      </c>
      <c r="L31">
        <v>300</v>
      </c>
      <c r="M31" s="40">
        <f>Table6[[#This Row],[ühik]]*Table6[[#This Row],[ühik3]]*Table6[[#This Row],[hind]]</f>
        <v>3600</v>
      </c>
      <c r="O31" s="3">
        <v>3232</v>
      </c>
      <c r="P31" s="3" t="str">
        <f>VLOOKUP(Table6[[#This Row],[Konto]],Table5[[Konto]:[Konto nimetus]],2,FALSE)</f>
        <v>Laekumised muude majandusküsimustega tegelevate asutustega</v>
      </c>
      <c r="Q31" s="3">
        <v>32</v>
      </c>
      <c r="R31" s="3" t="str">
        <f t="shared" si="7"/>
        <v>32</v>
      </c>
      <c r="S31" s="3" t="str">
        <f>VLOOKUP(Table6[[#This Row],[Tulu/kulu liik2]],Table5[[Tulu/kulu liik]:[Kontode koondnimetus]],4,FALSE)</f>
        <v>Tulud kaupade ja teenuste müügist</v>
      </c>
      <c r="T31" s="3" t="str">
        <f>VLOOKUP(Table6[[#This Row],[Tulu/kulu liik2]],Table5[],6,FALSE)</f>
        <v>Tulud kaupade ja teenuste müügist</v>
      </c>
      <c r="U31" s="3" t="str">
        <f>VLOOKUP(Table6[[#This Row],[Tulu/kulu liik2]],Table5[],5,FALSE)</f>
        <v>Põhitegevuse tulu</v>
      </c>
    </row>
    <row r="32" spans="1:21" x14ac:dyDescent="0.25">
      <c r="A32" s="3" t="str">
        <f t="shared" si="6"/>
        <v>01</v>
      </c>
      <c r="B32" s="34" t="s">
        <v>15</v>
      </c>
      <c r="C32" s="3" t="str">
        <f>VLOOKUP(B32,Table4[],2,FALSE)</f>
        <v xml:space="preserve"> Valla- ja linnavalitsus</v>
      </c>
      <c r="D32" s="3" t="str">
        <f>VLOOKUP(Table6[[#This Row],[Tegevusala]],Table4[[Tegevusala kood]:[Tegevusala alanimetus]],4,FALSE)</f>
        <v>Valla- ja linnavalitsus</v>
      </c>
      <c r="E32" s="3" t="str">
        <f>VLOOKUP(Table6[[#This Row],[Tegevusala]],Table4[[Tegevusala kood]:[Tegevusala alanimetus]],3,FALSE)</f>
        <v>Üldised valitsussektori teenused</v>
      </c>
      <c r="F32" t="s">
        <v>624</v>
      </c>
      <c r="G32" t="s">
        <v>2134</v>
      </c>
      <c r="H32">
        <v>12</v>
      </c>
      <c r="I32" t="s">
        <v>2080</v>
      </c>
      <c r="J32">
        <v>1</v>
      </c>
      <c r="L32">
        <v>3500</v>
      </c>
      <c r="M32" s="40">
        <f>Table6[[#This Row],[ühik]]*Table6[[#This Row],[ühik3]]*Table6[[#This Row],[hind]]</f>
        <v>42000</v>
      </c>
      <c r="O32" s="3">
        <v>3233</v>
      </c>
      <c r="P32" s="3" t="str">
        <f>VLOOKUP(Table6[[#This Row],[Konto]],Table5[[Konto]:[Konto nimetus]],2,FALSE)</f>
        <v>Üüri- ja renditulud</v>
      </c>
      <c r="Q32" s="3">
        <v>32</v>
      </c>
      <c r="R32" s="3" t="str">
        <f t="shared" si="7"/>
        <v>32</v>
      </c>
      <c r="S32" s="3" t="str">
        <f>VLOOKUP(Table6[[#This Row],[Tulu/kulu liik2]],Table5[[Tulu/kulu liik]:[Kontode koondnimetus]],4,FALSE)</f>
        <v>Tulud kaupade ja teenuste müügist</v>
      </c>
      <c r="T32" s="3" t="str">
        <f>VLOOKUP(Table6[[#This Row],[Tulu/kulu liik2]],Table5[],6,FALSE)</f>
        <v>Tulud kaupade ja teenuste müügist</v>
      </c>
      <c r="U32" s="3" t="str">
        <f>VLOOKUP(Table6[[#This Row],[Tulu/kulu liik2]],Table5[],5,FALSE)</f>
        <v>Põhitegevuse tulu</v>
      </c>
    </row>
    <row r="33" spans="1:21" x14ac:dyDescent="0.25">
      <c r="A33" s="3" t="str">
        <f t="shared" si="6"/>
        <v>01</v>
      </c>
      <c r="B33" s="34" t="s">
        <v>15</v>
      </c>
      <c r="C33" s="3" t="str">
        <f>VLOOKUP(B33,Table4[],2,FALSE)</f>
        <v xml:space="preserve"> Valla- ja linnavalitsus</v>
      </c>
      <c r="D33" s="3" t="str">
        <f>VLOOKUP(Table6[[#This Row],[Tegevusala]],Table4[[Tegevusala kood]:[Tegevusala alanimetus]],4,FALSE)</f>
        <v>Valla- ja linnavalitsus</v>
      </c>
      <c r="E33" s="3" t="str">
        <f>VLOOKUP(Table6[[#This Row],[Tegevusala]],Table4[[Tegevusala kood]:[Tegevusala alanimetus]],3,FALSE)</f>
        <v>Üldised valitsussektori teenused</v>
      </c>
      <c r="F33" t="s">
        <v>624</v>
      </c>
      <c r="G33" t="s">
        <v>2136</v>
      </c>
      <c r="H33">
        <v>12</v>
      </c>
      <c r="I33" t="s">
        <v>2080</v>
      </c>
      <c r="J33">
        <v>1</v>
      </c>
      <c r="L33">
        <v>800</v>
      </c>
      <c r="M33" s="40">
        <f>Table6[[#This Row],[ühik]]*Table6[[#This Row],[ühik3]]*Table6[[#This Row],[hind]]</f>
        <v>9600</v>
      </c>
      <c r="O33" s="3">
        <v>3233</v>
      </c>
      <c r="P33" s="3" t="str">
        <f>VLOOKUP(Table6[[#This Row],[Konto]],Table5[[Konto]:[Konto nimetus]],2,FALSE)</f>
        <v>Üüri- ja renditulud</v>
      </c>
      <c r="Q33" s="3">
        <v>32</v>
      </c>
      <c r="R33" s="3" t="str">
        <f t="shared" si="7"/>
        <v>32</v>
      </c>
      <c r="S33" s="3" t="str">
        <f>VLOOKUP(Table6[[#This Row],[Tulu/kulu liik2]],Table5[[Tulu/kulu liik]:[Kontode koondnimetus]],4,FALSE)</f>
        <v>Tulud kaupade ja teenuste müügist</v>
      </c>
      <c r="T33" s="3" t="str">
        <f>VLOOKUP(Table6[[#This Row],[Tulu/kulu liik2]],Table5[],6,FALSE)</f>
        <v>Tulud kaupade ja teenuste müügist</v>
      </c>
      <c r="U33" s="3" t="str">
        <f>VLOOKUP(Table6[[#This Row],[Tulu/kulu liik2]],Table5[],5,FALSE)</f>
        <v>Põhitegevuse tulu</v>
      </c>
    </row>
    <row r="34" spans="1:21" x14ac:dyDescent="0.25">
      <c r="A34" s="3" t="str">
        <f t="shared" si="6"/>
        <v>01</v>
      </c>
      <c r="B34" s="34" t="s">
        <v>15</v>
      </c>
      <c r="C34" s="3" t="str">
        <f>VLOOKUP(B34,Table4[],2,FALSE)</f>
        <v xml:space="preserve"> Valla- ja linnavalitsus</v>
      </c>
      <c r="D34" s="3" t="str">
        <f>VLOOKUP(Table6[[#This Row],[Tegevusala]],Table4[[Tegevusala kood]:[Tegevusala alanimetus]],4,FALSE)</f>
        <v>Valla- ja linnavalitsus</v>
      </c>
      <c r="E34" s="3" t="str">
        <f>VLOOKUP(Table6[[#This Row],[Tegevusala]],Table4[[Tegevusala kood]:[Tegevusala alanimetus]],3,FALSE)</f>
        <v>Üldised valitsussektori teenused</v>
      </c>
      <c r="F34" t="s">
        <v>624</v>
      </c>
      <c r="G34" t="s">
        <v>2137</v>
      </c>
      <c r="H34">
        <v>12</v>
      </c>
      <c r="I34" t="s">
        <v>2080</v>
      </c>
      <c r="J34">
        <v>1</v>
      </c>
      <c r="L34">
        <v>500</v>
      </c>
      <c r="M34" s="40">
        <f>Table6[[#This Row],[ühik]]*Table6[[#This Row],[ühik3]]*Table6[[#This Row],[hind]]</f>
        <v>6000</v>
      </c>
      <c r="O34" s="3">
        <v>3233</v>
      </c>
      <c r="P34" s="3" t="str">
        <f>VLOOKUP(Table6[[#This Row],[Konto]],Table5[[Konto]:[Konto nimetus]],2,FALSE)</f>
        <v>Üüri- ja renditulud</v>
      </c>
      <c r="Q34" s="3">
        <v>32</v>
      </c>
      <c r="R34" s="3" t="str">
        <f t="shared" si="7"/>
        <v>32</v>
      </c>
      <c r="S34" s="3" t="str">
        <f>VLOOKUP(Table6[[#This Row],[Tulu/kulu liik2]],Table5[[Tulu/kulu liik]:[Kontode koondnimetus]],4,FALSE)</f>
        <v>Tulud kaupade ja teenuste müügist</v>
      </c>
      <c r="T34" s="3" t="str">
        <f>VLOOKUP(Table6[[#This Row],[Tulu/kulu liik2]],Table5[],6,FALSE)</f>
        <v>Tulud kaupade ja teenuste müügist</v>
      </c>
      <c r="U34" s="3" t="str">
        <f>VLOOKUP(Table6[[#This Row],[Tulu/kulu liik2]],Table5[],5,FALSE)</f>
        <v>Põhitegevuse tulu</v>
      </c>
    </row>
    <row r="35" spans="1:21" x14ac:dyDescent="0.25">
      <c r="A35" s="3" t="str">
        <f t="shared" si="6"/>
        <v>01</v>
      </c>
      <c r="B35" s="34" t="s">
        <v>15</v>
      </c>
      <c r="C35" s="3" t="str">
        <f>VLOOKUP(B35,Table4[],2,FALSE)</f>
        <v xml:space="preserve"> Valla- ja linnavalitsus</v>
      </c>
      <c r="D35" s="3" t="str">
        <f>VLOOKUP(Table6[[#This Row],[Tegevusala]],Table4[[Tegevusala kood]:[Tegevusala alanimetus]],4,FALSE)</f>
        <v>Valla- ja linnavalitsus</v>
      </c>
      <c r="E35" s="3" t="str">
        <f>VLOOKUP(Table6[[#This Row],[Tegevusala]],Table4[[Tegevusala kood]:[Tegevusala alanimetus]],3,FALSE)</f>
        <v>Üldised valitsussektori teenused</v>
      </c>
      <c r="F35" t="s">
        <v>624</v>
      </c>
      <c r="G35" t="s">
        <v>2138</v>
      </c>
      <c r="H35">
        <v>12</v>
      </c>
      <c r="I35" t="s">
        <v>2080</v>
      </c>
      <c r="J35">
        <v>1</v>
      </c>
      <c r="L35">
        <v>110</v>
      </c>
      <c r="M35" s="40">
        <f>Table6[[#This Row],[ühik]]*Table6[[#This Row],[ühik3]]*Table6[[#This Row],[hind]]</f>
        <v>1320</v>
      </c>
      <c r="O35" s="3">
        <v>3233</v>
      </c>
      <c r="P35" s="3" t="str">
        <f>VLOOKUP(Table6[[#This Row],[Konto]],Table5[[Konto]:[Konto nimetus]],2,FALSE)</f>
        <v>Üüri- ja renditulud</v>
      </c>
      <c r="Q35" s="3">
        <v>32</v>
      </c>
      <c r="R35" s="3" t="str">
        <f t="shared" si="7"/>
        <v>32</v>
      </c>
      <c r="S35" s="3" t="str">
        <f>VLOOKUP(Table6[[#This Row],[Tulu/kulu liik2]],Table5[[Tulu/kulu liik]:[Kontode koondnimetus]],4,FALSE)</f>
        <v>Tulud kaupade ja teenuste müügist</v>
      </c>
      <c r="T35" s="3" t="str">
        <f>VLOOKUP(Table6[[#This Row],[Tulu/kulu liik2]],Table5[],6,FALSE)</f>
        <v>Tulud kaupade ja teenuste müügist</v>
      </c>
      <c r="U35" s="3" t="str">
        <f>VLOOKUP(Table6[[#This Row],[Tulu/kulu liik2]],Table5[],5,FALSE)</f>
        <v>Põhitegevuse tulu</v>
      </c>
    </row>
    <row r="36" spans="1:21" x14ac:dyDescent="0.25">
      <c r="A36" s="3" t="str">
        <f t="shared" si="6"/>
        <v>01</v>
      </c>
      <c r="B36" s="34" t="s">
        <v>15</v>
      </c>
      <c r="C36" s="3" t="str">
        <f>VLOOKUP(B36,Table4[],2,FALSE)</f>
        <v xml:space="preserve"> Valla- ja linnavalitsus</v>
      </c>
      <c r="D36" s="3" t="str">
        <f>VLOOKUP(Table6[[#This Row],[Tegevusala]],Table4[[Tegevusala kood]:[Tegevusala alanimetus]],4,FALSE)</f>
        <v>Valla- ja linnavalitsus</v>
      </c>
      <c r="E36" s="3" t="str">
        <f>VLOOKUP(Table6[[#This Row],[Tegevusala]],Table4[[Tegevusala kood]:[Tegevusala alanimetus]],3,FALSE)</f>
        <v>Üldised valitsussektori teenused</v>
      </c>
      <c r="F36" t="s">
        <v>624</v>
      </c>
      <c r="G36" t="s">
        <v>2139</v>
      </c>
      <c r="H36">
        <v>12</v>
      </c>
      <c r="I36" t="s">
        <v>2080</v>
      </c>
      <c r="J36">
        <v>1</v>
      </c>
      <c r="L36">
        <v>930</v>
      </c>
      <c r="M36" s="40">
        <f>Table6[[#This Row],[ühik]]*Table6[[#This Row],[ühik3]]*Table6[[#This Row],[hind]]</f>
        <v>11160</v>
      </c>
      <c r="O36" s="3">
        <v>3233</v>
      </c>
      <c r="P36" s="3" t="str">
        <f>VLOOKUP(Table6[[#This Row],[Konto]],Table5[[Konto]:[Konto nimetus]],2,FALSE)</f>
        <v>Üüri- ja renditulud</v>
      </c>
      <c r="Q36" s="3">
        <v>32</v>
      </c>
      <c r="R36" s="3" t="str">
        <f t="shared" si="7"/>
        <v>32</v>
      </c>
      <c r="S36" s="3" t="str">
        <f>VLOOKUP(Table6[[#This Row],[Tulu/kulu liik2]],Table5[[Tulu/kulu liik]:[Kontode koondnimetus]],4,FALSE)</f>
        <v>Tulud kaupade ja teenuste müügist</v>
      </c>
      <c r="T36" s="3" t="str">
        <f>VLOOKUP(Table6[[#This Row],[Tulu/kulu liik2]],Table5[],6,FALSE)</f>
        <v>Tulud kaupade ja teenuste müügist</v>
      </c>
      <c r="U36" s="3" t="str">
        <f>VLOOKUP(Table6[[#This Row],[Tulu/kulu liik2]],Table5[],5,FALSE)</f>
        <v>Põhitegevuse tulu</v>
      </c>
    </row>
    <row r="37" spans="1:21" x14ac:dyDescent="0.25">
      <c r="A37" s="3" t="str">
        <f t="shared" si="6"/>
        <v>01</v>
      </c>
      <c r="B37" s="34" t="s">
        <v>15</v>
      </c>
      <c r="C37" s="3" t="str">
        <f>VLOOKUP(B37,Table4[],2,FALSE)</f>
        <v xml:space="preserve"> Valla- ja linnavalitsus</v>
      </c>
      <c r="D37" s="3" t="str">
        <f>VLOOKUP(Table6[[#This Row],[Tegevusala]],Table4[[Tegevusala kood]:[Tegevusala alanimetus]],4,FALSE)</f>
        <v>Valla- ja linnavalitsus</v>
      </c>
      <c r="E37" s="3" t="str">
        <f>VLOOKUP(Table6[[#This Row],[Tegevusala]],Table4[[Tegevusala kood]:[Tegevusala alanimetus]],3,FALSE)</f>
        <v>Üldised valitsussektori teenused</v>
      </c>
      <c r="F37" t="s">
        <v>624</v>
      </c>
      <c r="G37" t="s">
        <v>2140</v>
      </c>
      <c r="H37">
        <v>12</v>
      </c>
      <c r="I37" t="s">
        <v>2080</v>
      </c>
      <c r="J37">
        <v>1</v>
      </c>
      <c r="L37">
        <v>47.93</v>
      </c>
      <c r="M37" s="40">
        <f>Table6[[#This Row],[ühik]]*Table6[[#This Row],[ühik3]]*Table6[[#This Row],[hind]]</f>
        <v>575.16</v>
      </c>
      <c r="O37" s="3">
        <v>3233</v>
      </c>
      <c r="P37" s="3" t="str">
        <f>VLOOKUP(Table6[[#This Row],[Konto]],Table5[[Konto]:[Konto nimetus]],2,FALSE)</f>
        <v>Üüri- ja renditulud</v>
      </c>
      <c r="Q37" s="3">
        <v>32</v>
      </c>
      <c r="R37" s="3" t="str">
        <f t="shared" si="7"/>
        <v>32</v>
      </c>
      <c r="S37" s="3" t="str">
        <f>VLOOKUP(Table6[[#This Row],[Tulu/kulu liik2]],Table5[[Tulu/kulu liik]:[Kontode koondnimetus]],4,FALSE)</f>
        <v>Tulud kaupade ja teenuste müügist</v>
      </c>
      <c r="T37" s="3" t="str">
        <f>VLOOKUP(Table6[[#This Row],[Tulu/kulu liik2]],Table5[],6,FALSE)</f>
        <v>Tulud kaupade ja teenuste müügist</v>
      </c>
      <c r="U37" s="3" t="str">
        <f>VLOOKUP(Table6[[#This Row],[Tulu/kulu liik2]],Table5[],5,FALSE)</f>
        <v>Põhitegevuse tulu</v>
      </c>
    </row>
    <row r="38" spans="1:21" x14ac:dyDescent="0.25">
      <c r="A38" s="3" t="str">
        <f t="shared" si="6"/>
        <v>01</v>
      </c>
      <c r="B38" s="34" t="s">
        <v>15</v>
      </c>
      <c r="C38" s="3" t="str">
        <f>VLOOKUP(B38,Table4[],2,FALSE)</f>
        <v xml:space="preserve"> Valla- ja linnavalitsus</v>
      </c>
      <c r="D38" s="3" t="str">
        <f>VLOOKUP(Table6[[#This Row],[Tegevusala]],Table4[[Tegevusala kood]:[Tegevusala alanimetus]],4,FALSE)</f>
        <v>Valla- ja linnavalitsus</v>
      </c>
      <c r="E38" s="3" t="str">
        <f>VLOOKUP(Table6[[#This Row],[Tegevusala]],Table4[[Tegevusala kood]:[Tegevusala alanimetus]],3,FALSE)</f>
        <v>Üldised valitsussektori teenused</v>
      </c>
      <c r="F38" t="s">
        <v>462</v>
      </c>
      <c r="G38" t="s">
        <v>2141</v>
      </c>
      <c r="H38">
        <v>12</v>
      </c>
      <c r="I38" t="s">
        <v>2080</v>
      </c>
      <c r="J38">
        <v>1</v>
      </c>
      <c r="L38">
        <v>520</v>
      </c>
      <c r="M38" s="40">
        <f>Table6[[#This Row],[ühik]]*Table6[[#This Row],[ühik3]]*Table6[[#This Row],[hind]]</f>
        <v>6240</v>
      </c>
      <c r="O38" s="3">
        <v>3224</v>
      </c>
      <c r="P38" s="3" t="str">
        <f>VLOOKUP(Table6[[#This Row],[Konto]],Table5[[Konto]:[Konto nimetus]],2,FALSE)</f>
        <v>Tulud sotsiaalabi teenustest</v>
      </c>
      <c r="Q38" s="3">
        <v>32</v>
      </c>
      <c r="R38" s="3" t="str">
        <f t="shared" si="7"/>
        <v>32</v>
      </c>
      <c r="S38" s="3" t="str">
        <f>VLOOKUP(Table6[[#This Row],[Tulu/kulu liik2]],Table5[[Tulu/kulu liik]:[Kontode koondnimetus]],4,FALSE)</f>
        <v>Tulud kaupade ja teenuste müügist</v>
      </c>
      <c r="T38" s="3" t="str">
        <f>VLOOKUP(Table6[[#This Row],[Tulu/kulu liik2]],Table5[],6,FALSE)</f>
        <v>Tulud kaupade ja teenuste müügist</v>
      </c>
      <c r="U38" s="3" t="str">
        <f>VLOOKUP(Table6[[#This Row],[Tulu/kulu liik2]],Table5[],5,FALSE)</f>
        <v>Põhitegevuse tulu</v>
      </c>
    </row>
    <row r="39" spans="1:21" x14ac:dyDescent="0.25">
      <c r="A39" s="3" t="str">
        <f>LEFT(B39,2)</f>
        <v>01</v>
      </c>
      <c r="B39" s="34" t="s">
        <v>15</v>
      </c>
      <c r="C39" s="3" t="str">
        <f>VLOOKUP(B39,Table4[],2,FALSE)</f>
        <v xml:space="preserve"> Valla- ja linnavalitsus</v>
      </c>
      <c r="D39" s="3" t="str">
        <f>VLOOKUP(Table6[[#This Row],[Tegevusala]],Table4[[Tegevusala kood]:[Tegevusala alanimetus]],4,FALSE)</f>
        <v>Valla- ja linnavalitsus</v>
      </c>
      <c r="E39" s="3" t="str">
        <f>VLOOKUP(Table6[[#This Row],[Tegevusala]],Table4[[Tegevusala kood]:[Tegevusala alanimetus]],3,FALSE)</f>
        <v>Üldised valitsussektori teenused</v>
      </c>
      <c r="F39" t="s">
        <v>624</v>
      </c>
      <c r="G39" t="s">
        <v>2229</v>
      </c>
      <c r="H39">
        <v>1</v>
      </c>
      <c r="I39" t="s">
        <v>241</v>
      </c>
      <c r="J39">
        <v>1</v>
      </c>
      <c r="L39">
        <v>5000</v>
      </c>
      <c r="M39" s="40">
        <f>Table6[[#This Row],[ühik]]*Table6[[#This Row],[ühik3]]*Table6[[#This Row],[hind]]</f>
        <v>5000</v>
      </c>
      <c r="O39" s="3">
        <v>3500</v>
      </c>
      <c r="P39" s="3" t="str">
        <f>VLOOKUP(Table6[[#This Row],[Konto]],Table5[[Konto]:[Konto nimetus]],2,FALSE)</f>
        <v>Sihtotstarbelised toetused jooksvateks kuludeks</v>
      </c>
      <c r="Q39" s="3">
        <v>3500</v>
      </c>
      <c r="R39" s="3" t="str">
        <f>LEFT(O39,2)</f>
        <v>35</v>
      </c>
      <c r="S39" s="3" t="str">
        <f>VLOOKUP(Table6[[#This Row],[Tulu/kulu liik2]],Table5[[Tulu/kulu liik]:[Kontode koondnimetus]],4,FALSE)</f>
        <v>Muud saadud toetused tegevuskuludeks</v>
      </c>
      <c r="T39" s="3" t="str">
        <f>VLOOKUP(Table6[[#This Row],[Tulu/kulu liik2]],Table5[],6,FALSE)</f>
        <v>Muud saadud toetused tegevuskuludeks</v>
      </c>
      <c r="U39" s="3" t="str">
        <f>VLOOKUP(Table6[[#This Row],[Tulu/kulu liik2]],Table5[],5,FALSE)</f>
        <v>Põhitegevuse tulu</v>
      </c>
    </row>
    <row r="40" spans="1:21" x14ac:dyDescent="0.25">
      <c r="A40" s="3" t="str">
        <f>LEFT(B40,2)</f>
        <v>01</v>
      </c>
      <c r="B40" s="34" t="s">
        <v>15</v>
      </c>
      <c r="C40" s="3" t="str">
        <f>VLOOKUP(B40,Table4[],2,FALSE)</f>
        <v xml:space="preserve"> Valla- ja linnavalitsus</v>
      </c>
      <c r="D40" s="3" t="str">
        <f>VLOOKUP(Table6[[#This Row],[Tegevusala]],Table4[[Tegevusala kood]:[Tegevusala alanimetus]],4,FALSE)</f>
        <v>Valla- ja linnavalitsus</v>
      </c>
      <c r="E40" s="3" t="str">
        <f>VLOOKUP(Table6[[#This Row],[Tegevusala]],Table4[[Tegevusala kood]:[Tegevusala alanimetus]],3,FALSE)</f>
        <v>Üldised valitsussektori teenused</v>
      </c>
      <c r="F40" t="s">
        <v>624</v>
      </c>
      <c r="G40" t="s">
        <v>2230</v>
      </c>
      <c r="H40">
        <v>1</v>
      </c>
      <c r="I40" t="s">
        <v>241</v>
      </c>
      <c r="J40">
        <v>1</v>
      </c>
      <c r="L40">
        <v>6000</v>
      </c>
      <c r="M40" s="40">
        <f>Table6[[#This Row],[ühik]]*Table6[[#This Row],[ühik3]]*Table6[[#This Row],[hind]]</f>
        <v>6000</v>
      </c>
      <c r="O40" s="3">
        <v>3500</v>
      </c>
      <c r="P40" s="3" t="str">
        <f>VLOOKUP(Table6[[#This Row],[Konto]],Table5[[Konto]:[Konto nimetus]],2,FALSE)</f>
        <v>Sihtotstarbelised toetused jooksvateks kuludeks</v>
      </c>
      <c r="Q40" s="3">
        <v>3500</v>
      </c>
      <c r="R40" s="3" t="str">
        <f>LEFT(O40,2)</f>
        <v>35</v>
      </c>
      <c r="S40" s="3" t="str">
        <f>VLOOKUP(Table6[[#This Row],[Tulu/kulu liik2]],Table5[[Tulu/kulu liik]:[Kontode koondnimetus]],4,FALSE)</f>
        <v>Muud saadud toetused tegevuskuludeks</v>
      </c>
      <c r="T40" s="3" t="str">
        <f>VLOOKUP(Table6[[#This Row],[Tulu/kulu liik2]],Table5[],6,FALSE)</f>
        <v>Muud saadud toetused tegevuskuludeks</v>
      </c>
      <c r="U40" s="3" t="str">
        <f>VLOOKUP(Table6[[#This Row],[Tulu/kulu liik2]],Table5[],5,FALSE)</f>
        <v>Põhitegevuse tulu</v>
      </c>
    </row>
    <row r="41" spans="1:21" x14ac:dyDescent="0.25">
      <c r="A41" s="3" t="str">
        <f>LEFT(B41,2)</f>
        <v>09</v>
      </c>
      <c r="B41" s="3" t="s">
        <v>353</v>
      </c>
      <c r="C41" s="3" t="str">
        <f>VLOOKUP(B41,Table4[],2,FALSE)</f>
        <v xml:space="preserve"> Roela Õpilaskodu</v>
      </c>
      <c r="D41" s="3" t="str">
        <f>VLOOKUP(Table6[[#This Row],[Tegevusala]],Table4[[Tegevusala kood]:[Tegevusala alanimetus]],4,FALSE)</f>
        <v>Öömaja</v>
      </c>
      <c r="E41" s="3" t="str">
        <f>VLOOKUP(Table6[[#This Row],[Tegevusala]],Table4[[Tegevusala kood]:[Tegevusala alanimetus]],3,FALSE)</f>
        <v>Haridus</v>
      </c>
      <c r="F41" t="s">
        <v>1548</v>
      </c>
      <c r="G41" t="s">
        <v>2231</v>
      </c>
      <c r="H41">
        <v>11</v>
      </c>
      <c r="I41" t="s">
        <v>2027</v>
      </c>
      <c r="J41">
        <v>0.87878789999999996</v>
      </c>
      <c r="L41">
        <v>2000</v>
      </c>
      <c r="M41" s="40">
        <f>Table6[[#This Row],[ühik]]*Table6[[#This Row],[ühik3]]*Table6[[#This Row],[hind]]</f>
        <v>19333.333799999997</v>
      </c>
      <c r="N41" t="s">
        <v>2232</v>
      </c>
      <c r="O41" s="3">
        <v>3500</v>
      </c>
      <c r="P41" s="3" t="str">
        <f>VLOOKUP(Table6[[#This Row],[Konto]],Table5[[Konto]:[Konto nimetus]],2,FALSE)</f>
        <v>Sihtotstarbelised toetused jooksvateks kuludeks</v>
      </c>
      <c r="Q41" s="3">
        <v>3500</v>
      </c>
      <c r="R41" s="3" t="str">
        <f>LEFT(O41,2)</f>
        <v>35</v>
      </c>
      <c r="S41" s="3" t="str">
        <f>VLOOKUP(Table6[[#This Row],[Tulu/kulu liik2]],Table5[[Tulu/kulu liik]:[Kontode koondnimetus]],4,FALSE)</f>
        <v>Muud saadud toetused tegevuskuludeks</v>
      </c>
      <c r="T41" s="3" t="str">
        <f>VLOOKUP(Table6[[#This Row],[Tulu/kulu liik2]],Table5[],6,FALSE)</f>
        <v>Muud saadud toetused tegevuskuludeks</v>
      </c>
      <c r="U41" s="3" t="str">
        <f>VLOOKUP(Table6[[#This Row],[Tulu/kulu liik2]],Table5[],5,FALSE)</f>
        <v>Põhitegevuse tulu</v>
      </c>
    </row>
    <row r="42" spans="1:21" x14ac:dyDescent="0.25">
      <c r="A42" s="3" t="str">
        <f>LEFT(B42,2)</f>
        <v>09</v>
      </c>
      <c r="B42" s="3" t="s">
        <v>331</v>
      </c>
      <c r="C42" s="3" t="str">
        <f>VLOOKUP(B42,Table4[],2,FALSE)</f>
        <v xml:space="preserve"> Tudu Lasteaed</v>
      </c>
      <c r="D42" s="3" t="str">
        <f>VLOOKUP(Table6[[#This Row],[Tegevusala]],Table4[[Tegevusala kood]:[Tegevusala alanimetus]],4,FALSE)</f>
        <v>Alusharidus</v>
      </c>
      <c r="E42" s="3" t="str">
        <f>VLOOKUP(Table6[[#This Row],[Tegevusala]],Table4[[Tegevusala kood]:[Tegevusala alanimetus]],3,FALSE)</f>
        <v>Haridus</v>
      </c>
      <c r="F42" t="s">
        <v>624</v>
      </c>
      <c r="G42" t="s">
        <v>2233</v>
      </c>
      <c r="H42">
        <v>12</v>
      </c>
      <c r="I42" t="s">
        <v>2080</v>
      </c>
      <c r="J42">
        <v>1</v>
      </c>
      <c r="K42" t="s">
        <v>241</v>
      </c>
      <c r="L42">
        <v>1833.34</v>
      </c>
      <c r="M42" s="40">
        <f>Table6[[#This Row],[ühik]]*Table6[[#This Row],[ühik3]]*Table6[[#This Row],[hind]]</f>
        <v>22000.079999999998</v>
      </c>
      <c r="O42" s="3">
        <v>3500</v>
      </c>
      <c r="P42" s="3" t="str">
        <f>VLOOKUP(Table6[[#This Row],[Konto]],Table5[[Konto]:[Konto nimetus]],2,FALSE)</f>
        <v>Sihtotstarbelised toetused jooksvateks kuludeks</v>
      </c>
      <c r="Q42" s="3">
        <v>3500</v>
      </c>
      <c r="R42" s="3" t="str">
        <f>LEFT(O42,2)</f>
        <v>35</v>
      </c>
      <c r="S42" s="3" t="str">
        <f>VLOOKUP(Table6[[#This Row],[Tulu/kulu liik2]],Table5[[Tulu/kulu liik]:[Kontode koondnimetus]],4,FALSE)</f>
        <v>Muud saadud toetused tegevuskuludeks</v>
      </c>
      <c r="T42" s="3" t="str">
        <f>VLOOKUP(Table6[[#This Row],[Tulu/kulu liik2]],Table5[],6,FALSE)</f>
        <v>Muud saadud toetused tegevuskuludeks</v>
      </c>
      <c r="U42" s="3" t="str">
        <f>VLOOKUP(Table6[[#This Row],[Tulu/kulu liik2]],Table5[],5,FALSE)</f>
        <v>Põhitegevuse tulu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>
      <selection activeCell="D17" sqref="D17"/>
    </sheetView>
  </sheetViews>
  <sheetFormatPr defaultRowHeight="15" x14ac:dyDescent="0.25"/>
  <cols>
    <col min="1" max="2" width="14.85546875" customWidth="1"/>
    <col min="3" max="3" width="54.5703125" bestFit="1" customWidth="1"/>
    <col min="4" max="4" width="54.5703125" customWidth="1"/>
    <col min="5" max="5" width="21.5703125" bestFit="1" customWidth="1"/>
    <col min="6" max="6" width="22.42578125" bestFit="1" customWidth="1"/>
  </cols>
  <sheetData>
    <row r="1" spans="1:6" x14ac:dyDescent="0.25">
      <c r="A1" t="s">
        <v>8</v>
      </c>
      <c r="B1" t="s">
        <v>2</v>
      </c>
      <c r="C1" t="s">
        <v>91</v>
      </c>
      <c r="D1" t="s">
        <v>160</v>
      </c>
      <c r="E1" t="s">
        <v>135</v>
      </c>
      <c r="F1" t="s">
        <v>2009</v>
      </c>
    </row>
    <row r="2" spans="1:6" x14ac:dyDescent="0.25">
      <c r="A2">
        <v>3000</v>
      </c>
      <c r="B2">
        <v>3000</v>
      </c>
      <c r="C2" t="s">
        <v>78</v>
      </c>
      <c r="D2" t="s">
        <v>161</v>
      </c>
      <c r="E2" t="s">
        <v>84</v>
      </c>
      <c r="F2" t="s">
        <v>78</v>
      </c>
    </row>
    <row r="3" spans="1:6" x14ac:dyDescent="0.25">
      <c r="A3">
        <v>3030</v>
      </c>
      <c r="B3">
        <v>3030</v>
      </c>
      <c r="C3" t="s">
        <v>79</v>
      </c>
      <c r="D3" t="s">
        <v>161</v>
      </c>
      <c r="E3" t="s">
        <v>84</v>
      </c>
      <c r="F3" t="s">
        <v>79</v>
      </c>
    </row>
    <row r="4" spans="1:6" x14ac:dyDescent="0.25">
      <c r="A4">
        <v>32</v>
      </c>
      <c r="B4">
        <v>320</v>
      </c>
      <c r="C4" t="s">
        <v>96</v>
      </c>
      <c r="D4" t="s">
        <v>80</v>
      </c>
      <c r="E4" t="s">
        <v>84</v>
      </c>
      <c r="F4" t="s">
        <v>80</v>
      </c>
    </row>
    <row r="5" spans="1:6" x14ac:dyDescent="0.25">
      <c r="A5">
        <v>32</v>
      </c>
      <c r="B5">
        <v>322</v>
      </c>
      <c r="C5" t="s">
        <v>97</v>
      </c>
      <c r="D5" t="s">
        <v>80</v>
      </c>
      <c r="E5" t="s">
        <v>84</v>
      </c>
      <c r="F5" t="s">
        <v>80</v>
      </c>
    </row>
    <row r="6" spans="1:6" x14ac:dyDescent="0.25">
      <c r="A6">
        <v>32</v>
      </c>
      <c r="B6">
        <v>3220</v>
      </c>
      <c r="C6" t="s">
        <v>98</v>
      </c>
      <c r="D6" t="s">
        <v>80</v>
      </c>
      <c r="E6" t="s">
        <v>84</v>
      </c>
      <c r="F6" t="s">
        <v>80</v>
      </c>
    </row>
    <row r="7" spans="1:6" x14ac:dyDescent="0.25">
      <c r="A7">
        <v>32</v>
      </c>
      <c r="B7">
        <v>32201</v>
      </c>
      <c r="C7" t="s">
        <v>99</v>
      </c>
      <c r="D7" t="s">
        <v>80</v>
      </c>
      <c r="E7" t="s">
        <v>84</v>
      </c>
      <c r="F7" t="s">
        <v>80</v>
      </c>
    </row>
    <row r="8" spans="1:6" x14ac:dyDescent="0.25">
      <c r="A8">
        <v>32</v>
      </c>
      <c r="B8">
        <v>32202</v>
      </c>
      <c r="C8" t="s">
        <v>157</v>
      </c>
      <c r="D8" t="s">
        <v>80</v>
      </c>
      <c r="E8" t="s">
        <v>84</v>
      </c>
      <c r="F8" t="s">
        <v>80</v>
      </c>
    </row>
    <row r="9" spans="1:6" x14ac:dyDescent="0.25">
      <c r="A9">
        <v>32</v>
      </c>
      <c r="B9">
        <v>32206</v>
      </c>
      <c r="C9" t="s">
        <v>158</v>
      </c>
      <c r="D9" t="s">
        <v>80</v>
      </c>
      <c r="E9" t="s">
        <v>84</v>
      </c>
      <c r="F9" t="s">
        <v>80</v>
      </c>
    </row>
    <row r="10" spans="1:6" x14ac:dyDescent="0.25">
      <c r="A10">
        <v>32</v>
      </c>
      <c r="B10">
        <v>3224</v>
      </c>
      <c r="C10" t="s">
        <v>1640</v>
      </c>
      <c r="D10" t="s">
        <v>80</v>
      </c>
      <c r="E10" t="s">
        <v>84</v>
      </c>
      <c r="F10" t="s">
        <v>80</v>
      </c>
    </row>
    <row r="11" spans="1:6" x14ac:dyDescent="0.25">
      <c r="A11">
        <v>32</v>
      </c>
      <c r="B11">
        <v>3225</v>
      </c>
      <c r="C11" t="s">
        <v>2127</v>
      </c>
      <c r="D11" t="s">
        <v>80</v>
      </c>
      <c r="E11" t="s">
        <v>84</v>
      </c>
      <c r="F11" t="s">
        <v>80</v>
      </c>
    </row>
    <row r="12" spans="1:6" x14ac:dyDescent="0.25">
      <c r="A12">
        <v>32</v>
      </c>
      <c r="B12">
        <v>3227</v>
      </c>
      <c r="C12" t="s">
        <v>1869</v>
      </c>
      <c r="D12" t="s">
        <v>80</v>
      </c>
      <c r="E12" t="s">
        <v>84</v>
      </c>
      <c r="F12" t="s">
        <v>80</v>
      </c>
    </row>
    <row r="13" spans="1:6" x14ac:dyDescent="0.25">
      <c r="A13">
        <v>32</v>
      </c>
      <c r="B13">
        <v>3232</v>
      </c>
      <c r="C13" t="s">
        <v>2133</v>
      </c>
      <c r="D13" t="s">
        <v>80</v>
      </c>
      <c r="E13" t="s">
        <v>84</v>
      </c>
      <c r="F13" t="s">
        <v>80</v>
      </c>
    </row>
    <row r="14" spans="1:6" x14ac:dyDescent="0.25">
      <c r="A14">
        <v>32</v>
      </c>
      <c r="B14">
        <v>3233</v>
      </c>
      <c r="C14" t="s">
        <v>2135</v>
      </c>
      <c r="D14" t="s">
        <v>80</v>
      </c>
      <c r="E14" t="s">
        <v>84</v>
      </c>
      <c r="F14" t="s">
        <v>80</v>
      </c>
    </row>
    <row r="15" spans="1:6" x14ac:dyDescent="0.25">
      <c r="A15">
        <v>35200</v>
      </c>
      <c r="B15">
        <v>35200</v>
      </c>
      <c r="C15" t="s">
        <v>81</v>
      </c>
      <c r="D15" t="s">
        <v>162</v>
      </c>
      <c r="E15" t="s">
        <v>84</v>
      </c>
      <c r="F15" t="s">
        <v>81</v>
      </c>
    </row>
    <row r="16" spans="1:6" x14ac:dyDescent="0.25">
      <c r="A16">
        <v>35201</v>
      </c>
      <c r="B16">
        <v>35201</v>
      </c>
      <c r="C16" t="s">
        <v>82</v>
      </c>
      <c r="D16" t="s">
        <v>162</v>
      </c>
      <c r="E16" t="s">
        <v>84</v>
      </c>
      <c r="F16" t="s">
        <v>82</v>
      </c>
    </row>
    <row r="17" spans="1:6" x14ac:dyDescent="0.25">
      <c r="A17">
        <v>3500</v>
      </c>
      <c r="B17">
        <v>3500</v>
      </c>
      <c r="C17" t="s">
        <v>156</v>
      </c>
      <c r="D17" t="s">
        <v>537</v>
      </c>
      <c r="E17" t="s">
        <v>84</v>
      </c>
      <c r="F17" t="s">
        <v>537</v>
      </c>
    </row>
    <row r="18" spans="1:6" x14ac:dyDescent="0.25">
      <c r="A18">
        <v>352</v>
      </c>
      <c r="B18">
        <v>352</v>
      </c>
      <c r="C18" t="s">
        <v>155</v>
      </c>
      <c r="D18" t="s">
        <v>537</v>
      </c>
      <c r="E18" t="s">
        <v>84</v>
      </c>
      <c r="F18" t="s">
        <v>155</v>
      </c>
    </row>
    <row r="19" spans="1:6" x14ac:dyDescent="0.25">
      <c r="A19">
        <v>352</v>
      </c>
      <c r="B19">
        <v>3520</v>
      </c>
      <c r="C19" t="s">
        <v>154</v>
      </c>
      <c r="D19" t="s">
        <v>537</v>
      </c>
      <c r="E19" t="s">
        <v>84</v>
      </c>
      <c r="F19" t="s">
        <v>155</v>
      </c>
    </row>
    <row r="20" spans="1:6" x14ac:dyDescent="0.25">
      <c r="A20">
        <v>38251</v>
      </c>
      <c r="B20">
        <v>38251</v>
      </c>
      <c r="C20" t="s">
        <v>83</v>
      </c>
      <c r="D20" t="s">
        <v>163</v>
      </c>
      <c r="E20" t="s">
        <v>84</v>
      </c>
      <c r="F20" t="s">
        <v>83</v>
      </c>
    </row>
    <row r="21" spans="1:6" x14ac:dyDescent="0.25">
      <c r="A21">
        <v>38254</v>
      </c>
      <c r="B21">
        <v>38254</v>
      </c>
      <c r="C21" t="s">
        <v>153</v>
      </c>
      <c r="D21" t="s">
        <v>163</v>
      </c>
      <c r="E21" t="s">
        <v>84</v>
      </c>
      <c r="F21" t="s">
        <v>539</v>
      </c>
    </row>
    <row r="22" spans="1:6" x14ac:dyDescent="0.25">
      <c r="A22">
        <v>3882</v>
      </c>
      <c r="B22">
        <v>3882</v>
      </c>
      <c r="C22" t="s">
        <v>152</v>
      </c>
      <c r="D22" t="s">
        <v>163</v>
      </c>
      <c r="E22" t="s">
        <v>84</v>
      </c>
      <c r="F22" t="s">
        <v>540</v>
      </c>
    </row>
    <row r="23" spans="1:6" x14ac:dyDescent="0.25">
      <c r="A23">
        <v>413</v>
      </c>
      <c r="B23">
        <v>413</v>
      </c>
      <c r="C23" t="s">
        <v>151</v>
      </c>
      <c r="D23" t="s">
        <v>164</v>
      </c>
      <c r="E23" t="s">
        <v>85</v>
      </c>
      <c r="F23" t="s">
        <v>545</v>
      </c>
    </row>
    <row r="24" spans="1:6" ht="15.75" customHeight="1" x14ac:dyDescent="0.25">
      <c r="A24">
        <v>413</v>
      </c>
      <c r="B24">
        <v>41300</v>
      </c>
      <c r="C24" t="s">
        <v>149</v>
      </c>
      <c r="D24" t="s">
        <v>164</v>
      </c>
      <c r="E24" t="s">
        <v>85</v>
      </c>
      <c r="F24" t="s">
        <v>545</v>
      </c>
    </row>
    <row r="25" spans="1:6" ht="15.75" customHeight="1" x14ac:dyDescent="0.25">
      <c r="A25">
        <v>413</v>
      </c>
      <c r="B25">
        <v>41309</v>
      </c>
      <c r="C25" t="s">
        <v>150</v>
      </c>
      <c r="D25" t="s">
        <v>164</v>
      </c>
      <c r="E25" t="s">
        <v>85</v>
      </c>
      <c r="F25" t="s">
        <v>545</v>
      </c>
    </row>
    <row r="26" spans="1:6" ht="15.75" customHeight="1" x14ac:dyDescent="0.25">
      <c r="A26">
        <v>413</v>
      </c>
      <c r="B26">
        <v>4131</v>
      </c>
      <c r="C26" t="s">
        <v>140</v>
      </c>
      <c r="D26" t="s">
        <v>164</v>
      </c>
      <c r="E26" t="s">
        <v>85</v>
      </c>
      <c r="F26" t="s">
        <v>545</v>
      </c>
    </row>
    <row r="27" spans="1:6" ht="15.75" customHeight="1" x14ac:dyDescent="0.25">
      <c r="A27">
        <v>413</v>
      </c>
      <c r="B27">
        <v>41329</v>
      </c>
      <c r="C27" t="s">
        <v>664</v>
      </c>
      <c r="D27" t="s">
        <v>164</v>
      </c>
      <c r="E27" t="s">
        <v>85</v>
      </c>
      <c r="F27" t="s">
        <v>545</v>
      </c>
    </row>
    <row r="28" spans="1:6" ht="15.75" customHeight="1" x14ac:dyDescent="0.25">
      <c r="A28">
        <v>413</v>
      </c>
      <c r="B28">
        <v>41330</v>
      </c>
      <c r="C28" t="s">
        <v>142</v>
      </c>
      <c r="D28" t="s">
        <v>164</v>
      </c>
      <c r="E28" t="s">
        <v>85</v>
      </c>
      <c r="F28" t="s">
        <v>545</v>
      </c>
    </row>
    <row r="29" spans="1:6" ht="15.75" customHeight="1" x14ac:dyDescent="0.25">
      <c r="A29">
        <v>413</v>
      </c>
      <c r="B29">
        <v>41332</v>
      </c>
      <c r="C29" t="s">
        <v>143</v>
      </c>
      <c r="D29" t="s">
        <v>164</v>
      </c>
      <c r="E29" t="s">
        <v>85</v>
      </c>
      <c r="F29" t="s">
        <v>545</v>
      </c>
    </row>
    <row r="30" spans="1:6" ht="15.75" customHeight="1" x14ac:dyDescent="0.25">
      <c r="A30" s="8">
        <v>413</v>
      </c>
      <c r="B30" s="8">
        <v>41337</v>
      </c>
      <c r="C30" s="8" t="s">
        <v>737</v>
      </c>
      <c r="D30" s="8" t="s">
        <v>164</v>
      </c>
      <c r="E30" s="8" t="s">
        <v>85</v>
      </c>
      <c r="F30" t="s">
        <v>545</v>
      </c>
    </row>
    <row r="31" spans="1:6" ht="15.75" customHeight="1" x14ac:dyDescent="0.25">
      <c r="A31">
        <v>413</v>
      </c>
      <c r="B31">
        <v>41339</v>
      </c>
      <c r="C31" t="s">
        <v>144</v>
      </c>
      <c r="D31" t="s">
        <v>164</v>
      </c>
      <c r="E31" t="s">
        <v>85</v>
      </c>
      <c r="F31" t="s">
        <v>545</v>
      </c>
    </row>
    <row r="32" spans="1:6" ht="15.75" customHeight="1" x14ac:dyDescent="0.25">
      <c r="A32">
        <v>413</v>
      </c>
      <c r="B32">
        <v>4134</v>
      </c>
      <c r="C32" t="s">
        <v>141</v>
      </c>
      <c r="D32" t="s">
        <v>164</v>
      </c>
      <c r="E32" t="s">
        <v>85</v>
      </c>
      <c r="F32" t="s">
        <v>545</v>
      </c>
    </row>
    <row r="33" spans="1:6" ht="15.75" customHeight="1" x14ac:dyDescent="0.25">
      <c r="A33">
        <v>413</v>
      </c>
      <c r="B33">
        <v>4137</v>
      </c>
      <c r="C33" t="s">
        <v>145</v>
      </c>
      <c r="D33" t="s">
        <v>164</v>
      </c>
      <c r="E33" t="s">
        <v>85</v>
      </c>
      <c r="F33" t="s">
        <v>545</v>
      </c>
    </row>
    <row r="34" spans="1:6" ht="15.75" customHeight="1" x14ac:dyDescent="0.25">
      <c r="A34">
        <v>413</v>
      </c>
      <c r="B34">
        <v>41380</v>
      </c>
      <c r="C34" t="s">
        <v>147</v>
      </c>
      <c r="D34" t="s">
        <v>164</v>
      </c>
      <c r="E34" t="s">
        <v>85</v>
      </c>
      <c r="F34" t="s">
        <v>545</v>
      </c>
    </row>
    <row r="35" spans="1:6" x14ac:dyDescent="0.25">
      <c r="A35">
        <v>413</v>
      </c>
      <c r="B35">
        <v>41382</v>
      </c>
      <c r="C35" t="s">
        <v>146</v>
      </c>
      <c r="D35" t="s">
        <v>164</v>
      </c>
      <c r="E35" t="s">
        <v>85</v>
      </c>
      <c r="F35" t="s">
        <v>545</v>
      </c>
    </row>
    <row r="36" spans="1:6" x14ac:dyDescent="0.25">
      <c r="A36" s="8">
        <v>413</v>
      </c>
      <c r="B36" s="8">
        <v>41389</v>
      </c>
      <c r="C36" s="8" t="s">
        <v>692</v>
      </c>
      <c r="D36" s="8" t="s">
        <v>164</v>
      </c>
      <c r="E36" s="8" t="s">
        <v>85</v>
      </c>
      <c r="F36" t="s">
        <v>545</v>
      </c>
    </row>
    <row r="37" spans="1:6" x14ac:dyDescent="0.25">
      <c r="A37" s="8">
        <v>413</v>
      </c>
      <c r="B37" s="8">
        <v>413899</v>
      </c>
      <c r="C37" s="8" t="s">
        <v>148</v>
      </c>
      <c r="D37" s="8" t="s">
        <v>164</v>
      </c>
      <c r="E37" s="8" t="s">
        <v>85</v>
      </c>
      <c r="F37" t="s">
        <v>545</v>
      </c>
    </row>
    <row r="38" spans="1:6" x14ac:dyDescent="0.25">
      <c r="A38">
        <v>4500</v>
      </c>
      <c r="B38">
        <v>4500</v>
      </c>
      <c r="C38" t="s">
        <v>128</v>
      </c>
      <c r="D38" t="s">
        <v>164</v>
      </c>
      <c r="E38" t="s">
        <v>85</v>
      </c>
      <c r="F38" t="s">
        <v>546</v>
      </c>
    </row>
    <row r="39" spans="1:6" x14ac:dyDescent="0.25">
      <c r="A39">
        <v>4500</v>
      </c>
      <c r="B39">
        <v>45008</v>
      </c>
      <c r="C39" t="s">
        <v>129</v>
      </c>
      <c r="D39" t="s">
        <v>164</v>
      </c>
      <c r="E39" t="s">
        <v>85</v>
      </c>
      <c r="F39" t="s">
        <v>546</v>
      </c>
    </row>
    <row r="40" spans="1:6" x14ac:dyDescent="0.25">
      <c r="A40">
        <v>452</v>
      </c>
      <c r="B40">
        <v>4528</v>
      </c>
      <c r="C40" t="s">
        <v>159</v>
      </c>
      <c r="D40" t="s">
        <v>164</v>
      </c>
      <c r="E40" t="s">
        <v>85</v>
      </c>
      <c r="F40" t="s">
        <v>155</v>
      </c>
    </row>
    <row r="41" spans="1:6" x14ac:dyDescent="0.25">
      <c r="A41">
        <v>50</v>
      </c>
      <c r="B41">
        <v>500</v>
      </c>
      <c r="C41" t="s">
        <v>122</v>
      </c>
      <c r="D41" t="s">
        <v>131</v>
      </c>
      <c r="E41" t="s">
        <v>85</v>
      </c>
      <c r="F41" t="s">
        <v>548</v>
      </c>
    </row>
    <row r="42" spans="1:6" x14ac:dyDescent="0.25">
      <c r="A42">
        <v>50</v>
      </c>
      <c r="B42">
        <v>5001</v>
      </c>
      <c r="C42" t="s">
        <v>123</v>
      </c>
      <c r="D42" t="s">
        <v>131</v>
      </c>
      <c r="E42" t="s">
        <v>85</v>
      </c>
      <c r="F42" t="s">
        <v>548</v>
      </c>
    </row>
    <row r="43" spans="1:6" x14ac:dyDescent="0.25">
      <c r="A43">
        <v>50</v>
      </c>
      <c r="B43">
        <v>5002</v>
      </c>
      <c r="C43" t="s">
        <v>124</v>
      </c>
      <c r="D43" t="s">
        <v>131</v>
      </c>
      <c r="E43" t="s">
        <v>85</v>
      </c>
      <c r="F43" t="s">
        <v>548</v>
      </c>
    </row>
    <row r="44" spans="1:6" x14ac:dyDescent="0.25">
      <c r="A44">
        <v>50</v>
      </c>
      <c r="B44">
        <v>5005</v>
      </c>
      <c r="C44" t="s">
        <v>125</v>
      </c>
      <c r="D44" t="s">
        <v>131</v>
      </c>
      <c r="E44" t="s">
        <v>85</v>
      </c>
      <c r="F44" t="s">
        <v>548</v>
      </c>
    </row>
    <row r="45" spans="1:6" x14ac:dyDescent="0.25">
      <c r="A45">
        <v>50</v>
      </c>
      <c r="B45">
        <v>5008</v>
      </c>
      <c r="C45" t="s">
        <v>126</v>
      </c>
      <c r="D45" t="s">
        <v>131</v>
      </c>
      <c r="E45" t="s">
        <v>85</v>
      </c>
      <c r="F45" t="s">
        <v>548</v>
      </c>
    </row>
    <row r="46" spans="1:6" x14ac:dyDescent="0.25">
      <c r="A46">
        <v>50</v>
      </c>
      <c r="B46">
        <v>506</v>
      </c>
      <c r="C46" t="s">
        <v>127</v>
      </c>
      <c r="D46" t="s">
        <v>131</v>
      </c>
      <c r="E46" t="s">
        <v>85</v>
      </c>
      <c r="F46" t="s">
        <v>548</v>
      </c>
    </row>
    <row r="47" spans="1:6" x14ac:dyDescent="0.25">
      <c r="A47">
        <v>55</v>
      </c>
      <c r="B47">
        <v>5500</v>
      </c>
      <c r="C47" t="s">
        <v>100</v>
      </c>
      <c r="D47" t="s">
        <v>131</v>
      </c>
      <c r="E47" t="s">
        <v>85</v>
      </c>
      <c r="F47" t="s">
        <v>549</v>
      </c>
    </row>
    <row r="48" spans="1:6" x14ac:dyDescent="0.25">
      <c r="A48">
        <v>55</v>
      </c>
      <c r="B48">
        <v>5503</v>
      </c>
      <c r="C48" t="s">
        <v>101</v>
      </c>
      <c r="D48" t="s">
        <v>131</v>
      </c>
      <c r="E48" t="s">
        <v>85</v>
      </c>
      <c r="F48" t="s">
        <v>549</v>
      </c>
    </row>
    <row r="49" spans="1:6" x14ac:dyDescent="0.25">
      <c r="A49">
        <v>55</v>
      </c>
      <c r="B49">
        <v>5504</v>
      </c>
      <c r="C49" t="s">
        <v>102</v>
      </c>
      <c r="D49" t="s">
        <v>131</v>
      </c>
      <c r="E49" t="s">
        <v>85</v>
      </c>
      <c r="F49" t="s">
        <v>549</v>
      </c>
    </row>
    <row r="50" spans="1:6" x14ac:dyDescent="0.25">
      <c r="A50">
        <v>55</v>
      </c>
      <c r="B50">
        <v>5511</v>
      </c>
      <c r="C50" t="s">
        <v>106</v>
      </c>
      <c r="D50" t="s">
        <v>131</v>
      </c>
      <c r="E50" t="s">
        <v>85</v>
      </c>
      <c r="F50" t="s">
        <v>549</v>
      </c>
    </row>
    <row r="51" spans="1:6" x14ac:dyDescent="0.25">
      <c r="A51">
        <v>55</v>
      </c>
      <c r="B51">
        <v>5512</v>
      </c>
      <c r="C51" t="s">
        <v>109</v>
      </c>
      <c r="D51" t="s">
        <v>131</v>
      </c>
      <c r="E51" t="s">
        <v>85</v>
      </c>
      <c r="F51" t="s">
        <v>549</v>
      </c>
    </row>
    <row r="52" spans="1:6" x14ac:dyDescent="0.25">
      <c r="A52">
        <v>55</v>
      </c>
      <c r="B52">
        <v>5513</v>
      </c>
      <c r="C52" t="s">
        <v>111</v>
      </c>
      <c r="D52" t="s">
        <v>131</v>
      </c>
      <c r="E52" t="s">
        <v>85</v>
      </c>
      <c r="F52" t="s">
        <v>549</v>
      </c>
    </row>
    <row r="53" spans="1:6" x14ac:dyDescent="0.25">
      <c r="A53">
        <v>55</v>
      </c>
      <c r="B53">
        <v>5514</v>
      </c>
      <c r="C53" t="s">
        <v>110</v>
      </c>
      <c r="D53" t="s">
        <v>131</v>
      </c>
      <c r="E53" t="s">
        <v>85</v>
      </c>
      <c r="F53" t="s">
        <v>549</v>
      </c>
    </row>
    <row r="54" spans="1:6" x14ac:dyDescent="0.25">
      <c r="A54">
        <v>55</v>
      </c>
      <c r="B54">
        <v>5515</v>
      </c>
      <c r="C54" t="s">
        <v>112</v>
      </c>
      <c r="D54" t="s">
        <v>131</v>
      </c>
      <c r="E54" t="s">
        <v>85</v>
      </c>
      <c r="F54" t="s">
        <v>549</v>
      </c>
    </row>
    <row r="55" spans="1:6" x14ac:dyDescent="0.25">
      <c r="A55">
        <v>55</v>
      </c>
      <c r="B55">
        <v>5516</v>
      </c>
      <c r="C55" t="s">
        <v>113</v>
      </c>
      <c r="D55" t="s">
        <v>131</v>
      </c>
      <c r="E55" t="s">
        <v>85</v>
      </c>
      <c r="F55" t="s">
        <v>549</v>
      </c>
    </row>
    <row r="56" spans="1:6" x14ac:dyDescent="0.25">
      <c r="A56">
        <v>55</v>
      </c>
      <c r="B56">
        <v>5521</v>
      </c>
      <c r="C56" t="s">
        <v>114</v>
      </c>
      <c r="D56" t="s">
        <v>131</v>
      </c>
      <c r="E56" t="s">
        <v>85</v>
      </c>
      <c r="F56" t="s">
        <v>549</v>
      </c>
    </row>
    <row r="57" spans="1:6" x14ac:dyDescent="0.25">
      <c r="A57">
        <v>55</v>
      </c>
      <c r="B57">
        <v>5522</v>
      </c>
      <c r="C57" t="s">
        <v>115</v>
      </c>
      <c r="D57" t="s">
        <v>131</v>
      </c>
      <c r="E57" t="s">
        <v>85</v>
      </c>
      <c r="F57" t="s">
        <v>549</v>
      </c>
    </row>
    <row r="58" spans="1:6" x14ac:dyDescent="0.25">
      <c r="A58">
        <v>55</v>
      </c>
      <c r="B58">
        <v>5523</v>
      </c>
      <c r="C58" t="s">
        <v>116</v>
      </c>
      <c r="D58" t="s">
        <v>131</v>
      </c>
      <c r="E58" t="s">
        <v>85</v>
      </c>
      <c r="F58" t="s">
        <v>549</v>
      </c>
    </row>
    <row r="59" spans="1:6" x14ac:dyDescent="0.25">
      <c r="A59">
        <v>55</v>
      </c>
      <c r="B59">
        <v>5524</v>
      </c>
      <c r="C59" t="s">
        <v>117</v>
      </c>
      <c r="D59" t="s">
        <v>131</v>
      </c>
      <c r="E59" t="s">
        <v>85</v>
      </c>
      <c r="F59" t="s">
        <v>549</v>
      </c>
    </row>
    <row r="60" spans="1:6" x14ac:dyDescent="0.25">
      <c r="A60">
        <v>55</v>
      </c>
      <c r="B60">
        <v>5525</v>
      </c>
      <c r="C60" t="s">
        <v>118</v>
      </c>
      <c r="D60" t="s">
        <v>131</v>
      </c>
      <c r="E60" t="s">
        <v>85</v>
      </c>
      <c r="F60" t="s">
        <v>549</v>
      </c>
    </row>
    <row r="61" spans="1:6" x14ac:dyDescent="0.25">
      <c r="A61">
        <v>55</v>
      </c>
      <c r="B61">
        <v>5526</v>
      </c>
      <c r="C61" t="s">
        <v>119</v>
      </c>
      <c r="D61" t="s">
        <v>131</v>
      </c>
      <c r="E61" t="s">
        <v>85</v>
      </c>
      <c r="F61" t="s">
        <v>549</v>
      </c>
    </row>
    <row r="62" spans="1:6" x14ac:dyDescent="0.25">
      <c r="A62">
        <v>55</v>
      </c>
      <c r="B62">
        <v>5532</v>
      </c>
      <c r="C62" t="s">
        <v>120</v>
      </c>
      <c r="D62" t="s">
        <v>131</v>
      </c>
      <c r="E62" t="s">
        <v>85</v>
      </c>
      <c r="F62" t="s">
        <v>549</v>
      </c>
    </row>
    <row r="63" spans="1:6" x14ac:dyDescent="0.25">
      <c r="A63">
        <v>55</v>
      </c>
      <c r="B63">
        <v>5540</v>
      </c>
      <c r="C63" t="s">
        <v>121</v>
      </c>
      <c r="D63" t="s">
        <v>131</v>
      </c>
      <c r="E63" t="s">
        <v>85</v>
      </c>
      <c r="F63" t="s">
        <v>549</v>
      </c>
    </row>
    <row r="64" spans="1:6" x14ac:dyDescent="0.25">
      <c r="A64">
        <v>60</v>
      </c>
      <c r="B64">
        <v>601</v>
      </c>
      <c r="C64" t="s">
        <v>130</v>
      </c>
      <c r="D64" t="s">
        <v>131</v>
      </c>
      <c r="E64" t="s">
        <v>85</v>
      </c>
      <c r="F64" t="s">
        <v>550</v>
      </c>
    </row>
    <row r="65" spans="1:6" x14ac:dyDescent="0.25">
      <c r="A65">
        <v>60</v>
      </c>
      <c r="B65">
        <v>608</v>
      </c>
      <c r="C65" t="s">
        <v>131</v>
      </c>
      <c r="D65" t="s">
        <v>131</v>
      </c>
      <c r="E65" t="s">
        <v>85</v>
      </c>
      <c r="F65" t="s">
        <v>550</v>
      </c>
    </row>
    <row r="66" spans="1:6" x14ac:dyDescent="0.25">
      <c r="A66">
        <v>381</v>
      </c>
      <c r="B66">
        <v>3810</v>
      </c>
      <c r="C66" t="s">
        <v>136</v>
      </c>
      <c r="D66" t="s">
        <v>86</v>
      </c>
      <c r="E66" t="s">
        <v>87</v>
      </c>
      <c r="F66" t="s">
        <v>86</v>
      </c>
    </row>
    <row r="67" spans="1:6" x14ac:dyDescent="0.25">
      <c r="A67">
        <v>381</v>
      </c>
      <c r="B67">
        <v>3811</v>
      </c>
      <c r="C67" t="s">
        <v>137</v>
      </c>
      <c r="D67" t="s">
        <v>86</v>
      </c>
      <c r="E67" t="s">
        <v>87</v>
      </c>
      <c r="F67" t="s">
        <v>86</v>
      </c>
    </row>
    <row r="68" spans="1:6" x14ac:dyDescent="0.25">
      <c r="A68">
        <v>381</v>
      </c>
      <c r="B68">
        <v>3812</v>
      </c>
      <c r="C68" t="s">
        <v>138</v>
      </c>
      <c r="D68" t="s">
        <v>86</v>
      </c>
      <c r="E68" t="s">
        <v>87</v>
      </c>
      <c r="F68" t="s">
        <v>86</v>
      </c>
    </row>
    <row r="69" spans="1:6" x14ac:dyDescent="0.25">
      <c r="A69">
        <v>15</v>
      </c>
      <c r="B69">
        <v>1550</v>
      </c>
      <c r="C69" t="s">
        <v>93</v>
      </c>
      <c r="D69" t="s">
        <v>4</v>
      </c>
      <c r="E69" t="s">
        <v>87</v>
      </c>
      <c r="F69" t="s">
        <v>4</v>
      </c>
    </row>
    <row r="70" spans="1:6" x14ac:dyDescent="0.25">
      <c r="A70">
        <v>15</v>
      </c>
      <c r="B70">
        <v>1551</v>
      </c>
      <c r="C70" t="s">
        <v>92</v>
      </c>
      <c r="D70" t="s">
        <v>4</v>
      </c>
      <c r="E70" t="s">
        <v>87</v>
      </c>
      <c r="F70" t="s">
        <v>4</v>
      </c>
    </row>
    <row r="71" spans="1:6" x14ac:dyDescent="0.25">
      <c r="A71">
        <v>15</v>
      </c>
      <c r="B71">
        <v>1554</v>
      </c>
      <c r="C71" t="s">
        <v>94</v>
      </c>
      <c r="D71" t="s">
        <v>4</v>
      </c>
      <c r="E71" t="s">
        <v>87</v>
      </c>
      <c r="F71" t="s">
        <v>4</v>
      </c>
    </row>
    <row r="72" spans="1:6" x14ac:dyDescent="0.25">
      <c r="A72">
        <v>15</v>
      </c>
      <c r="B72">
        <v>1555</v>
      </c>
      <c r="C72" t="s">
        <v>95</v>
      </c>
      <c r="D72" t="s">
        <v>4</v>
      </c>
      <c r="E72" t="s">
        <v>87</v>
      </c>
      <c r="F72" t="s">
        <v>4</v>
      </c>
    </row>
    <row r="73" spans="1:6" x14ac:dyDescent="0.25">
      <c r="A73">
        <v>15</v>
      </c>
      <c r="B73">
        <v>1556</v>
      </c>
      <c r="C73" t="s">
        <v>2048</v>
      </c>
      <c r="D73" t="s">
        <v>4</v>
      </c>
      <c r="E73" t="s">
        <v>87</v>
      </c>
      <c r="F73" t="s">
        <v>4</v>
      </c>
    </row>
    <row r="74" spans="1:6" x14ac:dyDescent="0.25">
      <c r="A74">
        <v>15</v>
      </c>
      <c r="B74">
        <v>1564</v>
      </c>
      <c r="C74" t="s">
        <v>2189</v>
      </c>
      <c r="D74" t="s">
        <v>4</v>
      </c>
      <c r="E74" t="s">
        <v>87</v>
      </c>
      <c r="F74" t="s">
        <v>4</v>
      </c>
    </row>
    <row r="75" spans="1:6" x14ac:dyDescent="0.25">
      <c r="A75">
        <v>3502</v>
      </c>
      <c r="B75">
        <v>20385</v>
      </c>
      <c r="C75" t="s">
        <v>958</v>
      </c>
      <c r="D75" t="s">
        <v>2024</v>
      </c>
      <c r="E75" t="s">
        <v>87</v>
      </c>
      <c r="F75" t="s">
        <v>2024</v>
      </c>
    </row>
    <row r="76" spans="1:6" x14ac:dyDescent="0.25">
      <c r="A76">
        <v>4502</v>
      </c>
      <c r="B76">
        <v>45028</v>
      </c>
      <c r="C76" t="s">
        <v>132</v>
      </c>
      <c r="D76" t="s">
        <v>2023</v>
      </c>
      <c r="E76" t="s">
        <v>87</v>
      </c>
      <c r="F76" t="s">
        <v>2023</v>
      </c>
    </row>
    <row r="77" spans="1:6" x14ac:dyDescent="0.25">
      <c r="A77">
        <v>4502</v>
      </c>
      <c r="B77">
        <v>45029</v>
      </c>
      <c r="C77" t="s">
        <v>133</v>
      </c>
      <c r="D77" t="s">
        <v>2023</v>
      </c>
      <c r="E77" t="s">
        <v>87</v>
      </c>
      <c r="F77" t="s">
        <v>2023</v>
      </c>
    </row>
    <row r="78" spans="1:6" x14ac:dyDescent="0.25">
      <c r="A78">
        <v>655</v>
      </c>
      <c r="B78">
        <v>655</v>
      </c>
      <c r="C78" t="s">
        <v>108</v>
      </c>
      <c r="D78" t="s">
        <v>88</v>
      </c>
      <c r="E78" t="s">
        <v>87</v>
      </c>
      <c r="F78" t="s">
        <v>88</v>
      </c>
    </row>
    <row r="79" spans="1:6" x14ac:dyDescent="0.25">
      <c r="A79">
        <v>650</v>
      </c>
      <c r="B79">
        <v>6501</v>
      </c>
      <c r="C79" t="s">
        <v>107</v>
      </c>
      <c r="D79" t="s">
        <v>89</v>
      </c>
      <c r="E79" t="s">
        <v>87</v>
      </c>
      <c r="F79" t="s">
        <v>89</v>
      </c>
    </row>
    <row r="80" spans="1:6" x14ac:dyDescent="0.25">
      <c r="A80">
        <v>2585</v>
      </c>
      <c r="B80">
        <v>25852</v>
      </c>
      <c r="C80" t="s">
        <v>139</v>
      </c>
      <c r="D80" t="s">
        <v>103</v>
      </c>
      <c r="E80" t="s">
        <v>104</v>
      </c>
      <c r="F80" t="s">
        <v>103</v>
      </c>
    </row>
    <row r="81" spans="1:6" x14ac:dyDescent="0.25">
      <c r="A81">
        <v>2586</v>
      </c>
      <c r="B81">
        <v>208168</v>
      </c>
      <c r="C81" t="s">
        <v>134</v>
      </c>
      <c r="D81" t="s">
        <v>105</v>
      </c>
      <c r="E81" t="s">
        <v>104</v>
      </c>
      <c r="F81" t="s">
        <v>105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3"/>
  <sheetViews>
    <sheetView topLeftCell="A64" workbookViewId="0">
      <selection activeCell="A71" sqref="A71"/>
    </sheetView>
  </sheetViews>
  <sheetFormatPr defaultRowHeight="15" x14ac:dyDescent="0.25"/>
  <cols>
    <col min="1" max="1" width="17.85546875" customWidth="1"/>
    <col min="2" max="2" width="47.140625" bestFit="1" customWidth="1"/>
    <col min="3" max="3" width="30.5703125" bestFit="1" customWidth="1"/>
    <col min="4" max="4" width="23.85546875" bestFit="1" customWidth="1"/>
    <col min="5" max="5" width="14.28515625" bestFit="1" customWidth="1"/>
  </cols>
  <sheetData>
    <row r="1" spans="1:5" x14ac:dyDescent="0.25">
      <c r="A1" t="s">
        <v>12</v>
      </c>
      <c r="B1" t="s">
        <v>11</v>
      </c>
      <c r="C1" t="s">
        <v>67</v>
      </c>
      <c r="D1" t="s">
        <v>490</v>
      </c>
      <c r="E1" t="s">
        <v>791</v>
      </c>
    </row>
    <row r="2" spans="1:5" x14ac:dyDescent="0.25">
      <c r="A2" t="s">
        <v>13</v>
      </c>
      <c r="B2" t="s">
        <v>14</v>
      </c>
      <c r="C2" t="s">
        <v>68</v>
      </c>
      <c r="D2" t="s">
        <v>559</v>
      </c>
    </row>
    <row r="3" spans="1:5" x14ac:dyDescent="0.25">
      <c r="A3" t="s">
        <v>15</v>
      </c>
      <c r="B3" t="s">
        <v>16</v>
      </c>
      <c r="C3" t="s">
        <v>68</v>
      </c>
      <c r="D3" t="s">
        <v>560</v>
      </c>
    </row>
    <row r="4" spans="1:5" x14ac:dyDescent="0.25">
      <c r="A4" t="s">
        <v>17</v>
      </c>
      <c r="B4" t="s">
        <v>18</v>
      </c>
      <c r="C4" t="s">
        <v>68</v>
      </c>
      <c r="D4" t="s">
        <v>1104</v>
      </c>
    </row>
    <row r="5" spans="1:5" x14ac:dyDescent="0.25">
      <c r="A5" t="s">
        <v>19</v>
      </c>
      <c r="B5" t="s">
        <v>20</v>
      </c>
      <c r="C5" t="s">
        <v>68</v>
      </c>
      <c r="D5" t="s">
        <v>562</v>
      </c>
    </row>
    <row r="6" spans="1:5" x14ac:dyDescent="0.25">
      <c r="A6" t="s">
        <v>21</v>
      </c>
      <c r="B6" t="s">
        <v>22</v>
      </c>
      <c r="C6" t="s">
        <v>68</v>
      </c>
      <c r="D6" t="s">
        <v>563</v>
      </c>
    </row>
    <row r="7" spans="1:5" x14ac:dyDescent="0.25">
      <c r="A7" t="s">
        <v>23</v>
      </c>
      <c r="B7" t="s">
        <v>24</v>
      </c>
      <c r="C7" t="s">
        <v>68</v>
      </c>
      <c r="D7" t="s">
        <v>1105</v>
      </c>
    </row>
    <row r="8" spans="1:5" x14ac:dyDescent="0.25">
      <c r="A8" t="s">
        <v>25</v>
      </c>
      <c r="B8" t="s">
        <v>26</v>
      </c>
      <c r="C8" t="s">
        <v>70</v>
      </c>
      <c r="D8" t="s">
        <v>1106</v>
      </c>
    </row>
    <row r="9" spans="1:5" x14ac:dyDescent="0.25">
      <c r="A9" t="s">
        <v>27</v>
      </c>
      <c r="B9" t="s">
        <v>28</v>
      </c>
      <c r="C9" t="s">
        <v>69</v>
      </c>
      <c r="D9" t="s">
        <v>565</v>
      </c>
    </row>
    <row r="10" spans="1:5" x14ac:dyDescent="0.25">
      <c r="A10" t="s">
        <v>29</v>
      </c>
      <c r="B10" t="s">
        <v>30</v>
      </c>
      <c r="C10" t="s">
        <v>69</v>
      </c>
      <c r="D10" t="s">
        <v>1107</v>
      </c>
    </row>
    <row r="11" spans="1:5" x14ac:dyDescent="0.25">
      <c r="A11" t="s">
        <v>31</v>
      </c>
      <c r="B11" t="s">
        <v>853</v>
      </c>
      <c r="C11" t="s">
        <v>71</v>
      </c>
      <c r="D11" t="s">
        <v>853</v>
      </c>
    </row>
    <row r="12" spans="1:5" x14ac:dyDescent="0.25">
      <c r="A12" t="s">
        <v>248</v>
      </c>
      <c r="B12" t="s">
        <v>249</v>
      </c>
      <c r="C12" t="s">
        <v>71</v>
      </c>
      <c r="D12" t="s">
        <v>853</v>
      </c>
    </row>
    <row r="13" spans="1:5" x14ac:dyDescent="0.25">
      <c r="A13" t="s">
        <v>250</v>
      </c>
      <c r="B13" t="s">
        <v>251</v>
      </c>
      <c r="C13" t="s">
        <v>71</v>
      </c>
      <c r="D13" t="s">
        <v>853</v>
      </c>
    </row>
    <row r="14" spans="1:5" x14ac:dyDescent="0.25">
      <c r="A14" t="s">
        <v>252</v>
      </c>
      <c r="B14" t="s">
        <v>253</v>
      </c>
      <c r="C14" t="s">
        <v>71</v>
      </c>
      <c r="D14" t="s">
        <v>853</v>
      </c>
    </row>
    <row r="15" spans="1:5" x14ac:dyDescent="0.25">
      <c r="A15" t="s">
        <v>32</v>
      </c>
      <c r="B15" t="s">
        <v>33</v>
      </c>
      <c r="C15" t="s">
        <v>71</v>
      </c>
      <c r="D15" t="s">
        <v>567</v>
      </c>
    </row>
    <row r="16" spans="1:5" x14ac:dyDescent="0.25">
      <c r="A16" t="s">
        <v>34</v>
      </c>
      <c r="B16" t="s">
        <v>35</v>
      </c>
      <c r="C16" t="s">
        <v>71</v>
      </c>
      <c r="D16" t="s">
        <v>1108</v>
      </c>
    </row>
    <row r="17" spans="1:4" x14ac:dyDescent="0.25">
      <c r="A17" t="s">
        <v>36</v>
      </c>
      <c r="B17" t="s">
        <v>37</v>
      </c>
      <c r="C17" t="s">
        <v>72</v>
      </c>
      <c r="D17" t="s">
        <v>569</v>
      </c>
    </row>
    <row r="18" spans="1:4" x14ac:dyDescent="0.25">
      <c r="A18" t="s">
        <v>38</v>
      </c>
      <c r="B18" t="s">
        <v>1109</v>
      </c>
      <c r="C18" t="s">
        <v>72</v>
      </c>
      <c r="D18" t="s">
        <v>1109</v>
      </c>
    </row>
    <row r="19" spans="1:4" x14ac:dyDescent="0.25">
      <c r="A19" t="s">
        <v>39</v>
      </c>
      <c r="B19" t="s">
        <v>571</v>
      </c>
      <c r="C19" t="s">
        <v>73</v>
      </c>
      <c r="D19" t="s">
        <v>571</v>
      </c>
    </row>
    <row r="20" spans="1:4" x14ac:dyDescent="0.25">
      <c r="A20" t="s">
        <v>40</v>
      </c>
      <c r="B20" t="s">
        <v>572</v>
      </c>
      <c r="C20" t="s">
        <v>73</v>
      </c>
      <c r="D20" t="s">
        <v>572</v>
      </c>
    </row>
    <row r="21" spans="1:4" x14ac:dyDescent="0.25">
      <c r="A21" t="s">
        <v>254</v>
      </c>
      <c r="B21" t="s">
        <v>2038</v>
      </c>
      <c r="C21" t="s">
        <v>73</v>
      </c>
      <c r="D21" t="s">
        <v>573</v>
      </c>
    </row>
    <row r="22" spans="1:4" x14ac:dyDescent="0.25">
      <c r="A22" t="s">
        <v>255</v>
      </c>
      <c r="B22" t="s">
        <v>256</v>
      </c>
      <c r="C22" t="s">
        <v>73</v>
      </c>
      <c r="D22" t="s">
        <v>573</v>
      </c>
    </row>
    <row r="23" spans="1:4" x14ac:dyDescent="0.25">
      <c r="A23" t="s">
        <v>257</v>
      </c>
      <c r="B23" t="s">
        <v>258</v>
      </c>
      <c r="C23" t="s">
        <v>73</v>
      </c>
      <c r="D23" t="s">
        <v>573</v>
      </c>
    </row>
    <row r="24" spans="1:4" x14ac:dyDescent="0.25">
      <c r="A24" t="s">
        <v>259</v>
      </c>
      <c r="B24" t="s">
        <v>260</v>
      </c>
      <c r="C24" t="s">
        <v>73</v>
      </c>
      <c r="D24" t="s">
        <v>573</v>
      </c>
    </row>
    <row r="25" spans="1:4" x14ac:dyDescent="0.25">
      <c r="A25" t="s">
        <v>261</v>
      </c>
      <c r="B25" t="s">
        <v>262</v>
      </c>
      <c r="C25" t="s">
        <v>73</v>
      </c>
      <c r="D25" t="s">
        <v>573</v>
      </c>
    </row>
    <row r="26" spans="1:4" x14ac:dyDescent="0.25">
      <c r="A26" t="s">
        <v>263</v>
      </c>
      <c r="B26" t="s">
        <v>264</v>
      </c>
      <c r="C26" t="s">
        <v>73</v>
      </c>
      <c r="D26" t="s">
        <v>573</v>
      </c>
    </row>
    <row r="27" spans="1:4" x14ac:dyDescent="0.25">
      <c r="A27" t="s">
        <v>265</v>
      </c>
      <c r="B27" t="s">
        <v>266</v>
      </c>
      <c r="C27" t="s">
        <v>73</v>
      </c>
      <c r="D27" t="s">
        <v>573</v>
      </c>
    </row>
    <row r="28" spans="1:4" x14ac:dyDescent="0.25">
      <c r="A28" t="s">
        <v>267</v>
      </c>
      <c r="B28" t="s">
        <v>268</v>
      </c>
      <c r="C28" t="s">
        <v>73</v>
      </c>
      <c r="D28" t="s">
        <v>573</v>
      </c>
    </row>
    <row r="29" spans="1:4" x14ac:dyDescent="0.25">
      <c r="A29" t="s">
        <v>269</v>
      </c>
      <c r="B29" t="s">
        <v>270</v>
      </c>
      <c r="C29" t="s">
        <v>73</v>
      </c>
      <c r="D29" t="s">
        <v>573</v>
      </c>
    </row>
    <row r="30" spans="1:4" x14ac:dyDescent="0.25">
      <c r="A30" t="s">
        <v>41</v>
      </c>
      <c r="B30" t="s">
        <v>42</v>
      </c>
      <c r="C30" t="s">
        <v>90</v>
      </c>
      <c r="D30" t="s">
        <v>2039</v>
      </c>
    </row>
    <row r="31" spans="1:4" x14ac:dyDescent="0.25">
      <c r="A31" t="s">
        <v>271</v>
      </c>
      <c r="B31" t="s">
        <v>272</v>
      </c>
      <c r="C31" t="s">
        <v>76</v>
      </c>
      <c r="D31" t="s">
        <v>769</v>
      </c>
    </row>
    <row r="32" spans="1:4" x14ac:dyDescent="0.25">
      <c r="A32" t="s">
        <v>273</v>
      </c>
      <c r="B32" t="s">
        <v>274</v>
      </c>
      <c r="C32" t="s">
        <v>76</v>
      </c>
      <c r="D32" t="s">
        <v>769</v>
      </c>
    </row>
    <row r="33" spans="1:5" x14ac:dyDescent="0.25">
      <c r="A33" t="s">
        <v>275</v>
      </c>
      <c r="B33" t="s">
        <v>276</v>
      </c>
      <c r="C33" t="s">
        <v>76</v>
      </c>
      <c r="D33" t="s">
        <v>769</v>
      </c>
    </row>
    <row r="34" spans="1:5" x14ac:dyDescent="0.25">
      <c r="A34" t="s">
        <v>277</v>
      </c>
      <c r="B34" t="s">
        <v>781</v>
      </c>
      <c r="C34" t="s">
        <v>76</v>
      </c>
      <c r="D34" t="s">
        <v>769</v>
      </c>
    </row>
    <row r="35" spans="1:5" x14ac:dyDescent="0.25">
      <c r="A35" t="s">
        <v>278</v>
      </c>
      <c r="B35" t="s">
        <v>358</v>
      </c>
      <c r="C35" t="s">
        <v>76</v>
      </c>
      <c r="D35" t="s">
        <v>769</v>
      </c>
    </row>
    <row r="36" spans="1:5" x14ac:dyDescent="0.25">
      <c r="A36" t="s">
        <v>279</v>
      </c>
      <c r="B36" t="s">
        <v>280</v>
      </c>
      <c r="C36" t="s">
        <v>76</v>
      </c>
      <c r="D36" t="s">
        <v>769</v>
      </c>
    </row>
    <row r="37" spans="1:5" x14ac:dyDescent="0.25">
      <c r="A37" s="1" t="s">
        <v>776</v>
      </c>
      <c r="B37" t="s">
        <v>779</v>
      </c>
      <c r="C37" t="s">
        <v>76</v>
      </c>
      <c r="D37" t="s">
        <v>769</v>
      </c>
    </row>
    <row r="38" spans="1:5" x14ac:dyDescent="0.25">
      <c r="A38" t="s">
        <v>281</v>
      </c>
      <c r="B38" t="s">
        <v>780</v>
      </c>
      <c r="C38" t="s">
        <v>76</v>
      </c>
      <c r="D38" t="s">
        <v>577</v>
      </c>
    </row>
    <row r="39" spans="1:5" x14ac:dyDescent="0.25">
      <c r="A39" t="s">
        <v>282</v>
      </c>
      <c r="B39" t="s">
        <v>283</v>
      </c>
      <c r="C39" t="s">
        <v>76</v>
      </c>
      <c r="D39" t="s">
        <v>577</v>
      </c>
    </row>
    <row r="40" spans="1:5" x14ac:dyDescent="0.25">
      <c r="A40" t="s">
        <v>284</v>
      </c>
      <c r="B40" t="s">
        <v>285</v>
      </c>
      <c r="C40" t="s">
        <v>76</v>
      </c>
      <c r="D40" t="s">
        <v>577</v>
      </c>
    </row>
    <row r="41" spans="1:5" x14ac:dyDescent="0.25">
      <c r="A41" s="29" t="s">
        <v>642</v>
      </c>
      <c r="B41" s="8" t="s">
        <v>778</v>
      </c>
      <c r="C41" s="8" t="s">
        <v>76</v>
      </c>
      <c r="D41" s="8" t="s">
        <v>577</v>
      </c>
      <c r="E41" s="8" t="s">
        <v>792</v>
      </c>
    </row>
    <row r="42" spans="1:5" x14ac:dyDescent="0.25">
      <c r="A42" s="29" t="s">
        <v>773</v>
      </c>
      <c r="B42" s="8" t="s">
        <v>777</v>
      </c>
      <c r="C42" s="8" t="s">
        <v>76</v>
      </c>
      <c r="D42" s="8" t="s">
        <v>577</v>
      </c>
      <c r="E42" s="8" t="s">
        <v>792</v>
      </c>
    </row>
    <row r="43" spans="1:5" x14ac:dyDescent="0.25">
      <c r="A43" t="s">
        <v>43</v>
      </c>
      <c r="B43" t="s">
        <v>44</v>
      </c>
      <c r="C43" t="s">
        <v>76</v>
      </c>
    </row>
    <row r="44" spans="1:5" x14ac:dyDescent="0.25">
      <c r="A44" t="s">
        <v>286</v>
      </c>
      <c r="B44" t="s">
        <v>287</v>
      </c>
      <c r="C44" t="s">
        <v>76</v>
      </c>
      <c r="D44" t="s">
        <v>789</v>
      </c>
    </row>
    <row r="45" spans="1:5" x14ac:dyDescent="0.25">
      <c r="A45" t="s">
        <v>288</v>
      </c>
      <c r="B45" t="s">
        <v>289</v>
      </c>
      <c r="C45" t="s">
        <v>76</v>
      </c>
      <c r="D45" t="s">
        <v>789</v>
      </c>
    </row>
    <row r="46" spans="1:5" x14ac:dyDescent="0.25">
      <c r="A46" t="s">
        <v>290</v>
      </c>
      <c r="B46" t="s">
        <v>291</v>
      </c>
      <c r="C46" t="s">
        <v>76</v>
      </c>
      <c r="D46" t="s">
        <v>789</v>
      </c>
    </row>
    <row r="47" spans="1:5" x14ac:dyDescent="0.25">
      <c r="A47" s="30" t="s">
        <v>292</v>
      </c>
      <c r="B47" s="30" t="s">
        <v>293</v>
      </c>
      <c r="C47" s="30" t="s">
        <v>76</v>
      </c>
      <c r="D47" s="30" t="s">
        <v>789</v>
      </c>
      <c r="E47" s="30" t="s">
        <v>790</v>
      </c>
    </row>
    <row r="48" spans="1:5" x14ac:dyDescent="0.25">
      <c r="A48" t="s">
        <v>294</v>
      </c>
      <c r="B48" t="s">
        <v>295</v>
      </c>
      <c r="C48" t="s">
        <v>76</v>
      </c>
      <c r="D48" t="s">
        <v>789</v>
      </c>
    </row>
    <row r="49" spans="1:4" x14ac:dyDescent="0.25">
      <c r="A49" s="1" t="s">
        <v>2107</v>
      </c>
      <c r="B49" t="s">
        <v>2108</v>
      </c>
      <c r="C49" t="s">
        <v>76</v>
      </c>
      <c r="D49" t="s">
        <v>789</v>
      </c>
    </row>
    <row r="50" spans="1:4" x14ac:dyDescent="0.25">
      <c r="A50" t="s">
        <v>296</v>
      </c>
      <c r="B50" t="s">
        <v>297</v>
      </c>
      <c r="C50" t="s">
        <v>76</v>
      </c>
      <c r="D50" t="s">
        <v>460</v>
      </c>
    </row>
    <row r="51" spans="1:4" x14ac:dyDescent="0.25">
      <c r="A51" t="s">
        <v>298</v>
      </c>
      <c r="B51" t="s">
        <v>299</v>
      </c>
      <c r="C51" t="s">
        <v>76</v>
      </c>
      <c r="D51" t="s">
        <v>460</v>
      </c>
    </row>
    <row r="52" spans="1:4" x14ac:dyDescent="0.25">
      <c r="A52" t="s">
        <v>300</v>
      </c>
      <c r="B52" t="s">
        <v>301</v>
      </c>
      <c r="C52" t="s">
        <v>76</v>
      </c>
      <c r="D52" t="s">
        <v>460</v>
      </c>
    </row>
    <row r="53" spans="1:4" x14ac:dyDescent="0.25">
      <c r="A53" t="s">
        <v>302</v>
      </c>
      <c r="B53" t="s">
        <v>303</v>
      </c>
      <c r="C53" t="s">
        <v>76</v>
      </c>
      <c r="D53" t="s">
        <v>460</v>
      </c>
    </row>
    <row r="54" spans="1:4" x14ac:dyDescent="0.25">
      <c r="A54" t="s">
        <v>304</v>
      </c>
      <c r="B54" t="s">
        <v>305</v>
      </c>
      <c r="C54" t="s">
        <v>76</v>
      </c>
      <c r="D54" t="s">
        <v>460</v>
      </c>
    </row>
    <row r="55" spans="1:4" x14ac:dyDescent="0.25">
      <c r="A55" t="s">
        <v>306</v>
      </c>
      <c r="B55" t="s">
        <v>307</v>
      </c>
      <c r="C55" t="s">
        <v>76</v>
      </c>
      <c r="D55" t="s">
        <v>460</v>
      </c>
    </row>
    <row r="56" spans="1:4" x14ac:dyDescent="0.25">
      <c r="A56" t="s">
        <v>308</v>
      </c>
      <c r="B56" t="s">
        <v>309</v>
      </c>
      <c r="C56" t="s">
        <v>76</v>
      </c>
      <c r="D56" t="s">
        <v>460</v>
      </c>
    </row>
    <row r="57" spans="1:4" x14ac:dyDescent="0.25">
      <c r="A57" t="s">
        <v>310</v>
      </c>
      <c r="B57" t="s">
        <v>311</v>
      </c>
      <c r="C57" t="s">
        <v>76</v>
      </c>
      <c r="D57" t="s">
        <v>460</v>
      </c>
    </row>
    <row r="58" spans="1:4" x14ac:dyDescent="0.25">
      <c r="A58" t="s">
        <v>312</v>
      </c>
      <c r="B58" t="s">
        <v>313</v>
      </c>
      <c r="C58" t="s">
        <v>76</v>
      </c>
      <c r="D58" t="s">
        <v>578</v>
      </c>
    </row>
    <row r="59" spans="1:4" x14ac:dyDescent="0.25">
      <c r="A59" t="s">
        <v>314</v>
      </c>
      <c r="B59" t="s">
        <v>315</v>
      </c>
      <c r="C59" t="s">
        <v>76</v>
      </c>
      <c r="D59" t="s">
        <v>578</v>
      </c>
    </row>
    <row r="60" spans="1:4" x14ac:dyDescent="0.25">
      <c r="A60" t="s">
        <v>316</v>
      </c>
      <c r="B60" t="s">
        <v>317</v>
      </c>
      <c r="C60" t="s">
        <v>76</v>
      </c>
      <c r="D60" t="s">
        <v>578</v>
      </c>
    </row>
    <row r="61" spans="1:4" x14ac:dyDescent="0.25">
      <c r="A61" t="s">
        <v>318</v>
      </c>
      <c r="B61" t="s">
        <v>319</v>
      </c>
      <c r="C61" t="s">
        <v>76</v>
      </c>
      <c r="D61" t="s">
        <v>578</v>
      </c>
    </row>
    <row r="62" spans="1:4" x14ac:dyDescent="0.25">
      <c r="A62" t="s">
        <v>320</v>
      </c>
      <c r="B62" t="s">
        <v>2054</v>
      </c>
      <c r="C62" t="s">
        <v>76</v>
      </c>
      <c r="D62" t="s">
        <v>578</v>
      </c>
    </row>
    <row r="63" spans="1:4" x14ac:dyDescent="0.25">
      <c r="A63" t="s">
        <v>321</v>
      </c>
      <c r="B63" t="s">
        <v>322</v>
      </c>
      <c r="C63" t="s">
        <v>76</v>
      </c>
      <c r="D63" t="s">
        <v>578</v>
      </c>
    </row>
    <row r="64" spans="1:4" x14ac:dyDescent="0.25">
      <c r="A64" t="s">
        <v>323</v>
      </c>
      <c r="B64" t="s">
        <v>324</v>
      </c>
      <c r="C64" t="s">
        <v>76</v>
      </c>
      <c r="D64" t="s">
        <v>578</v>
      </c>
    </row>
    <row r="65" spans="1:4" x14ac:dyDescent="0.25">
      <c r="A65" s="1" t="s">
        <v>2076</v>
      </c>
      <c r="B65" t="s">
        <v>2078</v>
      </c>
      <c r="C65" t="s">
        <v>76</v>
      </c>
      <c r="D65" t="s">
        <v>2077</v>
      </c>
    </row>
    <row r="66" spans="1:4" x14ac:dyDescent="0.25">
      <c r="A66" t="s">
        <v>45</v>
      </c>
      <c r="B66" t="s">
        <v>46</v>
      </c>
      <c r="C66" t="s">
        <v>76</v>
      </c>
      <c r="D66" t="s">
        <v>579</v>
      </c>
    </row>
    <row r="67" spans="1:4" x14ac:dyDescent="0.25">
      <c r="A67" t="s">
        <v>47</v>
      </c>
      <c r="B67" t="s">
        <v>48</v>
      </c>
      <c r="C67" t="s">
        <v>76</v>
      </c>
      <c r="D67" t="s">
        <v>643</v>
      </c>
    </row>
    <row r="68" spans="1:4" x14ac:dyDescent="0.25">
      <c r="A68" t="s">
        <v>325</v>
      </c>
      <c r="B68" t="s">
        <v>326</v>
      </c>
      <c r="C68" t="s">
        <v>74</v>
      </c>
      <c r="D68" t="s">
        <v>581</v>
      </c>
    </row>
    <row r="69" spans="1:4" x14ac:dyDescent="0.25">
      <c r="A69" t="s">
        <v>327</v>
      </c>
      <c r="B69" t="s">
        <v>328</v>
      </c>
      <c r="C69" t="s">
        <v>74</v>
      </c>
      <c r="D69" t="s">
        <v>581</v>
      </c>
    </row>
    <row r="70" spans="1:4" x14ac:dyDescent="0.25">
      <c r="A70" t="s">
        <v>329</v>
      </c>
      <c r="B70" t="s">
        <v>330</v>
      </c>
      <c r="C70" t="s">
        <v>74</v>
      </c>
      <c r="D70" t="s">
        <v>581</v>
      </c>
    </row>
    <row r="71" spans="1:4" x14ac:dyDescent="0.25">
      <c r="A71" t="s">
        <v>331</v>
      </c>
      <c r="B71" t="s">
        <v>332</v>
      </c>
      <c r="C71" t="s">
        <v>74</v>
      </c>
      <c r="D71" t="s">
        <v>581</v>
      </c>
    </row>
    <row r="72" spans="1:4" x14ac:dyDescent="0.25">
      <c r="A72" t="s">
        <v>333</v>
      </c>
      <c r="B72" t="s">
        <v>334</v>
      </c>
      <c r="C72" t="s">
        <v>74</v>
      </c>
      <c r="D72" t="s">
        <v>581</v>
      </c>
    </row>
    <row r="73" spans="1:4" x14ac:dyDescent="0.25">
      <c r="A73" t="s">
        <v>335</v>
      </c>
      <c r="B73" t="s">
        <v>336</v>
      </c>
      <c r="C73" t="s">
        <v>74</v>
      </c>
      <c r="D73" t="s">
        <v>581</v>
      </c>
    </row>
    <row r="74" spans="1:4" x14ac:dyDescent="0.25">
      <c r="A74" t="s">
        <v>245</v>
      </c>
      <c r="B74" t="s">
        <v>337</v>
      </c>
      <c r="C74" t="s">
        <v>74</v>
      </c>
      <c r="D74" t="s">
        <v>581</v>
      </c>
    </row>
    <row r="75" spans="1:4" x14ac:dyDescent="0.25">
      <c r="A75" t="s">
        <v>338</v>
      </c>
      <c r="B75" t="s">
        <v>339</v>
      </c>
      <c r="C75" t="s">
        <v>74</v>
      </c>
      <c r="D75" t="s">
        <v>581</v>
      </c>
    </row>
    <row r="76" spans="1:4" x14ac:dyDescent="0.25">
      <c r="A76" t="s">
        <v>340</v>
      </c>
      <c r="B76" t="s">
        <v>2169</v>
      </c>
      <c r="C76" t="s">
        <v>74</v>
      </c>
      <c r="D76" t="s">
        <v>582</v>
      </c>
    </row>
    <row r="77" spans="1:4" x14ac:dyDescent="0.25">
      <c r="A77" t="s">
        <v>341</v>
      </c>
      <c r="B77" t="s">
        <v>2170</v>
      </c>
      <c r="C77" t="s">
        <v>74</v>
      </c>
      <c r="D77" t="s">
        <v>582</v>
      </c>
    </row>
    <row r="78" spans="1:4" x14ac:dyDescent="0.25">
      <c r="A78" t="s">
        <v>247</v>
      </c>
      <c r="B78" t="s">
        <v>342</v>
      </c>
      <c r="C78" t="s">
        <v>74</v>
      </c>
      <c r="D78" t="s">
        <v>582</v>
      </c>
    </row>
    <row r="79" spans="1:4" x14ac:dyDescent="0.25">
      <c r="A79" t="s">
        <v>343</v>
      </c>
      <c r="B79" t="s">
        <v>344</v>
      </c>
      <c r="C79" t="s">
        <v>74</v>
      </c>
      <c r="D79" t="s">
        <v>582</v>
      </c>
    </row>
    <row r="80" spans="1:4" x14ac:dyDescent="0.25">
      <c r="A80" t="s">
        <v>345</v>
      </c>
      <c r="B80" t="s">
        <v>346</v>
      </c>
      <c r="C80" t="s">
        <v>74</v>
      </c>
      <c r="D80" t="s">
        <v>582</v>
      </c>
    </row>
    <row r="81" spans="1:5" x14ac:dyDescent="0.25">
      <c r="A81" t="s">
        <v>347</v>
      </c>
      <c r="B81" t="s">
        <v>339</v>
      </c>
      <c r="C81" t="s">
        <v>74</v>
      </c>
      <c r="D81" t="s">
        <v>582</v>
      </c>
    </row>
    <row r="82" spans="1:5" x14ac:dyDescent="0.25">
      <c r="A82" t="s">
        <v>348</v>
      </c>
      <c r="B82" t="s">
        <v>349</v>
      </c>
      <c r="C82" t="s">
        <v>74</v>
      </c>
      <c r="D82" t="s">
        <v>582</v>
      </c>
    </row>
    <row r="83" spans="1:5" x14ac:dyDescent="0.25">
      <c r="A83" t="s">
        <v>350</v>
      </c>
      <c r="B83" t="s">
        <v>346</v>
      </c>
      <c r="C83" t="s">
        <v>74</v>
      </c>
      <c r="D83" t="s">
        <v>583</v>
      </c>
    </row>
    <row r="84" spans="1:5" x14ac:dyDescent="0.25">
      <c r="A84" t="s">
        <v>351</v>
      </c>
      <c r="B84" t="s">
        <v>339</v>
      </c>
      <c r="C84" t="s">
        <v>74</v>
      </c>
      <c r="D84" t="s">
        <v>583</v>
      </c>
    </row>
    <row r="85" spans="1:5" x14ac:dyDescent="0.25">
      <c r="A85" s="30" t="s">
        <v>49</v>
      </c>
      <c r="B85" s="30" t="s">
        <v>50</v>
      </c>
      <c r="C85" s="30" t="s">
        <v>74</v>
      </c>
      <c r="D85" t="s">
        <v>644</v>
      </c>
      <c r="E85" t="s">
        <v>790</v>
      </c>
    </row>
    <row r="86" spans="1:5" x14ac:dyDescent="0.25">
      <c r="A86" s="30" t="s">
        <v>352</v>
      </c>
      <c r="B86" s="30" t="s">
        <v>346</v>
      </c>
      <c r="C86" s="30" t="s">
        <v>74</v>
      </c>
      <c r="D86" t="s">
        <v>644</v>
      </c>
      <c r="E86" t="s">
        <v>790</v>
      </c>
    </row>
    <row r="87" spans="1:5" x14ac:dyDescent="0.25">
      <c r="A87" t="s">
        <v>51</v>
      </c>
      <c r="B87" t="s">
        <v>52</v>
      </c>
      <c r="C87" t="s">
        <v>74</v>
      </c>
      <c r="D87" t="s">
        <v>584</v>
      </c>
    </row>
    <row r="88" spans="1:5" x14ac:dyDescent="0.25">
      <c r="A88" t="s">
        <v>53</v>
      </c>
      <c r="B88" t="s">
        <v>54</v>
      </c>
      <c r="C88" t="s">
        <v>74</v>
      </c>
      <c r="D88" t="s">
        <v>585</v>
      </c>
    </row>
    <row r="89" spans="1:5" x14ac:dyDescent="0.25">
      <c r="A89" t="s">
        <v>353</v>
      </c>
      <c r="B89" t="s">
        <v>354</v>
      </c>
      <c r="C89" t="s">
        <v>74</v>
      </c>
      <c r="D89" t="s">
        <v>586</v>
      </c>
    </row>
    <row r="90" spans="1:5" x14ac:dyDescent="0.25">
      <c r="A90" t="s">
        <v>355</v>
      </c>
      <c r="B90" t="s">
        <v>356</v>
      </c>
      <c r="C90" t="s">
        <v>74</v>
      </c>
      <c r="D90" t="s">
        <v>1543</v>
      </c>
    </row>
    <row r="91" spans="1:5" x14ac:dyDescent="0.25">
      <c r="A91" t="s">
        <v>357</v>
      </c>
      <c r="B91" t="s">
        <v>358</v>
      </c>
      <c r="C91" t="s">
        <v>74</v>
      </c>
      <c r="D91" t="s">
        <v>1543</v>
      </c>
    </row>
    <row r="92" spans="1:5" x14ac:dyDescent="0.25">
      <c r="A92" t="s">
        <v>359</v>
      </c>
      <c r="B92" t="s">
        <v>360</v>
      </c>
      <c r="C92" t="s">
        <v>74</v>
      </c>
      <c r="D92" t="s">
        <v>1543</v>
      </c>
    </row>
    <row r="93" spans="1:5" x14ac:dyDescent="0.25">
      <c r="A93" s="29" t="s">
        <v>1577</v>
      </c>
      <c r="B93" s="8" t="s">
        <v>1950</v>
      </c>
      <c r="C93" s="8" t="s">
        <v>74</v>
      </c>
      <c r="D93" s="8" t="s">
        <v>1543</v>
      </c>
      <c r="E93" s="8"/>
    </row>
    <row r="94" spans="1:5" x14ac:dyDescent="0.25">
      <c r="A94" s="1" t="s">
        <v>721</v>
      </c>
      <c r="B94" t="s">
        <v>722</v>
      </c>
      <c r="C94" t="s">
        <v>75</v>
      </c>
      <c r="D94" t="s">
        <v>2037</v>
      </c>
    </row>
    <row r="95" spans="1:5" x14ac:dyDescent="0.25">
      <c r="A95" t="s">
        <v>55</v>
      </c>
      <c r="B95" t="s">
        <v>56</v>
      </c>
      <c r="C95" t="s">
        <v>75</v>
      </c>
      <c r="D95" t="s">
        <v>733</v>
      </c>
    </row>
    <row r="96" spans="1:5" x14ac:dyDescent="0.25">
      <c r="A96" t="s">
        <v>361</v>
      </c>
      <c r="B96" t="s">
        <v>735</v>
      </c>
      <c r="C96" t="s">
        <v>75</v>
      </c>
      <c r="D96" t="s">
        <v>588</v>
      </c>
    </row>
    <row r="97" spans="1:5" x14ac:dyDescent="0.25">
      <c r="A97" t="s">
        <v>362</v>
      </c>
      <c r="B97" t="s">
        <v>363</v>
      </c>
      <c r="C97" t="s">
        <v>75</v>
      </c>
      <c r="D97" t="s">
        <v>588</v>
      </c>
    </row>
    <row r="98" spans="1:5" x14ac:dyDescent="0.25">
      <c r="A98" t="s">
        <v>364</v>
      </c>
      <c r="B98" t="s">
        <v>365</v>
      </c>
      <c r="C98" t="s">
        <v>75</v>
      </c>
      <c r="D98" t="s">
        <v>588</v>
      </c>
    </row>
    <row r="99" spans="1:5" x14ac:dyDescent="0.25">
      <c r="A99" t="s">
        <v>366</v>
      </c>
      <c r="B99" t="s">
        <v>732</v>
      </c>
      <c r="C99" t="s">
        <v>75</v>
      </c>
      <c r="D99" t="s">
        <v>588</v>
      </c>
    </row>
    <row r="100" spans="1:5" x14ac:dyDescent="0.25">
      <c r="A100" t="s">
        <v>367</v>
      </c>
      <c r="B100" t="s">
        <v>368</v>
      </c>
      <c r="C100" t="s">
        <v>75</v>
      </c>
      <c r="D100" t="s">
        <v>588</v>
      </c>
    </row>
    <row r="101" spans="1:5" x14ac:dyDescent="0.25">
      <c r="A101" s="8" t="s">
        <v>369</v>
      </c>
      <c r="B101" s="8" t="s">
        <v>738</v>
      </c>
      <c r="C101" s="8" t="s">
        <v>75</v>
      </c>
      <c r="D101" s="8" t="s">
        <v>588</v>
      </c>
      <c r="E101" s="8"/>
    </row>
    <row r="102" spans="1:5" x14ac:dyDescent="0.25">
      <c r="A102" t="s">
        <v>370</v>
      </c>
      <c r="B102" t="s">
        <v>371</v>
      </c>
      <c r="C102" t="s">
        <v>75</v>
      </c>
      <c r="D102" t="s">
        <v>588</v>
      </c>
    </row>
    <row r="103" spans="1:5" x14ac:dyDescent="0.25">
      <c r="A103" t="s">
        <v>372</v>
      </c>
      <c r="B103" t="s">
        <v>373</v>
      </c>
      <c r="C103" t="s">
        <v>75</v>
      </c>
      <c r="D103" t="s">
        <v>589</v>
      </c>
    </row>
    <row r="104" spans="1:5" x14ac:dyDescent="0.25">
      <c r="A104" t="s">
        <v>374</v>
      </c>
      <c r="B104" t="s">
        <v>375</v>
      </c>
      <c r="C104" t="s">
        <v>75</v>
      </c>
      <c r="D104" t="s">
        <v>589</v>
      </c>
    </row>
    <row r="105" spans="1:5" x14ac:dyDescent="0.25">
      <c r="A105" t="s">
        <v>376</v>
      </c>
      <c r="B105" t="s">
        <v>377</v>
      </c>
      <c r="C105" t="s">
        <v>75</v>
      </c>
      <c r="D105" t="s">
        <v>589</v>
      </c>
    </row>
    <row r="106" spans="1:5" x14ac:dyDescent="0.25">
      <c r="A106" t="s">
        <v>378</v>
      </c>
      <c r="B106" t="s">
        <v>379</v>
      </c>
      <c r="C106" t="s">
        <v>75</v>
      </c>
      <c r="D106" t="s">
        <v>589</v>
      </c>
    </row>
    <row r="107" spans="1:5" x14ac:dyDescent="0.25">
      <c r="A107" t="s">
        <v>380</v>
      </c>
      <c r="B107" t="s">
        <v>365</v>
      </c>
      <c r="C107" t="s">
        <v>75</v>
      </c>
      <c r="D107" t="s">
        <v>590</v>
      </c>
    </row>
    <row r="108" spans="1:5" x14ac:dyDescent="0.25">
      <c r="A108" t="s">
        <v>381</v>
      </c>
      <c r="B108" t="s">
        <v>687</v>
      </c>
      <c r="C108" t="s">
        <v>75</v>
      </c>
      <c r="D108" t="s">
        <v>590</v>
      </c>
    </row>
    <row r="109" spans="1:5" x14ac:dyDescent="0.25">
      <c r="A109" t="s">
        <v>382</v>
      </c>
      <c r="B109" t="s">
        <v>383</v>
      </c>
      <c r="C109" t="s">
        <v>75</v>
      </c>
      <c r="D109" t="s">
        <v>590</v>
      </c>
    </row>
    <row r="110" spans="1:5" x14ac:dyDescent="0.25">
      <c r="A110" s="29" t="s">
        <v>698</v>
      </c>
      <c r="B110" s="8" t="s">
        <v>699</v>
      </c>
      <c r="C110" s="8" t="s">
        <v>75</v>
      </c>
      <c r="D110" s="8" t="s">
        <v>590</v>
      </c>
    </row>
    <row r="111" spans="1:5" x14ac:dyDescent="0.25">
      <c r="A111" t="s">
        <v>384</v>
      </c>
      <c r="B111" t="s">
        <v>385</v>
      </c>
      <c r="C111" t="s">
        <v>75</v>
      </c>
      <c r="D111" t="s">
        <v>591</v>
      </c>
    </row>
    <row r="112" spans="1:5" x14ac:dyDescent="0.25">
      <c r="A112" t="s">
        <v>386</v>
      </c>
      <c r="B112" t="s">
        <v>377</v>
      </c>
      <c r="C112" t="s">
        <v>75</v>
      </c>
      <c r="D112" t="s">
        <v>591</v>
      </c>
    </row>
    <row r="113" spans="1:5" x14ac:dyDescent="0.25">
      <c r="A113" t="s">
        <v>387</v>
      </c>
      <c r="B113" t="s">
        <v>388</v>
      </c>
      <c r="C113" t="s">
        <v>75</v>
      </c>
      <c r="D113" t="s">
        <v>592</v>
      </c>
    </row>
    <row r="114" spans="1:5" x14ac:dyDescent="0.25">
      <c r="A114" t="s">
        <v>389</v>
      </c>
      <c r="B114" t="s">
        <v>390</v>
      </c>
      <c r="C114" t="s">
        <v>75</v>
      </c>
      <c r="D114" t="s">
        <v>592</v>
      </c>
    </row>
    <row r="115" spans="1:5" x14ac:dyDescent="0.25">
      <c r="A115" t="s">
        <v>391</v>
      </c>
      <c r="B115" t="s">
        <v>736</v>
      </c>
      <c r="C115" t="s">
        <v>75</v>
      </c>
      <c r="D115" t="s">
        <v>592</v>
      </c>
    </row>
    <row r="116" spans="1:5" x14ac:dyDescent="0.25">
      <c r="A116" t="s">
        <v>392</v>
      </c>
      <c r="B116" t="s">
        <v>689</v>
      </c>
      <c r="C116" t="s">
        <v>75</v>
      </c>
      <c r="D116" t="s">
        <v>592</v>
      </c>
    </row>
    <row r="117" spans="1:5" x14ac:dyDescent="0.25">
      <c r="A117" s="8" t="s">
        <v>393</v>
      </c>
      <c r="B117" s="8" t="s">
        <v>688</v>
      </c>
      <c r="C117" s="8" t="s">
        <v>75</v>
      </c>
      <c r="D117" s="8" t="s">
        <v>592</v>
      </c>
      <c r="E117" s="8"/>
    </row>
    <row r="118" spans="1:5" x14ac:dyDescent="0.25">
      <c r="A118" t="s">
        <v>394</v>
      </c>
      <c r="B118" t="s">
        <v>395</v>
      </c>
      <c r="C118" t="s">
        <v>75</v>
      </c>
      <c r="D118" t="s">
        <v>592</v>
      </c>
    </row>
    <row r="119" spans="1:5" x14ac:dyDescent="0.25">
      <c r="A119" t="s">
        <v>57</v>
      </c>
      <c r="B119" t="s">
        <v>58</v>
      </c>
      <c r="C119" t="s">
        <v>75</v>
      </c>
      <c r="D119" t="s">
        <v>593</v>
      </c>
    </row>
    <row r="120" spans="1:5" x14ac:dyDescent="0.25">
      <c r="A120" t="s">
        <v>59</v>
      </c>
      <c r="B120" t="s">
        <v>60</v>
      </c>
      <c r="C120" t="s">
        <v>75</v>
      </c>
      <c r="D120" t="s">
        <v>594</v>
      </c>
    </row>
    <row r="121" spans="1:5" x14ac:dyDescent="0.25">
      <c r="A121" t="s">
        <v>61</v>
      </c>
      <c r="B121" t="s">
        <v>62</v>
      </c>
      <c r="C121" t="s">
        <v>75</v>
      </c>
      <c r="D121" t="s">
        <v>595</v>
      </c>
    </row>
    <row r="122" spans="1:5" x14ac:dyDescent="0.25">
      <c r="A122" t="s">
        <v>63</v>
      </c>
      <c r="B122" t="s">
        <v>64</v>
      </c>
      <c r="C122" t="s">
        <v>75</v>
      </c>
      <c r="D122" t="s">
        <v>596</v>
      </c>
    </row>
    <row r="123" spans="1:5" x14ac:dyDescent="0.25">
      <c r="A123" t="s">
        <v>65</v>
      </c>
      <c r="B123" t="s">
        <v>66</v>
      </c>
      <c r="C123" t="s">
        <v>75</v>
      </c>
      <c r="D123" t="s">
        <v>686</v>
      </c>
    </row>
  </sheetData>
  <pageMargins left="0.7" right="0.7" top="0.75" bottom="0.75" header="0.3" footer="0.3"/>
  <pageSetup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</vt:i4>
      </vt:variant>
    </vt:vector>
  </HeadingPairs>
  <TitlesOfParts>
    <vt:vector size="32" baseType="lpstr">
      <vt:lpstr>EA_aruanne</vt:lpstr>
      <vt:lpstr>Raamatukogud</vt:lpstr>
      <vt:lpstr>Sheet37</vt:lpstr>
      <vt:lpstr>Klubid</vt:lpstr>
      <vt:lpstr>Sheet39</vt:lpstr>
      <vt:lpstr>Alusharidus 1</vt:lpstr>
      <vt:lpstr>Sheet47</vt:lpstr>
      <vt:lpstr>Põhiharidus 1</vt:lpstr>
      <vt:lpstr>Eakad 2</vt:lpstr>
      <vt:lpstr>Eakate</vt:lpstr>
      <vt:lpstr>Piikonnad2</vt:lpstr>
      <vt:lpstr>Piikonnad</vt:lpstr>
      <vt:lpstr>Investeeringud lisa 1</vt:lpstr>
      <vt:lpstr>Investeeringud</vt:lpstr>
      <vt:lpstr>Sheet2</vt:lpstr>
      <vt:lpstr>Sheet1</vt:lpstr>
      <vt:lpstr>Tegevusalade analüüs</vt:lpstr>
      <vt:lpstr>Alusharidus 2</vt:lpstr>
      <vt:lpstr>Abivahend tegevualade eelarve</vt:lpstr>
      <vt:lpstr>Toetused,majandamis,muud lisa 2</vt:lpstr>
      <vt:lpstr>Majandamiskulud, toetused</vt:lpstr>
      <vt:lpstr>Koond_kulud</vt:lpstr>
      <vt:lpstr>Lisavajadused</vt:lpstr>
      <vt:lpstr>Sheet3</vt:lpstr>
      <vt:lpstr>Personalikulud lisa 3</vt:lpstr>
      <vt:lpstr>Töötasude lisa</vt:lpstr>
      <vt:lpstr>Töötasud</vt:lpstr>
      <vt:lpstr>Sheet8</vt:lpstr>
      <vt:lpstr>Tulud</vt:lpstr>
      <vt:lpstr>Kontode täpsustused</vt:lpstr>
      <vt:lpstr>Tegevusalade nimetused</vt:lpstr>
      <vt:lpstr>'Tegevusalade nimetused'!Print_Area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INNA</dc:creator>
  <cp:lastModifiedBy>INNA</cp:lastModifiedBy>
  <cp:lastPrinted>2019-11-25T08:03:30Z</cp:lastPrinted>
  <dcterms:created xsi:type="dcterms:W3CDTF">2019-09-05T08:06:50Z</dcterms:created>
  <dcterms:modified xsi:type="dcterms:W3CDTF">2019-12-13T13:17:09Z</dcterms:modified>
</cp:coreProperties>
</file>